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C:\Users\shelestov\Desktop\"/>
    </mc:Choice>
  </mc:AlternateContent>
  <bookViews>
    <workbookView xWindow="0" yWindow="0" windowWidth="23040" windowHeight="9192" tabRatio="818" activeTab="12"/>
  </bookViews>
  <sheets>
    <sheet name="ТИТУЛ" sheetId="58" r:id="rId1"/>
    <sheet name="ОБЩИЕ_ДАННЫЕ" sheetId="53" r:id="rId2"/>
    <sheet name="ТИП1" sheetId="952" r:id="rId3"/>
    <sheet name="ТИП2" sheetId="953" r:id="rId4"/>
    <sheet name="ТИП3" sheetId="954" state="hidden" r:id="rId5"/>
    <sheet name="ТИП4" sheetId="955" state="hidden" r:id="rId6"/>
    <sheet name="ТИП5" sheetId="956" state="hidden" r:id="rId7"/>
    <sheet name="ТИП6" sheetId="957" state="hidden" r:id="rId8"/>
    <sheet name="ТИП7" sheetId="958" state="hidden" r:id="rId9"/>
    <sheet name="ТИП8" sheetId="959" state="hidden" r:id="rId10"/>
    <sheet name="ТИП9" sheetId="960" state="hidden" r:id="rId11"/>
    <sheet name="ТИП10" sheetId="961" state="hidden" r:id="rId12"/>
    <sheet name="ОБЩАЯ СПЕЦИФИКАЦИЯ" sheetId="80" r:id="rId13"/>
    <sheet name="СВОДНАЯ СПЕЦИФИКАЦИЯ" sheetId="911" r:id="rId14"/>
    <sheet name="ПРИМЕЧАНИЯ" sheetId="194" r:id="rId15"/>
    <sheet name="Выгрузка" sheetId="56" state="hidden" r:id="rId16"/>
    <sheet name="Прайс" sheetId="54" state="veryHidden" r:id="rId17"/>
    <sheet name="Деление по СБЕ" sheetId="55" state="hidden" r:id="rId18"/>
  </sheets>
  <definedNames>
    <definedName name="_xlnm._FilterDatabase" localSheetId="15" hidden="1">Выгрузка!$AB$1:$AB$37</definedName>
    <definedName name="_xlnm._FilterDatabase" localSheetId="17" hidden="1">'Деление по СБЕ'!$A$1:$M$41</definedName>
    <definedName name="_xlnm._FilterDatabase" localSheetId="12" hidden="1">'ОБЩАЯ СПЕЦИФИКАЦИЯ'!$O$9:$O$630</definedName>
    <definedName name="_xlnm._FilterDatabase" localSheetId="1" hidden="1">ОБЩИЕ_ДАННЫЕ!$B$23:$F$49</definedName>
    <definedName name="_xlnm._FilterDatabase" localSheetId="14" hidden="1">ПРИМЕЧАНИЯ!$O$1:$O$249</definedName>
    <definedName name="_xlnm._FilterDatabase" localSheetId="13" hidden="1">'СВОДНАЯ СПЕЦИФИКАЦИЯ'!$K$9:$K$408</definedName>
    <definedName name="_xlnm._FilterDatabase" localSheetId="2" hidden="1">ТИП1!$I$1148:$I$1333</definedName>
    <definedName name="_xlnm._FilterDatabase" localSheetId="11" hidden="1">ТИП10!$I$1148:$I$1307</definedName>
    <definedName name="_xlnm._FilterDatabase" localSheetId="3" hidden="1">ТИП2!$I$1148:$I$1333</definedName>
    <definedName name="_xlnm._FilterDatabase" localSheetId="4" hidden="1">ТИП3!$I$1148:$I$1307</definedName>
    <definedName name="_xlnm._FilterDatabase" localSheetId="5" hidden="1">ТИП4!$I$1148:$I$1307</definedName>
    <definedName name="_xlnm._FilterDatabase" localSheetId="6" hidden="1">ТИП5!$I$1148:$I$1307</definedName>
    <definedName name="_xlnm._FilterDatabase" localSheetId="7" hidden="1">ТИП6!$I$1148:$I$1307</definedName>
    <definedName name="_xlnm._FilterDatabase" localSheetId="8" hidden="1">ТИП7!$I$1148:$I$1307</definedName>
    <definedName name="_xlnm._FilterDatabase" localSheetId="9" hidden="1">ТИП8!$I$1148:$I$1307</definedName>
    <definedName name="_xlnm._FilterDatabase" localSheetId="10" hidden="1">ТИП9!$I$1148:$I$1307</definedName>
    <definedName name="_xlnm._FilterDatabase" localSheetId="0" hidden="1">ТИТУЛ!$Q$1:$Q$5</definedName>
    <definedName name="АНКЕР" localSheetId="2">ТИП1!$AA$75</definedName>
    <definedName name="АНКЕР" localSheetId="11">ТИП10!$AA$75</definedName>
    <definedName name="АНКЕР" localSheetId="3">ТИП2!$AA$75</definedName>
    <definedName name="АНКЕР" localSheetId="4">ТИП3!$AA$75</definedName>
    <definedName name="АНКЕР" localSheetId="5">ТИП4!$AA$75</definedName>
    <definedName name="АНКЕР" localSheetId="6">ТИП5!$AA$75</definedName>
    <definedName name="АНКЕР" localSheetId="7">ТИП6!$AA$75</definedName>
    <definedName name="АНКЕР" localSheetId="8">ТИП7!$AA$75</definedName>
    <definedName name="АНКЕР" localSheetId="9">ТИП8!$AA$75</definedName>
    <definedName name="АНКЕР" localSheetId="10">ТИП9!$AA$75</definedName>
    <definedName name="БРМ_ВЕРХ" localSheetId="2">ТИП1!$AV$3</definedName>
    <definedName name="БРМ_ВЕРХ" localSheetId="11">ТИП10!$AV$3</definedName>
    <definedName name="БРМ_ВЕРХ" localSheetId="3">ТИП2!$AV$3</definedName>
    <definedName name="БРМ_ВЕРХ" localSheetId="4">ТИП3!$AV$3</definedName>
    <definedName name="БРМ_ВЕРХ" localSheetId="5">ТИП4!$AV$3</definedName>
    <definedName name="БРМ_ВЕРХ" localSheetId="6">ТИП5!$AV$3</definedName>
    <definedName name="БРМ_ВЕРХ" localSheetId="7">ТИП6!$AV$3</definedName>
    <definedName name="БРМ_ВЕРХ" localSheetId="8">ТИП7!$AV$3</definedName>
    <definedName name="БРМ_ВЕРХ" localSheetId="9">ТИП8!$AV$3</definedName>
    <definedName name="БРМ_ВЕРХ" localSheetId="10">ТИП9!$AV$3</definedName>
    <definedName name="БРМ_НИЗ" localSheetId="2">ТИП1!$BB$3</definedName>
    <definedName name="БРМ_НИЗ" localSheetId="11">ТИП10!$BB$3</definedName>
    <definedName name="БРМ_НИЗ" localSheetId="3">ТИП2!$BB$3</definedName>
    <definedName name="БРМ_НИЗ" localSheetId="4">ТИП3!$BB$3</definedName>
    <definedName name="БРМ_НИЗ" localSheetId="5">ТИП4!$BB$3</definedName>
    <definedName name="БРМ_НИЗ" localSheetId="6">ТИП5!$BB$3</definedName>
    <definedName name="БРМ_НИЗ" localSheetId="7">ТИП6!$BB$3</definedName>
    <definedName name="БРМ_НИЗ" localSheetId="8">ТИП7!$BB$3</definedName>
    <definedName name="БРМ_НИЗ" localSheetId="9">ТИП8!$BB$3</definedName>
    <definedName name="БРМ_НИЗ" localSheetId="10">ТИП9!$BB$3</definedName>
    <definedName name="ГнП" localSheetId="2">ТИП1!$V$75</definedName>
    <definedName name="ГнП" localSheetId="11">ТИП10!$V$75</definedName>
    <definedName name="ГнП" localSheetId="3">ТИП2!$V$75</definedName>
    <definedName name="ГнП" localSheetId="4">ТИП3!$V$75</definedName>
    <definedName name="ГнП" localSheetId="5">ТИП4!$V$75</definedName>
    <definedName name="ГнП" localSheetId="6">ТИП5!$V$75</definedName>
    <definedName name="ГнП" localSheetId="7">ТИП6!$V$75</definedName>
    <definedName name="ГнП" localSheetId="8">ТИП7!$V$75</definedName>
    <definedName name="ГнП" localSheetId="9">ТИП8!$V$75</definedName>
    <definedName name="ГнП" localSheetId="10">ТИП9!$V$75</definedName>
    <definedName name="ГОФРЫ" localSheetId="2">ТИП1!$AC$7</definedName>
    <definedName name="ГОФРЫ" localSheetId="11">ТИП10!$AC$7</definedName>
    <definedName name="ГОФРЫ" localSheetId="3">ТИП2!$AC$7</definedName>
    <definedName name="ГОФРЫ" localSheetId="4">ТИП3!$AC$7</definedName>
    <definedName name="ГОФРЫ" localSheetId="5">ТИП4!$AC$7</definedName>
    <definedName name="ГОФРЫ" localSheetId="6">ТИП5!$AC$7</definedName>
    <definedName name="ГОФРЫ" localSheetId="7">ТИП6!$AC$7</definedName>
    <definedName name="ГОФРЫ" localSheetId="8">ТИП7!$AC$7</definedName>
    <definedName name="ГОФРЫ" localSheetId="9">ТИП8!$AC$7</definedName>
    <definedName name="ГОФРЫ" localSheetId="10">ТИП9!$AC$7</definedName>
    <definedName name="номер_объекта">ТИТУЛ!$B$32</definedName>
    <definedName name="_xlnm.Print_Area" localSheetId="12">'ОБЩАЯ СПЕЦИФИКАЦИЯ'!$A$1:$M$623</definedName>
    <definedName name="_xlnm.Print_Area" localSheetId="1">ОБЩИЕ_ДАННЫЕ!$A$1:$F$49</definedName>
    <definedName name="_xlnm.Print_Area" localSheetId="14">ПРИМЕЧАНИЯ!$A$1:$J$262</definedName>
    <definedName name="_xlnm.Print_Area" localSheetId="2">ТИП1!$A$1:$L$299</definedName>
    <definedName name="_xlnm.Print_Area" localSheetId="11">ТИП10!$A$1:$L$299</definedName>
    <definedName name="_xlnm.Print_Area" localSheetId="3">ТИП2!$A$1:$L$299</definedName>
    <definedName name="_xlnm.Print_Area" localSheetId="4">ТИП3!$A$1:$L$299</definedName>
    <definedName name="_xlnm.Print_Area" localSheetId="5">ТИП4!$A$1:$L$299</definedName>
    <definedName name="_xlnm.Print_Area" localSheetId="6">ТИП5!$A$1:$L$299</definedName>
    <definedName name="_xlnm.Print_Area" localSheetId="7">ТИП6!$A$1:$L$299</definedName>
    <definedName name="_xlnm.Print_Area" localSheetId="8">ТИП7!$A$1:$L$299</definedName>
    <definedName name="_xlnm.Print_Area" localSheetId="9">ТИП8!$A$1:$L$299</definedName>
    <definedName name="_xlnm.Print_Area" localSheetId="10">ТИП9!$A$1:$L$299</definedName>
    <definedName name="_xlnm.Print_Area" localSheetId="0">ТИТУЛ!$A$1:$D$70</definedName>
    <definedName name="объект">ТИТУЛ!$B$20</definedName>
    <definedName name="П1" localSheetId="12">'ОБЩАЯ СПЕЦИФИКАЦИЯ'!$D$13</definedName>
    <definedName name="П2" localSheetId="12">'ОБЩАЯ СПЕЦИФИКАЦИЯ'!$D$28</definedName>
    <definedName name="П4" localSheetId="12">'ОБЩАЯ СПЕЦИФИКАЦИЯ'!$D$202</definedName>
    <definedName name="П5" localSheetId="12">'ОБЩАЯ СПЕЦИФИКАЦИЯ'!$D$304</definedName>
    <definedName name="П6" localSheetId="12">'ОБЩАЯ СПЕЦИФИКАЦИЯ'!$D$546</definedName>
    <definedName name="парапетВ" localSheetId="2">ТИП1!$Q$75</definedName>
    <definedName name="парапетВ" localSheetId="11">ТИП10!$Q$75</definedName>
    <definedName name="парапетВ" localSheetId="3">ТИП2!$Q$75</definedName>
    <definedName name="парапетВ" localSheetId="4">ТИП3!$Q$75</definedName>
    <definedName name="парапетВ" localSheetId="5">ТИП4!$Q$75</definedName>
    <definedName name="парапетВ" localSheetId="6">ТИП5!$Q$75</definedName>
    <definedName name="парапетВ" localSheetId="7">ТИП6!$Q$75</definedName>
    <definedName name="парапетВ" localSheetId="8">ТИП7!$Q$75</definedName>
    <definedName name="парапетВ" localSheetId="9">ТИП8!$Q$75</definedName>
    <definedName name="парапетВ" localSheetId="10">ТИП9!$Q$75</definedName>
    <definedName name="парапетН" localSheetId="2">ТИП1!$R$75</definedName>
    <definedName name="парапетН" localSheetId="11">ТИП10!$R$75</definedName>
    <definedName name="парапетН" localSheetId="3">ТИП2!$R$75</definedName>
    <definedName name="парапетН" localSheetId="4">ТИП3!$R$75</definedName>
    <definedName name="парапетН" localSheetId="5">ТИП4!$R$75</definedName>
    <definedName name="парапетН" localSheetId="6">ТИП5!$R$75</definedName>
    <definedName name="парапетН" localSheetId="7">ТИП6!$R$75</definedName>
    <definedName name="парапетН" localSheetId="8">ТИП7!$R$75</definedName>
    <definedName name="парапетН" localSheetId="9">ТИП8!$R$75</definedName>
    <definedName name="парапетН" localSheetId="10">ТИП9!$R$75</definedName>
    <definedName name="ПВХ_мембрана" localSheetId="2">ТИП1!$BA$31</definedName>
    <definedName name="ПВХ_мембрана" localSheetId="11">ТИП10!$BA$31</definedName>
    <definedName name="ПВХ_мембрана" localSheetId="3">ТИП2!$BA$31</definedName>
    <definedName name="ПВХ_мембрана" localSheetId="4">ТИП3!$BA$31</definedName>
    <definedName name="ПВХ_мембрана" localSheetId="5">ТИП4!$BA$31</definedName>
    <definedName name="ПВХ_мембрана" localSheetId="6">ТИП5!$BA$31</definedName>
    <definedName name="ПВХ_мембрана" localSheetId="7">ТИП6!$BA$31</definedName>
    <definedName name="ПВХ_мембрана" localSheetId="8">ТИП7!$BA$31</definedName>
    <definedName name="ПВХ_мембрана" localSheetId="9">ТИП8!$BA$31</definedName>
    <definedName name="ПВХ_мембрана" localSheetId="10">ТИП9!$BA$31</definedName>
    <definedName name="ПКР" localSheetId="2">ТИП1!$S$75</definedName>
    <definedName name="ПКР" localSheetId="11">ТИП10!$S$75</definedName>
    <definedName name="ПКР" localSheetId="3">ТИП2!$S$75</definedName>
    <definedName name="ПКР" localSheetId="4">ТИП3!$S$75</definedName>
    <definedName name="ПКР" localSheetId="5">ТИП4!$S$75</definedName>
    <definedName name="ПКР" localSheetId="6">ТИП5!$S$75</definedName>
    <definedName name="ПКР" localSheetId="7">ТИП6!$S$75</definedName>
    <definedName name="ПКР" localSheetId="8">ТИП7!$S$75</definedName>
    <definedName name="ПКР" localSheetId="9">ТИП8!$S$75</definedName>
    <definedName name="ПКР" localSheetId="10">ТИП9!$S$75</definedName>
    <definedName name="ПЛ" localSheetId="2">ТИП1!$P$3</definedName>
    <definedName name="ПЛ" localSheetId="11">ТИП10!$P$3</definedName>
    <definedName name="ПЛ" localSheetId="3">ТИП2!$P$3</definedName>
    <definedName name="ПЛ" localSheetId="4">ТИП3!$P$3</definedName>
    <definedName name="ПЛ" localSheetId="5">ТИП4!$P$3</definedName>
    <definedName name="ПЛ" localSheetId="6">ТИП5!$P$3</definedName>
    <definedName name="ПЛ" localSheetId="7">ТИП6!$P$3</definedName>
    <definedName name="ПЛ" localSheetId="8">ТИП7!$P$3</definedName>
    <definedName name="ПЛ" localSheetId="9">ТИП8!$P$3</definedName>
    <definedName name="ПЛ" localSheetId="10">ТИП9!$P$3</definedName>
    <definedName name="ПЛ">#REF!</definedName>
    <definedName name="ППР" localSheetId="2">ТИП1!$T$75</definedName>
    <definedName name="ППР" localSheetId="11">ТИП10!$T$75</definedName>
    <definedName name="ППР" localSheetId="3">ТИП2!$T$75</definedName>
    <definedName name="ППР" localSheetId="4">ТИП3!$T$75</definedName>
    <definedName name="ППР" localSheetId="5">ТИП4!$T$75</definedName>
    <definedName name="ППР" localSheetId="6">ТИП5!$T$75</definedName>
    <definedName name="ППР" localSheetId="7">ТИП6!$T$75</definedName>
    <definedName name="ППР" localSheetId="8">ТИП7!$T$75</definedName>
    <definedName name="ППР" localSheetId="9">ТИП8!$T$75</definedName>
    <definedName name="ППР" localSheetId="10">ТИП9!$T$75</definedName>
    <definedName name="ПР" localSheetId="2">ТИП1!$P$4</definedName>
    <definedName name="ПР" localSheetId="11">ТИП10!$P$4</definedName>
    <definedName name="ПР" localSheetId="3">ТИП2!$P$4</definedName>
    <definedName name="ПР" localSheetId="4">ТИП3!$P$4</definedName>
    <definedName name="ПР" localSheetId="5">ТИП4!$P$4</definedName>
    <definedName name="ПР" localSheetId="6">ТИП5!$P$4</definedName>
    <definedName name="ПР" localSheetId="7">ТИП6!$P$4</definedName>
    <definedName name="ПР" localSheetId="8">ТИП7!$P$4</definedName>
    <definedName name="ПР" localSheetId="9">ТИП8!$P$4</definedName>
    <definedName name="ПР" localSheetId="10">ТИП9!$P$4</definedName>
    <definedName name="ПР">#REF!</definedName>
    <definedName name="ПРАЙМЕР" localSheetId="2">ТИП1!$AB$75</definedName>
    <definedName name="ПРАЙМЕР" localSheetId="11">ТИП10!$AB$75</definedName>
    <definedName name="ПРАЙМЕР" localSheetId="3">ТИП2!$AB$75</definedName>
    <definedName name="ПРАЙМЕР" localSheetId="4">ТИП3!$AB$75</definedName>
    <definedName name="ПРАЙМЕР" localSheetId="5">ТИП4!$AB$75</definedName>
    <definedName name="ПРАЙМЕР" localSheetId="6">ТИП5!$AB$75</definedName>
    <definedName name="ПРАЙМЕР" localSheetId="7">ТИП6!$AB$75</definedName>
    <definedName name="ПРАЙМЕР" localSheetId="8">ТИП7!$AB$75</definedName>
    <definedName name="ПРАЙМЕР" localSheetId="9">ТИП8!$AB$75</definedName>
    <definedName name="ПРАЙМЕР" localSheetId="10">ТИП9!$AB$75</definedName>
    <definedName name="Регион">Прайс!$F$142</definedName>
    <definedName name="СМРЗ.БЕТ" localSheetId="2">ТИП1!$Z$75</definedName>
    <definedName name="СМРЗ.БЕТ" localSheetId="11">ТИП10!$Z$75</definedName>
    <definedName name="СМРЗ.БЕТ" localSheetId="3">ТИП2!$Z$75</definedName>
    <definedName name="СМРЗ.БЕТ" localSheetId="4">ТИП3!$Z$75</definedName>
    <definedName name="СМРЗ.БЕТ" localSheetId="5">ТИП4!$Z$75</definedName>
    <definedName name="СМРЗ.БЕТ" localSheetId="6">ТИП5!$Z$75</definedName>
    <definedName name="СМРЗ.БЕТ" localSheetId="7">ТИП6!$Z$75</definedName>
    <definedName name="СМРЗ.БЕТ" localSheetId="8">ТИП7!$Z$75</definedName>
    <definedName name="СМРЗ.БЕТ" localSheetId="9">ТИП8!$Z$75</definedName>
    <definedName name="СМРЗ.БЕТ" localSheetId="10">ТИП9!$Z$75</definedName>
    <definedName name="СМРЗ.МЕТ" localSheetId="2">ТИП1!$Y$75</definedName>
    <definedName name="СМРЗ.МЕТ" localSheetId="11">ТИП10!$Y$75</definedName>
    <definedName name="СМРЗ.МЕТ" localSheetId="3">ТИП2!$Y$75</definedName>
    <definedName name="СМРЗ.МЕТ" localSheetId="4">ТИП3!$Y$75</definedName>
    <definedName name="СМРЗ.МЕТ" localSheetId="5">ТИП4!$Y$75</definedName>
    <definedName name="СМРЗ.МЕТ" localSheetId="6">ТИП5!$Y$75</definedName>
    <definedName name="СМРЗ.МЕТ" localSheetId="7">ТИП6!$Y$75</definedName>
    <definedName name="СМРЗ.МЕТ" localSheetId="8">ТИП7!$Y$75</definedName>
    <definedName name="СМРЗ.МЕТ" localSheetId="9">ТИП8!$Y$75</definedName>
    <definedName name="СМРЗ.МЕТ" localSheetId="10">ТИП9!$Y$75</definedName>
    <definedName name="ТЭ" localSheetId="2">ТИП1!$U$75</definedName>
    <definedName name="ТЭ" localSheetId="11">ТИП10!$U$75</definedName>
    <definedName name="ТЭ" localSheetId="3">ТИП2!$U$75</definedName>
    <definedName name="ТЭ" localSheetId="4">ТИП3!$U$75</definedName>
    <definedName name="ТЭ" localSheetId="5">ТИП4!$U$75</definedName>
    <definedName name="ТЭ" localSheetId="6">ТИП5!$U$75</definedName>
    <definedName name="ТЭ" localSheetId="7">ТИП6!$U$75</definedName>
    <definedName name="ТЭ" localSheetId="8">ТИП7!$U$75</definedName>
    <definedName name="ТЭ" localSheetId="9">ТИП8!$U$75</definedName>
    <definedName name="ТЭ" localSheetId="10">ТИП9!$U$75</definedName>
  </definedNames>
  <calcPr calcId="162913"/>
</workbook>
</file>

<file path=xl/calcChain.xml><?xml version="1.0" encoding="utf-8"?>
<calcChain xmlns="http://schemas.openxmlformats.org/spreadsheetml/2006/main">
  <c r="I55" i="953" l="1"/>
  <c r="G48" i="953"/>
  <c r="I47" i="953"/>
  <c r="G47" i="953"/>
  <c r="G46" i="953"/>
  <c r="G45" i="953"/>
  <c r="G44" i="953"/>
  <c r="G43" i="953"/>
  <c r="G42" i="953"/>
  <c r="G41" i="953"/>
  <c r="G40" i="953"/>
  <c r="G39" i="953"/>
  <c r="I38" i="953"/>
  <c r="I37" i="953"/>
  <c r="I27" i="953"/>
  <c r="I26" i="953"/>
  <c r="I25" i="953"/>
  <c r="I24" i="953"/>
  <c r="I17" i="953"/>
  <c r="I16" i="953"/>
  <c r="H13" i="953"/>
  <c r="I13" i="953" s="1"/>
  <c r="T96" i="953"/>
  <c r="G47" i="952"/>
  <c r="I46" i="952"/>
  <c r="G46" i="952"/>
  <c r="G45" i="952"/>
  <c r="G44" i="952"/>
  <c r="G43" i="952"/>
  <c r="G42" i="952"/>
  <c r="G41" i="952"/>
  <c r="G40" i="952"/>
  <c r="G39" i="952"/>
  <c r="G38" i="952"/>
  <c r="I37" i="952"/>
  <c r="I27" i="952"/>
  <c r="I26" i="952"/>
  <c r="I25" i="952"/>
  <c r="I24" i="952"/>
  <c r="I17" i="952"/>
  <c r="I16" i="952"/>
  <c r="I13" i="952"/>
  <c r="T96" i="952"/>
  <c r="F10" i="53"/>
  <c r="I1035" i="953"/>
  <c r="I1035" i="954"/>
  <c r="I1035" i="955"/>
  <c r="I1035" i="956"/>
  <c r="I1035" i="957"/>
  <c r="I1035" i="958"/>
  <c r="I1035" i="959"/>
  <c r="I1035" i="960"/>
  <c r="I1035" i="961"/>
  <c r="I1035" i="952"/>
  <c r="G1323" i="961" l="1"/>
  <c r="H1322" i="961"/>
  <c r="G1318" i="961"/>
  <c r="H1163" i="961"/>
  <c r="H1162" i="961"/>
  <c r="H1161" i="961"/>
  <c r="H1160" i="961"/>
  <c r="H1159" i="961"/>
  <c r="H1158" i="961"/>
  <c r="H1157" i="961"/>
  <c r="H1156" i="961"/>
  <c r="H1155" i="961"/>
  <c r="H1154" i="961"/>
  <c r="H1153" i="961"/>
  <c r="H1152" i="961"/>
  <c r="H1151" i="961"/>
  <c r="H1150" i="961"/>
  <c r="H1149" i="961"/>
  <c r="H1141" i="961"/>
  <c r="I1119" i="961"/>
  <c r="I1118" i="961"/>
  <c r="I1117" i="961"/>
  <c r="I1116" i="961"/>
  <c r="I1115" i="961"/>
  <c r="I1114" i="961"/>
  <c r="I1113" i="961"/>
  <c r="I1111" i="961"/>
  <c r="I1110" i="961"/>
  <c r="I1108" i="961"/>
  <c r="I1107" i="961"/>
  <c r="I1106" i="961"/>
  <c r="I1105" i="961"/>
  <c r="I1104" i="961"/>
  <c r="I1103" i="961"/>
  <c r="I1102" i="961"/>
  <c r="I1101" i="961"/>
  <c r="I1100" i="961"/>
  <c r="I1099" i="961"/>
  <c r="I1098" i="961"/>
  <c r="I1097" i="961"/>
  <c r="I1095" i="961"/>
  <c r="I1094" i="961"/>
  <c r="I1093" i="961"/>
  <c r="I1092" i="961"/>
  <c r="I1091" i="961"/>
  <c r="I1090" i="961"/>
  <c r="I1088" i="961"/>
  <c r="I1087" i="961"/>
  <c r="I1086" i="961"/>
  <c r="I1085" i="961"/>
  <c r="I1084" i="961"/>
  <c r="I1083" i="961"/>
  <c r="I1081" i="961"/>
  <c r="I1080" i="961"/>
  <c r="I1079" i="961"/>
  <c r="G1059" i="961"/>
  <c r="G1058" i="961"/>
  <c r="G1057" i="961"/>
  <c r="G1056" i="961"/>
  <c r="G1055" i="961"/>
  <c r="G1054" i="961"/>
  <c r="G1053" i="961"/>
  <c r="G1052" i="961"/>
  <c r="G1051" i="961"/>
  <c r="G1050" i="961"/>
  <c r="G1049" i="961"/>
  <c r="G1048" i="961"/>
  <c r="I1037" i="961"/>
  <c r="G1036" i="961"/>
  <c r="G1035" i="961"/>
  <c r="G1034" i="961"/>
  <c r="G1033" i="961"/>
  <c r="G1032" i="961"/>
  <c r="G1031" i="961"/>
  <c r="G1030" i="961"/>
  <c r="G1029" i="961"/>
  <c r="G1028" i="961"/>
  <c r="G1027" i="961"/>
  <c r="I1026" i="961"/>
  <c r="I1025" i="961"/>
  <c r="I1017" i="961"/>
  <c r="I1016" i="961"/>
  <c r="I1015" i="961"/>
  <c r="I1012" i="961"/>
  <c r="I1011" i="961"/>
  <c r="I1010" i="961"/>
  <c r="I1009" i="961"/>
  <c r="I1008" i="961"/>
  <c r="I1007" i="961"/>
  <c r="I1006" i="961"/>
  <c r="I1005" i="961"/>
  <c r="I1004" i="961"/>
  <c r="I1003" i="961"/>
  <c r="I1002" i="961"/>
  <c r="I1001" i="961"/>
  <c r="I1000" i="961"/>
  <c r="I999" i="961"/>
  <c r="I998" i="961"/>
  <c r="I997" i="961"/>
  <c r="I996" i="961"/>
  <c r="I995" i="961"/>
  <c r="I994" i="961"/>
  <c r="I993" i="961"/>
  <c r="I992" i="961"/>
  <c r="I991" i="961"/>
  <c r="I990" i="961"/>
  <c r="I983" i="961"/>
  <c r="I982" i="961"/>
  <c r="I981" i="961"/>
  <c r="G981" i="961"/>
  <c r="I980" i="961"/>
  <c r="G980" i="961"/>
  <c r="I978" i="961"/>
  <c r="I977" i="961"/>
  <c r="I976" i="961"/>
  <c r="I975" i="961"/>
  <c r="I971" i="961"/>
  <c r="I979" i="961" s="1"/>
  <c r="C971" i="961"/>
  <c r="I970" i="961"/>
  <c r="I968" i="961"/>
  <c r="G935" i="961"/>
  <c r="G933" i="961"/>
  <c r="G932" i="961"/>
  <c r="G931" i="961"/>
  <c r="G930" i="961"/>
  <c r="G929" i="961"/>
  <c r="G928" i="961"/>
  <c r="I926" i="961"/>
  <c r="I925" i="961"/>
  <c r="I924" i="961"/>
  <c r="I923" i="961"/>
  <c r="I917" i="961"/>
  <c r="E917" i="961"/>
  <c r="C917" i="961"/>
  <c r="G916" i="961"/>
  <c r="G915" i="961"/>
  <c r="G914" i="961"/>
  <c r="G913" i="961"/>
  <c r="G912" i="961"/>
  <c r="G911" i="961"/>
  <c r="G910" i="961"/>
  <c r="G909" i="961"/>
  <c r="G908" i="961"/>
  <c r="I888" i="961"/>
  <c r="I887" i="961"/>
  <c r="I885" i="961"/>
  <c r="I884" i="961"/>
  <c r="I883" i="961"/>
  <c r="I882" i="961"/>
  <c r="G882" i="961"/>
  <c r="I881" i="961"/>
  <c r="I879" i="961"/>
  <c r="I878" i="961"/>
  <c r="I877" i="961"/>
  <c r="I876" i="961"/>
  <c r="I875" i="961"/>
  <c r="I874" i="961"/>
  <c r="I873" i="961"/>
  <c r="I872" i="961"/>
  <c r="I871" i="961"/>
  <c r="I870" i="961"/>
  <c r="I869" i="961"/>
  <c r="I867" i="961"/>
  <c r="I866" i="961"/>
  <c r="I865" i="961"/>
  <c r="I864" i="961"/>
  <c r="I863" i="961"/>
  <c r="C863" i="961"/>
  <c r="I862" i="961"/>
  <c r="I868" i="961" s="1"/>
  <c r="C862" i="961"/>
  <c r="I861" i="961"/>
  <c r="I860" i="961"/>
  <c r="I859" i="961"/>
  <c r="I854" i="961"/>
  <c r="I853" i="961"/>
  <c r="I852" i="961"/>
  <c r="I851" i="961"/>
  <c r="I850" i="961"/>
  <c r="I849" i="961"/>
  <c r="I848" i="961"/>
  <c r="I847" i="961"/>
  <c r="I846" i="961"/>
  <c r="I845" i="961"/>
  <c r="I844" i="961"/>
  <c r="I843" i="961"/>
  <c r="I841" i="961"/>
  <c r="I840" i="961"/>
  <c r="I839" i="961"/>
  <c r="I838" i="961"/>
  <c r="I837" i="961"/>
  <c r="I835" i="961"/>
  <c r="I834" i="961"/>
  <c r="I833" i="961"/>
  <c r="I832" i="961"/>
  <c r="I831" i="961"/>
  <c r="I830" i="961"/>
  <c r="I829" i="961"/>
  <c r="I828" i="961"/>
  <c r="I827" i="961"/>
  <c r="I819" i="961"/>
  <c r="I818" i="961"/>
  <c r="I817" i="961"/>
  <c r="I816" i="961"/>
  <c r="I815" i="961"/>
  <c r="I814" i="961"/>
  <c r="I813" i="961"/>
  <c r="I812" i="961"/>
  <c r="H811" i="961"/>
  <c r="I811" i="961" s="1"/>
  <c r="H810" i="961"/>
  <c r="I810" i="961" s="1"/>
  <c r="I809" i="961"/>
  <c r="I808" i="961"/>
  <c r="I807" i="961"/>
  <c r="N790" i="961"/>
  <c r="N789" i="961"/>
  <c r="N788" i="961"/>
  <c r="L788" i="961"/>
  <c r="N787" i="961"/>
  <c r="L787" i="961"/>
  <c r="N786" i="961"/>
  <c r="L786" i="961"/>
  <c r="N785" i="961"/>
  <c r="L785" i="961"/>
  <c r="I784" i="961"/>
  <c r="L784" i="961" s="1"/>
  <c r="G784" i="961"/>
  <c r="I783" i="961"/>
  <c r="G783" i="961"/>
  <c r="I782" i="961"/>
  <c r="L782" i="961" s="1"/>
  <c r="G782" i="961"/>
  <c r="I781" i="961"/>
  <c r="N781" i="961" s="1"/>
  <c r="G781" i="961"/>
  <c r="I780" i="961"/>
  <c r="N780" i="961" s="1"/>
  <c r="G780" i="961"/>
  <c r="I779" i="961"/>
  <c r="N779" i="961" s="1"/>
  <c r="G779" i="961"/>
  <c r="I778" i="961"/>
  <c r="L778" i="961" s="1"/>
  <c r="G778" i="961"/>
  <c r="I777" i="961"/>
  <c r="N777" i="961" s="1"/>
  <c r="G777" i="961"/>
  <c r="I776" i="961"/>
  <c r="N776" i="961" s="1"/>
  <c r="G776" i="961"/>
  <c r="N775" i="961"/>
  <c r="L775" i="961"/>
  <c r="N773" i="961"/>
  <c r="L773" i="961"/>
  <c r="N772" i="961"/>
  <c r="L772" i="961"/>
  <c r="N771" i="961"/>
  <c r="L771" i="961"/>
  <c r="N770" i="961"/>
  <c r="L770" i="961"/>
  <c r="N769" i="961"/>
  <c r="L769" i="961"/>
  <c r="G768" i="961"/>
  <c r="N767" i="961"/>
  <c r="L767" i="961"/>
  <c r="N766" i="961"/>
  <c r="L766" i="961"/>
  <c r="N765" i="961"/>
  <c r="L765" i="961"/>
  <c r="N764" i="961"/>
  <c r="L764" i="961"/>
  <c r="N763" i="961"/>
  <c r="L763" i="961"/>
  <c r="N762" i="961"/>
  <c r="L762" i="961"/>
  <c r="N761" i="961"/>
  <c r="L761" i="961"/>
  <c r="N760" i="961"/>
  <c r="L760" i="961"/>
  <c r="C759" i="961"/>
  <c r="F758" i="961"/>
  <c r="C758" i="961"/>
  <c r="I757" i="961"/>
  <c r="N757" i="961" s="1"/>
  <c r="H757" i="961"/>
  <c r="F757" i="961"/>
  <c r="N756" i="961"/>
  <c r="L756" i="961"/>
  <c r="I755" i="961"/>
  <c r="H755" i="961"/>
  <c r="F755" i="961"/>
  <c r="G754" i="961"/>
  <c r="G753" i="961"/>
  <c r="G752" i="961"/>
  <c r="G751" i="961"/>
  <c r="G750" i="961"/>
  <c r="G749" i="961"/>
  <c r="G748" i="961"/>
  <c r="N747" i="961"/>
  <c r="L747" i="961"/>
  <c r="G746" i="961"/>
  <c r="N745" i="961"/>
  <c r="L745" i="961"/>
  <c r="C744" i="961"/>
  <c r="F743" i="961"/>
  <c r="C743" i="961"/>
  <c r="I742" i="961"/>
  <c r="H742" i="961"/>
  <c r="F742" i="961"/>
  <c r="N741" i="961"/>
  <c r="L741" i="961"/>
  <c r="I740" i="961"/>
  <c r="L740" i="961" s="1"/>
  <c r="H740" i="961"/>
  <c r="F740" i="961"/>
  <c r="G739" i="961"/>
  <c r="G738" i="961"/>
  <c r="G737" i="961"/>
  <c r="G736" i="961"/>
  <c r="G735" i="961"/>
  <c r="G734" i="961"/>
  <c r="G733" i="961"/>
  <c r="N732" i="961"/>
  <c r="L732" i="961"/>
  <c r="G731" i="961"/>
  <c r="N730" i="961"/>
  <c r="L730" i="961"/>
  <c r="C729" i="961"/>
  <c r="F728" i="961"/>
  <c r="C728" i="961"/>
  <c r="I727" i="961"/>
  <c r="N727" i="961" s="1"/>
  <c r="H727" i="961"/>
  <c r="F727" i="961"/>
  <c r="N726" i="961"/>
  <c r="L726" i="961"/>
  <c r="I725" i="961"/>
  <c r="N725" i="961" s="1"/>
  <c r="H725" i="961"/>
  <c r="F725" i="961"/>
  <c r="G724" i="961"/>
  <c r="G723" i="961"/>
  <c r="G722" i="961"/>
  <c r="G721" i="961"/>
  <c r="G720" i="961"/>
  <c r="G719" i="961"/>
  <c r="G718" i="961"/>
  <c r="N717" i="961"/>
  <c r="L717" i="961"/>
  <c r="G716" i="961"/>
  <c r="N715" i="961"/>
  <c r="L715" i="961"/>
  <c r="C714" i="961"/>
  <c r="F713" i="961"/>
  <c r="C713" i="961"/>
  <c r="I712" i="961"/>
  <c r="L712" i="961" s="1"/>
  <c r="H712" i="961"/>
  <c r="F712" i="961"/>
  <c r="N711" i="961"/>
  <c r="L711" i="961"/>
  <c r="I710" i="961"/>
  <c r="L710" i="961" s="1"/>
  <c r="H710" i="961"/>
  <c r="F710" i="961"/>
  <c r="G709" i="961"/>
  <c r="G708" i="961"/>
  <c r="G707" i="961"/>
  <c r="G706" i="961"/>
  <c r="G705" i="961"/>
  <c r="G704" i="961"/>
  <c r="G703" i="961"/>
  <c r="N702" i="961"/>
  <c r="L702" i="961"/>
  <c r="G701" i="961"/>
  <c r="N700" i="961"/>
  <c r="L700" i="961"/>
  <c r="C699" i="961"/>
  <c r="F698" i="961"/>
  <c r="C698" i="961"/>
  <c r="I697" i="961"/>
  <c r="L697" i="961" s="1"/>
  <c r="H697" i="961"/>
  <c r="F697" i="961"/>
  <c r="I696" i="961"/>
  <c r="N696" i="961" s="1"/>
  <c r="H696" i="961"/>
  <c r="F696" i="961"/>
  <c r="I695" i="961"/>
  <c r="N695" i="961" s="1"/>
  <c r="H695" i="961"/>
  <c r="F695" i="961"/>
  <c r="G694" i="961"/>
  <c r="G693" i="961"/>
  <c r="N692" i="961"/>
  <c r="L692" i="961"/>
  <c r="G691" i="961"/>
  <c r="N690" i="961"/>
  <c r="L690" i="961"/>
  <c r="N689" i="961"/>
  <c r="L689" i="961"/>
  <c r="N688" i="961"/>
  <c r="L688" i="961"/>
  <c r="N687" i="961"/>
  <c r="L687" i="961"/>
  <c r="N686" i="961"/>
  <c r="L686" i="961"/>
  <c r="N685" i="961"/>
  <c r="L685" i="961"/>
  <c r="C684" i="961"/>
  <c r="F683" i="961"/>
  <c r="C683" i="961"/>
  <c r="I682" i="961"/>
  <c r="N682" i="961" s="1"/>
  <c r="H682" i="961"/>
  <c r="F682" i="961"/>
  <c r="I681" i="961"/>
  <c r="N681" i="961" s="1"/>
  <c r="H681" i="961"/>
  <c r="F681" i="961"/>
  <c r="I680" i="961"/>
  <c r="N680" i="961" s="1"/>
  <c r="H680" i="961"/>
  <c r="F680" i="961"/>
  <c r="G679" i="961"/>
  <c r="G678" i="961"/>
  <c r="N677" i="961"/>
  <c r="L677" i="961"/>
  <c r="G676" i="961"/>
  <c r="N675" i="961"/>
  <c r="L675" i="961"/>
  <c r="N674" i="961"/>
  <c r="L674" i="961"/>
  <c r="N673" i="961"/>
  <c r="L673" i="961"/>
  <c r="N672" i="961"/>
  <c r="L672" i="961"/>
  <c r="N671" i="961"/>
  <c r="L671" i="961"/>
  <c r="N670" i="961"/>
  <c r="L670" i="961"/>
  <c r="C669" i="961"/>
  <c r="F668" i="961"/>
  <c r="C668" i="961"/>
  <c r="I667" i="961"/>
  <c r="N667" i="961" s="1"/>
  <c r="H667" i="961"/>
  <c r="F667" i="961"/>
  <c r="I666" i="961"/>
  <c r="H666" i="961"/>
  <c r="F666" i="961"/>
  <c r="I665" i="961"/>
  <c r="L665" i="961" s="1"/>
  <c r="H665" i="961"/>
  <c r="F665" i="961"/>
  <c r="G664" i="961"/>
  <c r="G663" i="961"/>
  <c r="N662" i="961"/>
  <c r="L662" i="961"/>
  <c r="G661" i="961"/>
  <c r="N660" i="961"/>
  <c r="L660" i="961"/>
  <c r="N659" i="961"/>
  <c r="L659" i="961"/>
  <c r="N658" i="961"/>
  <c r="L658" i="961"/>
  <c r="N657" i="961"/>
  <c r="L657" i="961"/>
  <c r="N656" i="961"/>
  <c r="L656" i="961"/>
  <c r="N655" i="961"/>
  <c r="L655" i="961"/>
  <c r="C654" i="961"/>
  <c r="F653" i="961"/>
  <c r="C653" i="961"/>
  <c r="I652" i="961"/>
  <c r="N652" i="961" s="1"/>
  <c r="H652" i="961"/>
  <c r="F652" i="961"/>
  <c r="I651" i="961"/>
  <c r="N651" i="961" s="1"/>
  <c r="H651" i="961"/>
  <c r="F651" i="961"/>
  <c r="I650" i="961"/>
  <c r="N650" i="961" s="1"/>
  <c r="H650" i="961"/>
  <c r="F650" i="961"/>
  <c r="G649" i="961"/>
  <c r="G648" i="961"/>
  <c r="N647" i="961"/>
  <c r="L647" i="961"/>
  <c r="G646" i="961"/>
  <c r="N645" i="961"/>
  <c r="L645" i="961"/>
  <c r="N644" i="961"/>
  <c r="L644" i="961"/>
  <c r="N643" i="961"/>
  <c r="L643" i="961"/>
  <c r="N642" i="961"/>
  <c r="L642" i="961"/>
  <c r="N641" i="961"/>
  <c r="L641" i="961"/>
  <c r="N640" i="961"/>
  <c r="L640" i="961"/>
  <c r="C639" i="961"/>
  <c r="F638" i="961"/>
  <c r="C638" i="961"/>
  <c r="I637" i="961"/>
  <c r="H637" i="961"/>
  <c r="F637" i="961"/>
  <c r="I636" i="961"/>
  <c r="L636" i="961" s="1"/>
  <c r="H636" i="961"/>
  <c r="F636" i="961"/>
  <c r="I635" i="961"/>
  <c r="N635" i="961" s="1"/>
  <c r="H635" i="961"/>
  <c r="F635" i="961"/>
  <c r="G634" i="961"/>
  <c r="G633" i="961"/>
  <c r="N632" i="961"/>
  <c r="L632" i="961"/>
  <c r="G631" i="961"/>
  <c r="N630" i="961"/>
  <c r="L630" i="961"/>
  <c r="N629" i="961"/>
  <c r="L629" i="961"/>
  <c r="N628" i="961"/>
  <c r="L628" i="961"/>
  <c r="N627" i="961"/>
  <c r="L627" i="961"/>
  <c r="N626" i="961"/>
  <c r="L626" i="961"/>
  <c r="N625" i="961"/>
  <c r="L625" i="961"/>
  <c r="C624" i="961"/>
  <c r="F623" i="961"/>
  <c r="C623" i="961"/>
  <c r="I622" i="961"/>
  <c r="N622" i="961" s="1"/>
  <c r="H622" i="961"/>
  <c r="F622" i="961"/>
  <c r="I621" i="961"/>
  <c r="L621" i="961" s="1"/>
  <c r="H621" i="961"/>
  <c r="F621" i="961"/>
  <c r="I620" i="961"/>
  <c r="N620" i="961" s="1"/>
  <c r="H620" i="961"/>
  <c r="F620" i="961"/>
  <c r="G619" i="961"/>
  <c r="G618" i="961"/>
  <c r="N617" i="961"/>
  <c r="L617" i="961"/>
  <c r="G616" i="961"/>
  <c r="G615" i="961"/>
  <c r="G614" i="961"/>
  <c r="G613" i="961"/>
  <c r="I612" i="961"/>
  <c r="L612" i="961" s="1"/>
  <c r="G612" i="961"/>
  <c r="N611" i="961"/>
  <c r="L611" i="961"/>
  <c r="N610" i="961"/>
  <c r="L610" i="961"/>
  <c r="C609" i="961"/>
  <c r="F608" i="961"/>
  <c r="C608" i="961"/>
  <c r="I607" i="961"/>
  <c r="H607" i="961"/>
  <c r="F607" i="961"/>
  <c r="I606" i="961"/>
  <c r="N606" i="961" s="1"/>
  <c r="H606" i="961"/>
  <c r="F606" i="961"/>
  <c r="I605" i="961"/>
  <c r="N605" i="961" s="1"/>
  <c r="H605" i="961"/>
  <c r="F605" i="961"/>
  <c r="G604" i="961"/>
  <c r="G603" i="961"/>
  <c r="N602" i="961"/>
  <c r="L602" i="961"/>
  <c r="G601" i="961"/>
  <c r="G600" i="961"/>
  <c r="G599" i="961"/>
  <c r="G598" i="961"/>
  <c r="I597" i="961"/>
  <c r="N597" i="961" s="1"/>
  <c r="G597" i="961"/>
  <c r="N596" i="961"/>
  <c r="L596" i="961"/>
  <c r="N595" i="961"/>
  <c r="L595" i="961"/>
  <c r="C594" i="961"/>
  <c r="F593" i="961"/>
  <c r="C593" i="961"/>
  <c r="I592" i="961"/>
  <c r="L592" i="961" s="1"/>
  <c r="H592" i="961"/>
  <c r="F592" i="961"/>
  <c r="I591" i="961"/>
  <c r="N591" i="961" s="1"/>
  <c r="H591" i="961"/>
  <c r="F591" i="961"/>
  <c r="I590" i="961"/>
  <c r="L590" i="961" s="1"/>
  <c r="H590" i="961"/>
  <c r="F590" i="961"/>
  <c r="G589" i="961"/>
  <c r="G588" i="961"/>
  <c r="N587" i="961"/>
  <c r="L587" i="961"/>
  <c r="G586" i="961"/>
  <c r="G585" i="961"/>
  <c r="G584" i="961"/>
  <c r="G583" i="961"/>
  <c r="I582" i="961"/>
  <c r="N582" i="961" s="1"/>
  <c r="G582" i="961"/>
  <c r="N581" i="961"/>
  <c r="L581" i="961"/>
  <c r="N580" i="961"/>
  <c r="L580" i="961"/>
  <c r="C579" i="961"/>
  <c r="F578" i="961"/>
  <c r="C578" i="961"/>
  <c r="I577" i="961"/>
  <c r="H577" i="961"/>
  <c r="F577" i="961"/>
  <c r="I576" i="961"/>
  <c r="N576" i="961" s="1"/>
  <c r="H576" i="961"/>
  <c r="F576" i="961"/>
  <c r="I575" i="961"/>
  <c r="N575" i="961" s="1"/>
  <c r="H575" i="961"/>
  <c r="F575" i="961"/>
  <c r="G574" i="961"/>
  <c r="G573" i="961"/>
  <c r="N572" i="961"/>
  <c r="L572" i="961"/>
  <c r="G571" i="961"/>
  <c r="G570" i="961"/>
  <c r="G569" i="961"/>
  <c r="G568" i="961"/>
  <c r="I567" i="961"/>
  <c r="N567" i="961" s="1"/>
  <c r="G567" i="961"/>
  <c r="N566" i="961"/>
  <c r="L566" i="961"/>
  <c r="N565" i="961"/>
  <c r="L565" i="961"/>
  <c r="C564" i="961"/>
  <c r="F563" i="961"/>
  <c r="C563" i="961"/>
  <c r="I562" i="961"/>
  <c r="N562" i="961" s="1"/>
  <c r="H562" i="961"/>
  <c r="F562" i="961"/>
  <c r="I561" i="961"/>
  <c r="N561" i="961" s="1"/>
  <c r="H561" i="961"/>
  <c r="F561" i="961"/>
  <c r="I560" i="961"/>
  <c r="N560" i="961" s="1"/>
  <c r="H560" i="961"/>
  <c r="F560" i="961"/>
  <c r="G559" i="961"/>
  <c r="G558" i="961"/>
  <c r="N557" i="961"/>
  <c r="L557" i="961"/>
  <c r="G556" i="961"/>
  <c r="G555" i="961"/>
  <c r="G554" i="961"/>
  <c r="G553" i="961"/>
  <c r="I552" i="961"/>
  <c r="G552" i="961"/>
  <c r="N551" i="961"/>
  <c r="L551" i="961"/>
  <c r="N550" i="961"/>
  <c r="L550" i="961"/>
  <c r="C549" i="961"/>
  <c r="N548" i="961"/>
  <c r="L548" i="961"/>
  <c r="N547" i="961"/>
  <c r="L547" i="961"/>
  <c r="N546" i="961"/>
  <c r="L546" i="961"/>
  <c r="N545" i="961"/>
  <c r="L545" i="961"/>
  <c r="I544" i="961"/>
  <c r="G544" i="961"/>
  <c r="F543" i="961"/>
  <c r="I543" i="961" s="1"/>
  <c r="I542" i="961"/>
  <c r="N542" i="961" s="1"/>
  <c r="G542" i="961"/>
  <c r="I541" i="961"/>
  <c r="L541" i="961" s="1"/>
  <c r="G541" i="961"/>
  <c r="I540" i="961"/>
  <c r="G540" i="961"/>
  <c r="I539" i="961"/>
  <c r="L539" i="961" s="1"/>
  <c r="G539" i="961"/>
  <c r="I538" i="961"/>
  <c r="N538" i="961" s="1"/>
  <c r="G538" i="961"/>
  <c r="I537" i="961"/>
  <c r="N537" i="961" s="1"/>
  <c r="G537" i="961"/>
  <c r="C537" i="961"/>
  <c r="I536" i="961"/>
  <c r="G536" i="961"/>
  <c r="C536" i="961"/>
  <c r="I535" i="961"/>
  <c r="N535" i="961" s="1"/>
  <c r="G535" i="961"/>
  <c r="N533" i="961"/>
  <c r="L533" i="961"/>
  <c r="N532" i="961"/>
  <c r="L532" i="961"/>
  <c r="N531" i="961"/>
  <c r="L531" i="961"/>
  <c r="N530" i="961"/>
  <c r="L530" i="961"/>
  <c r="G529" i="961"/>
  <c r="F528" i="961"/>
  <c r="I528" i="961" s="1"/>
  <c r="N527" i="961"/>
  <c r="L527" i="961"/>
  <c r="N526" i="961"/>
  <c r="L526" i="961"/>
  <c r="G525" i="961"/>
  <c r="G524" i="961"/>
  <c r="G523" i="961"/>
  <c r="N522" i="961"/>
  <c r="L522" i="961"/>
  <c r="N521" i="961"/>
  <c r="L521" i="961"/>
  <c r="G520" i="961"/>
  <c r="C519" i="961"/>
  <c r="F518" i="961"/>
  <c r="C518" i="961"/>
  <c r="H517" i="961"/>
  <c r="N516" i="961"/>
  <c r="L516" i="961"/>
  <c r="H516" i="961"/>
  <c r="H515" i="961"/>
  <c r="G514" i="961"/>
  <c r="N513" i="961"/>
  <c r="L513" i="961"/>
  <c r="G512" i="961"/>
  <c r="G511" i="961"/>
  <c r="G510" i="961"/>
  <c r="G509" i="961"/>
  <c r="G508" i="961"/>
  <c r="G507" i="961"/>
  <c r="C507" i="961"/>
  <c r="G506" i="961"/>
  <c r="C506" i="961"/>
  <c r="N505" i="961"/>
  <c r="L505" i="961"/>
  <c r="C504" i="961"/>
  <c r="F503" i="961"/>
  <c r="C503" i="961"/>
  <c r="H502" i="961"/>
  <c r="N501" i="961"/>
  <c r="L501" i="961"/>
  <c r="H501" i="961"/>
  <c r="H500" i="961"/>
  <c r="G499" i="961"/>
  <c r="N498" i="961"/>
  <c r="L498" i="961"/>
  <c r="G497" i="961"/>
  <c r="G496" i="961"/>
  <c r="G495" i="961"/>
  <c r="G494" i="961"/>
  <c r="G493" i="961"/>
  <c r="G492" i="961"/>
  <c r="C492" i="961"/>
  <c r="G491" i="961"/>
  <c r="C491" i="961"/>
  <c r="N490" i="961"/>
  <c r="L490" i="961"/>
  <c r="C489" i="961"/>
  <c r="F488" i="961"/>
  <c r="C488" i="961"/>
  <c r="H487" i="961"/>
  <c r="N486" i="961"/>
  <c r="L486" i="961"/>
  <c r="H486" i="961"/>
  <c r="H485" i="961"/>
  <c r="G484" i="961"/>
  <c r="N483" i="961"/>
  <c r="L483" i="961"/>
  <c r="G482" i="961"/>
  <c r="G481" i="961"/>
  <c r="G480" i="961"/>
  <c r="G479" i="961"/>
  <c r="G478" i="961"/>
  <c r="G477" i="961"/>
  <c r="C477" i="961"/>
  <c r="G476" i="961"/>
  <c r="C476" i="961"/>
  <c r="N475" i="961"/>
  <c r="L475" i="961"/>
  <c r="C474" i="961"/>
  <c r="F473" i="961"/>
  <c r="C473" i="961"/>
  <c r="H472" i="961"/>
  <c r="N471" i="961"/>
  <c r="L471" i="961"/>
  <c r="H471" i="961"/>
  <c r="H470" i="961"/>
  <c r="G469" i="961"/>
  <c r="N468" i="961"/>
  <c r="L468" i="961"/>
  <c r="G467" i="961"/>
  <c r="G466" i="961"/>
  <c r="G465" i="961"/>
  <c r="G464" i="961"/>
  <c r="G463" i="961"/>
  <c r="G462" i="961"/>
  <c r="C462" i="961"/>
  <c r="G461" i="961"/>
  <c r="C461" i="961"/>
  <c r="N460" i="961"/>
  <c r="L460" i="961"/>
  <c r="C459" i="961"/>
  <c r="F458" i="961"/>
  <c r="C458" i="961"/>
  <c r="H457" i="961"/>
  <c r="N456" i="961"/>
  <c r="L456" i="961"/>
  <c r="H456" i="961"/>
  <c r="H455" i="961"/>
  <c r="G454" i="961"/>
  <c r="N453" i="961"/>
  <c r="L453" i="961"/>
  <c r="N452" i="961"/>
  <c r="L452" i="961"/>
  <c r="G451" i="961"/>
  <c r="G450" i="961"/>
  <c r="G449" i="961"/>
  <c r="G448" i="961"/>
  <c r="G447" i="961"/>
  <c r="C447" i="961"/>
  <c r="N446" i="961"/>
  <c r="L446" i="961"/>
  <c r="G445" i="961"/>
  <c r="C444" i="961"/>
  <c r="F443" i="961"/>
  <c r="C443" i="961"/>
  <c r="H442" i="961"/>
  <c r="N441" i="961"/>
  <c r="L441" i="961"/>
  <c r="H441" i="961"/>
  <c r="H440" i="961"/>
  <c r="G439" i="961"/>
  <c r="N438" i="961"/>
  <c r="L438" i="961"/>
  <c r="N437" i="961"/>
  <c r="L437" i="961"/>
  <c r="G436" i="961"/>
  <c r="G435" i="961"/>
  <c r="G434" i="961"/>
  <c r="G433" i="961"/>
  <c r="G432" i="961"/>
  <c r="C432" i="961"/>
  <c r="AQ431" i="961"/>
  <c r="AP431" i="961"/>
  <c r="N431" i="961"/>
  <c r="L431" i="961"/>
  <c r="AQ430" i="961"/>
  <c r="AP430" i="961"/>
  <c r="G430" i="961"/>
  <c r="AQ429" i="961"/>
  <c r="AP429" i="961"/>
  <c r="C429" i="961"/>
  <c r="AQ428" i="961"/>
  <c r="AP428" i="961"/>
  <c r="F428" i="961"/>
  <c r="C428" i="961"/>
  <c r="AQ427" i="961"/>
  <c r="AP427" i="961"/>
  <c r="H427" i="961"/>
  <c r="AQ426" i="961"/>
  <c r="AP426" i="961"/>
  <c r="N426" i="961"/>
  <c r="L426" i="961"/>
  <c r="H426" i="961"/>
  <c r="AQ425" i="961"/>
  <c r="AP425" i="961"/>
  <c r="H425" i="961"/>
  <c r="AQ424" i="961"/>
  <c r="AP424" i="961"/>
  <c r="G424" i="961"/>
  <c r="AQ423" i="961"/>
  <c r="AP423" i="961"/>
  <c r="N423" i="961"/>
  <c r="L423" i="961"/>
  <c r="AQ422" i="961"/>
  <c r="AP422" i="961"/>
  <c r="N422" i="961"/>
  <c r="L422" i="961"/>
  <c r="AQ421" i="961"/>
  <c r="AP421" i="961"/>
  <c r="G421" i="961"/>
  <c r="AQ420" i="961"/>
  <c r="AP420" i="961"/>
  <c r="G420" i="961"/>
  <c r="AQ419" i="961"/>
  <c r="AP419" i="961"/>
  <c r="G419" i="961"/>
  <c r="AQ418" i="961"/>
  <c r="AP418" i="961"/>
  <c r="G418" i="961"/>
  <c r="AQ417" i="961"/>
  <c r="AP417" i="961"/>
  <c r="G417" i="961"/>
  <c r="C417" i="961"/>
  <c r="AQ416" i="961"/>
  <c r="AP416" i="961"/>
  <c r="N416" i="961"/>
  <c r="L416" i="961"/>
  <c r="AQ415" i="961"/>
  <c r="AP415" i="961"/>
  <c r="G415" i="961"/>
  <c r="AQ414" i="961"/>
  <c r="AP414" i="961"/>
  <c r="C414" i="961"/>
  <c r="AQ413" i="961"/>
  <c r="AP413" i="961"/>
  <c r="F413" i="961"/>
  <c r="C413" i="961"/>
  <c r="AQ412" i="961"/>
  <c r="AP412" i="961"/>
  <c r="H412" i="961"/>
  <c r="AQ411" i="961"/>
  <c r="AP411" i="961"/>
  <c r="N411" i="961"/>
  <c r="L411" i="961"/>
  <c r="H411" i="961"/>
  <c r="AQ410" i="961"/>
  <c r="AP410" i="961"/>
  <c r="H410" i="961"/>
  <c r="AQ409" i="961"/>
  <c r="AP409" i="961"/>
  <c r="G409" i="961"/>
  <c r="AQ408" i="961"/>
  <c r="AP408" i="961"/>
  <c r="N408" i="961"/>
  <c r="L408" i="961"/>
  <c r="AQ407" i="961"/>
  <c r="AP407" i="961"/>
  <c r="N407" i="961"/>
  <c r="L407" i="961"/>
  <c r="AQ406" i="961"/>
  <c r="AP406" i="961"/>
  <c r="G406" i="961"/>
  <c r="AQ405" i="961"/>
  <c r="AP405" i="961"/>
  <c r="G405" i="961"/>
  <c r="AQ404" i="961"/>
  <c r="AP404" i="961"/>
  <c r="G404" i="961"/>
  <c r="AQ403" i="961"/>
  <c r="AP403" i="961"/>
  <c r="G403" i="961"/>
  <c r="AQ402" i="961"/>
  <c r="AP402" i="961"/>
  <c r="G402" i="961"/>
  <c r="C402" i="961"/>
  <c r="AQ401" i="961"/>
  <c r="AP401" i="961"/>
  <c r="N401" i="961"/>
  <c r="L401" i="961"/>
  <c r="AQ400" i="961"/>
  <c r="AP400" i="961"/>
  <c r="G400" i="961"/>
  <c r="AQ399" i="961"/>
  <c r="AP399" i="961"/>
  <c r="C399" i="961"/>
  <c r="AQ398" i="961"/>
  <c r="AP398" i="961"/>
  <c r="F398" i="961"/>
  <c r="C398" i="961"/>
  <c r="AQ397" i="961"/>
  <c r="AP397" i="961"/>
  <c r="H397" i="961"/>
  <c r="AQ396" i="961"/>
  <c r="AP396" i="961"/>
  <c r="N396" i="961"/>
  <c r="L396" i="961"/>
  <c r="H396" i="961"/>
  <c r="AQ395" i="961"/>
  <c r="AP395" i="961"/>
  <c r="H395" i="961"/>
  <c r="AQ394" i="961"/>
  <c r="AP394" i="961"/>
  <c r="G394" i="961"/>
  <c r="AQ393" i="961"/>
  <c r="AP393" i="961"/>
  <c r="N393" i="961"/>
  <c r="L393" i="961"/>
  <c r="AQ392" i="961"/>
  <c r="AP392" i="961"/>
  <c r="N392" i="961"/>
  <c r="L392" i="961"/>
  <c r="AQ391" i="961"/>
  <c r="AP391" i="961"/>
  <c r="G391" i="961"/>
  <c r="AQ390" i="961"/>
  <c r="AP390" i="961"/>
  <c r="G390" i="961"/>
  <c r="AQ389" i="961"/>
  <c r="AP389" i="961"/>
  <c r="G389" i="961"/>
  <c r="AQ388" i="961"/>
  <c r="AP388" i="961"/>
  <c r="G388" i="961"/>
  <c r="AQ387" i="961"/>
  <c r="AP387" i="961"/>
  <c r="G387" i="961"/>
  <c r="C387" i="961"/>
  <c r="N386" i="961"/>
  <c r="L386" i="961"/>
  <c r="G385" i="961"/>
  <c r="C384" i="961"/>
  <c r="F383" i="961"/>
  <c r="C383" i="961"/>
  <c r="H382" i="961"/>
  <c r="H381" i="961"/>
  <c r="H380" i="961"/>
  <c r="G379" i="961"/>
  <c r="N378" i="961"/>
  <c r="L378" i="961"/>
  <c r="N377" i="961"/>
  <c r="L377" i="961"/>
  <c r="G376" i="961"/>
  <c r="G375" i="961"/>
  <c r="G374" i="961"/>
  <c r="G373" i="961"/>
  <c r="G372" i="961"/>
  <c r="C372" i="961"/>
  <c r="N371" i="961"/>
  <c r="L371" i="961"/>
  <c r="G370" i="961"/>
  <c r="C369" i="961"/>
  <c r="F368" i="961"/>
  <c r="C368" i="961"/>
  <c r="H367" i="961"/>
  <c r="H366" i="961"/>
  <c r="H365" i="961"/>
  <c r="G364" i="961"/>
  <c r="N363" i="961"/>
  <c r="L363" i="961"/>
  <c r="N362" i="961"/>
  <c r="L362" i="961"/>
  <c r="G361" i="961"/>
  <c r="G360" i="961"/>
  <c r="G359" i="961"/>
  <c r="G358" i="961"/>
  <c r="G357" i="961"/>
  <c r="C357" i="961"/>
  <c r="N356" i="961"/>
  <c r="L356" i="961"/>
  <c r="G355" i="961"/>
  <c r="C354" i="961"/>
  <c r="F353" i="961"/>
  <c r="C353" i="961"/>
  <c r="H352" i="961"/>
  <c r="H351" i="961"/>
  <c r="H350" i="961"/>
  <c r="G349" i="961"/>
  <c r="N348" i="961"/>
  <c r="L348" i="961"/>
  <c r="N347" i="961"/>
  <c r="L347" i="961"/>
  <c r="G346" i="961"/>
  <c r="G345" i="961"/>
  <c r="G344" i="961"/>
  <c r="G343" i="961"/>
  <c r="G342" i="961"/>
  <c r="C342" i="961"/>
  <c r="N341" i="961"/>
  <c r="L341" i="961"/>
  <c r="G340" i="961"/>
  <c r="C339" i="961"/>
  <c r="F338" i="961"/>
  <c r="C338" i="961"/>
  <c r="H337" i="961"/>
  <c r="H336" i="961"/>
  <c r="H335" i="961"/>
  <c r="G334" i="961"/>
  <c r="N333" i="961"/>
  <c r="L333" i="961"/>
  <c r="N332" i="961"/>
  <c r="L332" i="961"/>
  <c r="G331" i="961"/>
  <c r="G330" i="961"/>
  <c r="G329" i="961"/>
  <c r="G328" i="961"/>
  <c r="G327" i="961"/>
  <c r="C327" i="961"/>
  <c r="N326" i="961"/>
  <c r="L326" i="961"/>
  <c r="G325" i="961"/>
  <c r="C324" i="961"/>
  <c r="F323" i="961"/>
  <c r="C323" i="961"/>
  <c r="H322" i="961"/>
  <c r="H321" i="961"/>
  <c r="H320" i="961"/>
  <c r="G319" i="961"/>
  <c r="N318" i="961"/>
  <c r="L318" i="961"/>
  <c r="N317" i="961"/>
  <c r="L317" i="961"/>
  <c r="G316" i="961"/>
  <c r="G315" i="961"/>
  <c r="G314" i="961"/>
  <c r="G313" i="961"/>
  <c r="G312" i="961"/>
  <c r="C312" i="961"/>
  <c r="N311" i="961"/>
  <c r="L311" i="961"/>
  <c r="G310" i="961"/>
  <c r="C309" i="961"/>
  <c r="N308" i="961"/>
  <c r="N307" i="961"/>
  <c r="N306" i="961"/>
  <c r="N305" i="961"/>
  <c r="N304" i="961"/>
  <c r="N303" i="961"/>
  <c r="N302" i="961"/>
  <c r="N301" i="961"/>
  <c r="N300" i="961"/>
  <c r="N299" i="961"/>
  <c r="E295" i="961"/>
  <c r="D295" i="961"/>
  <c r="C295" i="961"/>
  <c r="E294" i="961"/>
  <c r="D294" i="961"/>
  <c r="C294" i="961"/>
  <c r="E293" i="961"/>
  <c r="D293" i="961"/>
  <c r="C293" i="961"/>
  <c r="E292" i="961"/>
  <c r="D292" i="961"/>
  <c r="C292" i="961"/>
  <c r="E291" i="961"/>
  <c r="D291" i="961"/>
  <c r="C291" i="961"/>
  <c r="E290" i="961"/>
  <c r="D290" i="961"/>
  <c r="C290" i="961"/>
  <c r="E289" i="961"/>
  <c r="D289" i="961"/>
  <c r="C289" i="961"/>
  <c r="E288" i="961"/>
  <c r="D288" i="961"/>
  <c r="C288" i="961"/>
  <c r="E287" i="961"/>
  <c r="D287" i="961"/>
  <c r="C287" i="961"/>
  <c r="E286" i="961"/>
  <c r="D286" i="961"/>
  <c r="C286" i="961"/>
  <c r="AC285" i="961"/>
  <c r="AA285" i="961"/>
  <c r="Y285" i="961"/>
  <c r="E285" i="961"/>
  <c r="D285" i="961"/>
  <c r="C285" i="961"/>
  <c r="AC284" i="961"/>
  <c r="AA284" i="961"/>
  <c r="Y284" i="961"/>
  <c r="E284" i="961"/>
  <c r="D284" i="961"/>
  <c r="C284" i="961"/>
  <c r="AC283" i="961"/>
  <c r="AA283" i="961"/>
  <c r="Y283" i="961"/>
  <c r="E283" i="961"/>
  <c r="D283" i="961"/>
  <c r="C283" i="961"/>
  <c r="AC282" i="961"/>
  <c r="AA282" i="961"/>
  <c r="Y282" i="961"/>
  <c r="E282" i="961"/>
  <c r="D282" i="961"/>
  <c r="C282" i="961"/>
  <c r="AC281" i="961"/>
  <c r="AA281" i="961"/>
  <c r="Y281" i="961"/>
  <c r="E281" i="961"/>
  <c r="D281" i="961"/>
  <c r="C281" i="961"/>
  <c r="AC280" i="961"/>
  <c r="AA280" i="961"/>
  <c r="Y280" i="961"/>
  <c r="E280" i="961"/>
  <c r="D280" i="961"/>
  <c r="C280" i="961"/>
  <c r="AC279" i="961"/>
  <c r="AA279" i="961"/>
  <c r="Y279" i="961"/>
  <c r="E279" i="961"/>
  <c r="D279" i="961"/>
  <c r="C279" i="961"/>
  <c r="AC278" i="961"/>
  <c r="AA278" i="961"/>
  <c r="Y278" i="961"/>
  <c r="E278" i="961"/>
  <c r="D278" i="961"/>
  <c r="C278" i="961"/>
  <c r="AC277" i="961"/>
  <c r="AA277" i="961"/>
  <c r="Y277" i="961"/>
  <c r="E277" i="961"/>
  <c r="D277" i="961"/>
  <c r="C277" i="961"/>
  <c r="AC276" i="961"/>
  <c r="AA276" i="961"/>
  <c r="Y276" i="961"/>
  <c r="E276" i="961"/>
  <c r="D276" i="961"/>
  <c r="C276" i="961"/>
  <c r="AC275" i="961"/>
  <c r="AA275" i="961"/>
  <c r="Y275" i="961"/>
  <c r="E275" i="961"/>
  <c r="D275" i="961"/>
  <c r="C275" i="961"/>
  <c r="AC274" i="961"/>
  <c r="AA274" i="961"/>
  <c r="Y274" i="961"/>
  <c r="E274" i="961"/>
  <c r="D274" i="961"/>
  <c r="C274" i="961"/>
  <c r="AC273" i="961"/>
  <c r="AA273" i="961"/>
  <c r="Y273" i="961"/>
  <c r="E273" i="961"/>
  <c r="D273" i="961"/>
  <c r="C273" i="961"/>
  <c r="AC272" i="961"/>
  <c r="AA272" i="961"/>
  <c r="Y272" i="961"/>
  <c r="E272" i="961"/>
  <c r="D272" i="961"/>
  <c r="C272" i="961"/>
  <c r="AC271" i="961"/>
  <c r="AA271" i="961"/>
  <c r="Y271" i="961"/>
  <c r="E271" i="961"/>
  <c r="D271" i="961"/>
  <c r="C271" i="961"/>
  <c r="AC270" i="961"/>
  <c r="AA270" i="961"/>
  <c r="Y270" i="961"/>
  <c r="E270" i="961"/>
  <c r="D270" i="961"/>
  <c r="C270" i="961"/>
  <c r="AC269" i="961"/>
  <c r="AA269" i="961"/>
  <c r="Y269" i="961"/>
  <c r="E269" i="961"/>
  <c r="D269" i="961"/>
  <c r="C269" i="961"/>
  <c r="AC268" i="961"/>
  <c r="AA268" i="961"/>
  <c r="Y268" i="961"/>
  <c r="E268" i="961"/>
  <c r="D268" i="961"/>
  <c r="C268" i="961"/>
  <c r="AC267" i="961"/>
  <c r="AA267" i="961"/>
  <c r="Y267" i="961"/>
  <c r="E267" i="961"/>
  <c r="D267" i="961"/>
  <c r="C267" i="961"/>
  <c r="AC266" i="961"/>
  <c r="AA266" i="961"/>
  <c r="Y266" i="961"/>
  <c r="E266" i="961"/>
  <c r="D266" i="961"/>
  <c r="C266" i="961"/>
  <c r="AC265" i="961"/>
  <c r="AA265" i="961"/>
  <c r="Y265" i="961"/>
  <c r="E265" i="961"/>
  <c r="D265" i="961"/>
  <c r="C265" i="961"/>
  <c r="AC264" i="961"/>
  <c r="AA264" i="961"/>
  <c r="Y264" i="961"/>
  <c r="E264" i="961"/>
  <c r="D264" i="961"/>
  <c r="C264" i="961"/>
  <c r="AC263" i="961"/>
  <c r="AA263" i="961"/>
  <c r="Y263" i="961"/>
  <c r="E263" i="961"/>
  <c r="D263" i="961"/>
  <c r="C263" i="961"/>
  <c r="AC262" i="961"/>
  <c r="AA262" i="961"/>
  <c r="Y262" i="961"/>
  <c r="E262" i="961"/>
  <c r="D262" i="961"/>
  <c r="C262" i="961"/>
  <c r="AC261" i="961"/>
  <c r="AA261" i="961"/>
  <c r="Y261" i="961"/>
  <c r="E261" i="961"/>
  <c r="D261" i="961"/>
  <c r="C261" i="961"/>
  <c r="AC260" i="961"/>
  <c r="AA260" i="961"/>
  <c r="Y260" i="961"/>
  <c r="E260" i="961"/>
  <c r="D260" i="961"/>
  <c r="C260" i="961"/>
  <c r="AC259" i="961"/>
  <c r="AA259" i="961"/>
  <c r="Y259" i="961"/>
  <c r="E259" i="961"/>
  <c r="D259" i="961"/>
  <c r="C259" i="961"/>
  <c r="AC258" i="961"/>
  <c r="AA258" i="961"/>
  <c r="Y258" i="961"/>
  <c r="E258" i="961"/>
  <c r="D258" i="961"/>
  <c r="C258" i="961"/>
  <c r="AC257" i="961"/>
  <c r="AA257" i="961"/>
  <c r="Y257" i="961"/>
  <c r="E257" i="961"/>
  <c r="D257" i="961"/>
  <c r="C257" i="961"/>
  <c r="AC256" i="961"/>
  <c r="AA256" i="961"/>
  <c r="Y256" i="961"/>
  <c r="E256" i="961"/>
  <c r="D256" i="961"/>
  <c r="C256" i="961"/>
  <c r="AC255" i="961"/>
  <c r="AA255" i="961"/>
  <c r="Y255" i="961"/>
  <c r="E255" i="961"/>
  <c r="D255" i="961"/>
  <c r="C255" i="961"/>
  <c r="AC254" i="961"/>
  <c r="AA254" i="961"/>
  <c r="Y254" i="961"/>
  <c r="E254" i="961"/>
  <c r="D254" i="961"/>
  <c r="C254" i="961"/>
  <c r="AC253" i="961"/>
  <c r="AA253" i="961"/>
  <c r="Y253" i="961"/>
  <c r="E253" i="961"/>
  <c r="D253" i="961"/>
  <c r="C253" i="961"/>
  <c r="AC252" i="961"/>
  <c r="AA252" i="961"/>
  <c r="Y252" i="961"/>
  <c r="E252" i="961"/>
  <c r="D252" i="961"/>
  <c r="C252" i="961"/>
  <c r="AC251" i="961"/>
  <c r="AA251" i="961"/>
  <c r="Y251" i="961"/>
  <c r="E251" i="961"/>
  <c r="D251" i="961"/>
  <c r="C251" i="961"/>
  <c r="AC250" i="961"/>
  <c r="AA250" i="961"/>
  <c r="Y250" i="961"/>
  <c r="E250" i="961"/>
  <c r="D250" i="961"/>
  <c r="C250" i="961"/>
  <c r="AC249" i="961"/>
  <c r="AA249" i="961"/>
  <c r="Y249" i="961"/>
  <c r="E249" i="961"/>
  <c r="D249" i="961"/>
  <c r="C249" i="961"/>
  <c r="AC248" i="961"/>
  <c r="AA248" i="961"/>
  <c r="Y248" i="961"/>
  <c r="E248" i="961"/>
  <c r="D248" i="961"/>
  <c r="C248" i="961"/>
  <c r="AC247" i="961"/>
  <c r="AA247" i="961"/>
  <c r="Y247" i="961"/>
  <c r="E247" i="961"/>
  <c r="D247" i="961"/>
  <c r="C247" i="961"/>
  <c r="AC246" i="961"/>
  <c r="AA246" i="961"/>
  <c r="Y246" i="961"/>
  <c r="E246" i="961"/>
  <c r="D246" i="961"/>
  <c r="C246" i="961"/>
  <c r="AC245" i="961"/>
  <c r="AA245" i="961"/>
  <c r="Y245" i="961"/>
  <c r="E245" i="961"/>
  <c r="D245" i="961"/>
  <c r="C245" i="961"/>
  <c r="AC244" i="961"/>
  <c r="AA244" i="961"/>
  <c r="Y244" i="961"/>
  <c r="E244" i="961"/>
  <c r="D244" i="961"/>
  <c r="C244" i="961"/>
  <c r="AC243" i="961"/>
  <c r="AA243" i="961"/>
  <c r="Y243" i="961"/>
  <c r="E243" i="961"/>
  <c r="D243" i="961"/>
  <c r="C243" i="961"/>
  <c r="AC242" i="961"/>
  <c r="AA242" i="961"/>
  <c r="Y242" i="961"/>
  <c r="E242" i="961"/>
  <c r="D242" i="961"/>
  <c r="C242" i="961"/>
  <c r="AC241" i="961"/>
  <c r="AA241" i="961"/>
  <c r="Y241" i="961"/>
  <c r="E241" i="961"/>
  <c r="D241" i="961"/>
  <c r="C241" i="961"/>
  <c r="AC240" i="961"/>
  <c r="AA240" i="961"/>
  <c r="Y240" i="961"/>
  <c r="E240" i="961"/>
  <c r="D240" i="961"/>
  <c r="C240" i="961"/>
  <c r="AC239" i="961"/>
  <c r="AA239" i="961"/>
  <c r="Y239" i="961"/>
  <c r="E239" i="961"/>
  <c r="D239" i="961"/>
  <c r="C239" i="961"/>
  <c r="AC238" i="961"/>
  <c r="AA238" i="961"/>
  <c r="Y238" i="961"/>
  <c r="E238" i="961"/>
  <c r="D238" i="961"/>
  <c r="C238" i="961"/>
  <c r="AC237" i="961"/>
  <c r="AA237" i="961"/>
  <c r="Y237" i="961"/>
  <c r="V237" i="961"/>
  <c r="S237" i="961"/>
  <c r="P237" i="961"/>
  <c r="E237" i="961"/>
  <c r="D237" i="961"/>
  <c r="C237" i="961"/>
  <c r="AC236" i="961"/>
  <c r="AA236" i="961"/>
  <c r="Y236" i="961"/>
  <c r="V236" i="961"/>
  <c r="S236" i="961"/>
  <c r="P236" i="961"/>
  <c r="E236" i="961"/>
  <c r="D236" i="961"/>
  <c r="C236" i="961"/>
  <c r="AC235" i="961"/>
  <c r="AA235" i="961"/>
  <c r="Y235" i="961"/>
  <c r="V235" i="961"/>
  <c r="S235" i="961"/>
  <c r="P235" i="961"/>
  <c r="E235" i="961"/>
  <c r="D235" i="961"/>
  <c r="C235" i="961"/>
  <c r="AC234" i="961"/>
  <c r="AA234" i="961"/>
  <c r="Y234" i="961"/>
  <c r="V234" i="961"/>
  <c r="S234" i="961"/>
  <c r="P234" i="961"/>
  <c r="E234" i="961"/>
  <c r="D234" i="961"/>
  <c r="C234" i="961"/>
  <c r="AC233" i="961"/>
  <c r="AA233" i="961"/>
  <c r="Y233" i="961"/>
  <c r="E233" i="961"/>
  <c r="D233" i="961"/>
  <c r="C233" i="961"/>
  <c r="W232" i="961"/>
  <c r="V232" i="961"/>
  <c r="T232" i="961"/>
  <c r="S232" i="961"/>
  <c r="Q232" i="961"/>
  <c r="P232" i="961"/>
  <c r="E232" i="961"/>
  <c r="D232" i="961"/>
  <c r="C232" i="961"/>
  <c r="E231" i="961"/>
  <c r="D231" i="961"/>
  <c r="C231" i="961"/>
  <c r="AC230" i="961"/>
  <c r="AA230" i="961"/>
  <c r="AB236" i="961" s="1"/>
  <c r="Y230" i="961"/>
  <c r="Z281" i="961" s="1"/>
  <c r="E230" i="961"/>
  <c r="D230" i="961"/>
  <c r="C230" i="961"/>
  <c r="E229" i="961"/>
  <c r="D229" i="961"/>
  <c r="C229" i="961"/>
  <c r="E228" i="961"/>
  <c r="D228" i="961"/>
  <c r="C228" i="961"/>
  <c r="E227" i="961"/>
  <c r="D227" i="961"/>
  <c r="C227" i="961"/>
  <c r="E226" i="961"/>
  <c r="D226" i="961"/>
  <c r="C226" i="961"/>
  <c r="I225" i="961"/>
  <c r="E225" i="961"/>
  <c r="D225" i="961"/>
  <c r="C225" i="961"/>
  <c r="N224" i="961"/>
  <c r="Y223" i="961"/>
  <c r="N223" i="961"/>
  <c r="Y222" i="961"/>
  <c r="N222" i="961"/>
  <c r="N221" i="961"/>
  <c r="N220" i="961"/>
  <c r="N219" i="961"/>
  <c r="N218" i="961"/>
  <c r="N217" i="961"/>
  <c r="J216" i="961"/>
  <c r="I216" i="961"/>
  <c r="N216" i="961" s="1"/>
  <c r="E216" i="961"/>
  <c r="D216" i="961"/>
  <c r="C216" i="961"/>
  <c r="J215" i="961"/>
  <c r="I215" i="961"/>
  <c r="N215" i="961" s="1"/>
  <c r="E215" i="961"/>
  <c r="D215" i="961"/>
  <c r="C215" i="961"/>
  <c r="J214" i="961"/>
  <c r="I214" i="961"/>
  <c r="N214" i="961" s="1"/>
  <c r="E214" i="961"/>
  <c r="D214" i="961"/>
  <c r="C214" i="961"/>
  <c r="J213" i="961"/>
  <c r="I213" i="961"/>
  <c r="N213" i="961" s="1"/>
  <c r="E213" i="961"/>
  <c r="D213" i="961"/>
  <c r="C213" i="961"/>
  <c r="J212" i="961"/>
  <c r="I212" i="961"/>
  <c r="N212" i="961" s="1"/>
  <c r="E212" i="961"/>
  <c r="D212" i="961"/>
  <c r="C212" i="961"/>
  <c r="J211" i="961"/>
  <c r="I211" i="961"/>
  <c r="E211" i="961"/>
  <c r="D211" i="961"/>
  <c r="C211" i="961"/>
  <c r="J210" i="961"/>
  <c r="I210" i="961"/>
  <c r="N210" i="961" s="1"/>
  <c r="E210" i="961"/>
  <c r="D210" i="961"/>
  <c r="C210" i="961"/>
  <c r="J209" i="961"/>
  <c r="I209" i="961"/>
  <c r="N209" i="961" s="1"/>
  <c r="E209" i="961"/>
  <c r="D209" i="961"/>
  <c r="C209" i="961"/>
  <c r="J208" i="961"/>
  <c r="I208" i="961"/>
  <c r="N208" i="961" s="1"/>
  <c r="E208" i="961"/>
  <c r="D208" i="961"/>
  <c r="C208" i="961"/>
  <c r="J207" i="961"/>
  <c r="I207" i="961"/>
  <c r="E207" i="961"/>
  <c r="D207" i="961"/>
  <c r="C207" i="961"/>
  <c r="J206" i="961"/>
  <c r="I206" i="961"/>
  <c r="N206" i="961" s="1"/>
  <c r="E206" i="961"/>
  <c r="D206" i="961"/>
  <c r="C206" i="961"/>
  <c r="J205" i="961"/>
  <c r="I205" i="961"/>
  <c r="N205" i="961" s="1"/>
  <c r="E205" i="961"/>
  <c r="D205" i="961"/>
  <c r="C205" i="961"/>
  <c r="J204" i="961"/>
  <c r="I204" i="961"/>
  <c r="N204" i="961" s="1"/>
  <c r="E204" i="961"/>
  <c r="D204" i="961"/>
  <c r="C204" i="961"/>
  <c r="J203" i="961"/>
  <c r="I203" i="961"/>
  <c r="E203" i="961"/>
  <c r="D203" i="961"/>
  <c r="C203" i="961"/>
  <c r="J202" i="961"/>
  <c r="I202" i="961"/>
  <c r="N202" i="961" s="1"/>
  <c r="E202" i="961"/>
  <c r="D202" i="961"/>
  <c r="C202" i="961"/>
  <c r="J201" i="961"/>
  <c r="I201" i="961"/>
  <c r="N201" i="961" s="1"/>
  <c r="E201" i="961"/>
  <c r="D201" i="961"/>
  <c r="C201" i="961"/>
  <c r="J200" i="961"/>
  <c r="I200" i="961"/>
  <c r="N200" i="961" s="1"/>
  <c r="E200" i="961"/>
  <c r="D200" i="961"/>
  <c r="C200" i="961"/>
  <c r="J199" i="961"/>
  <c r="I199" i="961"/>
  <c r="N199" i="961" s="1"/>
  <c r="E199" i="961"/>
  <c r="D199" i="961"/>
  <c r="C199" i="961"/>
  <c r="J198" i="961"/>
  <c r="I198" i="961"/>
  <c r="N198" i="961" s="1"/>
  <c r="E198" i="961"/>
  <c r="D198" i="961"/>
  <c r="C198" i="961"/>
  <c r="J197" i="961"/>
  <c r="I197" i="961"/>
  <c r="N197" i="961" s="1"/>
  <c r="E197" i="961"/>
  <c r="D197" i="961"/>
  <c r="C197" i="961"/>
  <c r="J196" i="961"/>
  <c r="I196" i="961"/>
  <c r="N196" i="961" s="1"/>
  <c r="E196" i="961"/>
  <c r="D196" i="961"/>
  <c r="C196" i="961"/>
  <c r="J195" i="961"/>
  <c r="I195" i="961"/>
  <c r="N195" i="961" s="1"/>
  <c r="E195" i="961"/>
  <c r="D195" i="961"/>
  <c r="C195" i="961"/>
  <c r="J194" i="961"/>
  <c r="I194" i="961"/>
  <c r="E194" i="961"/>
  <c r="D194" i="961"/>
  <c r="C194" i="961"/>
  <c r="J193" i="961"/>
  <c r="I193" i="961"/>
  <c r="N193" i="961" s="1"/>
  <c r="E193" i="961"/>
  <c r="D193" i="961"/>
  <c r="C193" i="961"/>
  <c r="J192" i="961"/>
  <c r="I192" i="961"/>
  <c r="N192" i="961" s="1"/>
  <c r="E192" i="961"/>
  <c r="D192" i="961"/>
  <c r="C192" i="961"/>
  <c r="J191" i="961"/>
  <c r="I191" i="961"/>
  <c r="N191" i="961" s="1"/>
  <c r="E191" i="961"/>
  <c r="D191" i="961"/>
  <c r="C191" i="961"/>
  <c r="J190" i="961"/>
  <c r="I190" i="961"/>
  <c r="E190" i="961"/>
  <c r="D190" i="961"/>
  <c r="C190" i="961"/>
  <c r="J189" i="961"/>
  <c r="I189" i="961"/>
  <c r="N189" i="961" s="1"/>
  <c r="E189" i="961"/>
  <c r="D189" i="961"/>
  <c r="C189" i="961"/>
  <c r="J188" i="961"/>
  <c r="I188" i="961"/>
  <c r="N188" i="961" s="1"/>
  <c r="E188" i="961"/>
  <c r="D188" i="961"/>
  <c r="C188" i="961"/>
  <c r="J187" i="961"/>
  <c r="I187" i="961"/>
  <c r="N187" i="961" s="1"/>
  <c r="E187" i="961"/>
  <c r="D187" i="961"/>
  <c r="C187" i="961"/>
  <c r="J186" i="961"/>
  <c r="I186" i="961"/>
  <c r="N186" i="961" s="1"/>
  <c r="E186" i="961"/>
  <c r="D186" i="961"/>
  <c r="C186" i="961"/>
  <c r="J185" i="961"/>
  <c r="I185" i="961"/>
  <c r="N185" i="961" s="1"/>
  <c r="E185" i="961"/>
  <c r="D185" i="961"/>
  <c r="C185" i="961"/>
  <c r="J184" i="961"/>
  <c r="I184" i="961"/>
  <c r="N184" i="961" s="1"/>
  <c r="E184" i="961"/>
  <c r="D184" i="961"/>
  <c r="C184" i="961"/>
  <c r="J183" i="961"/>
  <c r="I183" i="961"/>
  <c r="N183" i="961" s="1"/>
  <c r="E183" i="961"/>
  <c r="D183" i="961"/>
  <c r="C183" i="961"/>
  <c r="J182" i="961"/>
  <c r="I182" i="961"/>
  <c r="N182" i="961" s="1"/>
  <c r="E182" i="961"/>
  <c r="D182" i="961"/>
  <c r="C182" i="961"/>
  <c r="J181" i="961"/>
  <c r="I181" i="961"/>
  <c r="N181" i="961" s="1"/>
  <c r="E181" i="961"/>
  <c r="D181" i="961"/>
  <c r="C181" i="961"/>
  <c r="J180" i="961"/>
  <c r="I180" i="961"/>
  <c r="N180" i="961" s="1"/>
  <c r="E180" i="961"/>
  <c r="D180" i="961"/>
  <c r="C180" i="961"/>
  <c r="J179" i="961"/>
  <c r="I179" i="961"/>
  <c r="N179" i="961" s="1"/>
  <c r="E179" i="961"/>
  <c r="D179" i="961"/>
  <c r="C179" i="961"/>
  <c r="J178" i="961"/>
  <c r="I178" i="961"/>
  <c r="N178" i="961" s="1"/>
  <c r="E178" i="961"/>
  <c r="D178" i="961"/>
  <c r="C178" i="961"/>
  <c r="J177" i="961"/>
  <c r="I177" i="961"/>
  <c r="N177" i="961" s="1"/>
  <c r="E177" i="961"/>
  <c r="D177" i="961"/>
  <c r="C177" i="961"/>
  <c r="V176" i="961"/>
  <c r="S176" i="961"/>
  <c r="J176" i="961"/>
  <c r="I176" i="961"/>
  <c r="N176" i="961" s="1"/>
  <c r="E176" i="961"/>
  <c r="D176" i="961"/>
  <c r="C176" i="961"/>
  <c r="V175" i="961"/>
  <c r="S175" i="961"/>
  <c r="J175" i="961"/>
  <c r="I175" i="961"/>
  <c r="N175" i="961" s="1"/>
  <c r="E175" i="961"/>
  <c r="D175" i="961"/>
  <c r="C175" i="961"/>
  <c r="V174" i="961"/>
  <c r="S174" i="961"/>
  <c r="J174" i="961"/>
  <c r="I174" i="961"/>
  <c r="N174" i="961" s="1"/>
  <c r="E174" i="961"/>
  <c r="D174" i="961"/>
  <c r="C174" i="961"/>
  <c r="V173" i="961"/>
  <c r="S173" i="961"/>
  <c r="J173" i="961"/>
  <c r="I173" i="961"/>
  <c r="N173" i="961" s="1"/>
  <c r="E173" i="961"/>
  <c r="D173" i="961"/>
  <c r="C173" i="961"/>
  <c r="V172" i="961"/>
  <c r="S172" i="961"/>
  <c r="J172" i="961"/>
  <c r="I172" i="961"/>
  <c r="N172" i="961" s="1"/>
  <c r="E172" i="961"/>
  <c r="D172" i="961"/>
  <c r="C172" i="961"/>
  <c r="J171" i="961"/>
  <c r="I171" i="961"/>
  <c r="N171" i="961" s="1"/>
  <c r="E171" i="961"/>
  <c r="D171" i="961"/>
  <c r="C171" i="961"/>
  <c r="R170" i="961"/>
  <c r="T170" i="961" s="1"/>
  <c r="J170" i="961"/>
  <c r="I170" i="961"/>
  <c r="N170" i="961" s="1"/>
  <c r="E170" i="961"/>
  <c r="D170" i="961"/>
  <c r="C170" i="961"/>
  <c r="J169" i="961"/>
  <c r="I169" i="961"/>
  <c r="N169" i="961" s="1"/>
  <c r="E169" i="961"/>
  <c r="D169" i="961"/>
  <c r="C169" i="961"/>
  <c r="J168" i="961"/>
  <c r="I168" i="961"/>
  <c r="E168" i="961"/>
  <c r="D168" i="961"/>
  <c r="C168" i="961"/>
  <c r="J167" i="961"/>
  <c r="I167" i="961"/>
  <c r="N167" i="961" s="1"/>
  <c r="E167" i="961"/>
  <c r="D167" i="961"/>
  <c r="C167" i="961"/>
  <c r="J166" i="961"/>
  <c r="I166" i="961"/>
  <c r="N166" i="961" s="1"/>
  <c r="E166" i="961"/>
  <c r="D166" i="961"/>
  <c r="C166" i="961"/>
  <c r="J165" i="961"/>
  <c r="I165" i="961"/>
  <c r="N165" i="961" s="1"/>
  <c r="E165" i="961"/>
  <c r="D165" i="961"/>
  <c r="C165" i="961"/>
  <c r="J164" i="961"/>
  <c r="I164" i="961"/>
  <c r="N164" i="961" s="1"/>
  <c r="E164" i="961"/>
  <c r="D164" i="961"/>
  <c r="C164" i="961"/>
  <c r="R163" i="961"/>
  <c r="P163" i="961"/>
  <c r="J163" i="961"/>
  <c r="I163" i="961"/>
  <c r="E163" i="961"/>
  <c r="D163" i="961"/>
  <c r="C163" i="961"/>
  <c r="R162" i="961"/>
  <c r="P162" i="961"/>
  <c r="J162" i="961"/>
  <c r="I162" i="961"/>
  <c r="E162" i="961"/>
  <c r="D162" i="961"/>
  <c r="C162" i="961"/>
  <c r="T161" i="961"/>
  <c r="R161" i="961"/>
  <c r="P161" i="961"/>
  <c r="J161" i="961"/>
  <c r="I161" i="961"/>
  <c r="N161" i="961" s="1"/>
  <c r="E161" i="961"/>
  <c r="D161" i="961"/>
  <c r="C161" i="961"/>
  <c r="P160" i="961"/>
  <c r="C774" i="961" s="1"/>
  <c r="J160" i="961"/>
  <c r="I160" i="961"/>
  <c r="N160" i="961" s="1"/>
  <c r="E160" i="961"/>
  <c r="D160" i="961"/>
  <c r="C160" i="961"/>
  <c r="J159" i="961"/>
  <c r="I159" i="961"/>
  <c r="N159" i="961" s="1"/>
  <c r="E159" i="961"/>
  <c r="D159" i="961"/>
  <c r="C159" i="961"/>
  <c r="J158" i="961"/>
  <c r="I158" i="961"/>
  <c r="E158" i="961"/>
  <c r="D158" i="961"/>
  <c r="C158" i="961"/>
  <c r="J157" i="961"/>
  <c r="I157" i="961"/>
  <c r="N157" i="961" s="1"/>
  <c r="E157" i="961"/>
  <c r="D157" i="961"/>
  <c r="C157" i="961"/>
  <c r="Z156" i="961"/>
  <c r="I768" i="961" s="1"/>
  <c r="S156" i="961"/>
  <c r="J156" i="961"/>
  <c r="I156" i="961"/>
  <c r="N156" i="961" s="1"/>
  <c r="E156" i="961"/>
  <c r="D156" i="961"/>
  <c r="C156" i="961"/>
  <c r="J155" i="961"/>
  <c r="I155" i="961"/>
  <c r="E155" i="961"/>
  <c r="D155" i="961"/>
  <c r="C155" i="961"/>
  <c r="T154" i="961"/>
  <c r="S154" i="961"/>
  <c r="J154" i="961"/>
  <c r="I154" i="961"/>
  <c r="E154" i="961"/>
  <c r="D154" i="961"/>
  <c r="C154" i="961"/>
  <c r="R153" i="961"/>
  <c r="J153" i="961"/>
  <c r="I153" i="961"/>
  <c r="N153" i="961" s="1"/>
  <c r="E153" i="961"/>
  <c r="D153" i="961"/>
  <c r="C153" i="961"/>
  <c r="AN152" i="961"/>
  <c r="AD152" i="961"/>
  <c r="I749" i="961" s="1"/>
  <c r="AC152" i="961"/>
  <c r="I750" i="961" s="1"/>
  <c r="AB152" i="961"/>
  <c r="I748" i="961" s="1"/>
  <c r="AA152" i="961"/>
  <c r="Z152" i="961"/>
  <c r="I753" i="961" s="1"/>
  <c r="Y152" i="961"/>
  <c r="I754" i="961" s="1"/>
  <c r="J152" i="961"/>
  <c r="I152" i="961"/>
  <c r="N152" i="961" s="1"/>
  <c r="E152" i="961"/>
  <c r="D152" i="961"/>
  <c r="C152" i="961"/>
  <c r="AN151" i="961"/>
  <c r="AD151" i="961"/>
  <c r="I734" i="961" s="1"/>
  <c r="AC151" i="961"/>
  <c r="I735" i="961" s="1"/>
  <c r="AB151" i="961"/>
  <c r="I733" i="961" s="1"/>
  <c r="AA151" i="961"/>
  <c r="Z151" i="961"/>
  <c r="I738" i="961" s="1"/>
  <c r="Y151" i="961"/>
  <c r="J151" i="961"/>
  <c r="I151" i="961"/>
  <c r="E151" i="961"/>
  <c r="D151" i="961"/>
  <c r="C151" i="961"/>
  <c r="AN150" i="961"/>
  <c r="AD150" i="961"/>
  <c r="I719" i="961" s="1"/>
  <c r="AC150" i="961"/>
  <c r="I720" i="961" s="1"/>
  <c r="AB150" i="961"/>
  <c r="I718" i="961" s="1"/>
  <c r="AA150" i="961"/>
  <c r="Z150" i="961"/>
  <c r="I723" i="961" s="1"/>
  <c r="Y150" i="961"/>
  <c r="I724" i="961" s="1"/>
  <c r="J150" i="961"/>
  <c r="I150" i="961"/>
  <c r="E150" i="961"/>
  <c r="D150" i="961"/>
  <c r="C150" i="961"/>
  <c r="AN149" i="961"/>
  <c r="AD149" i="961"/>
  <c r="I704" i="961" s="1"/>
  <c r="AC149" i="961"/>
  <c r="I705" i="961" s="1"/>
  <c r="AB149" i="961"/>
  <c r="I703" i="961" s="1"/>
  <c r="AA149" i="961"/>
  <c r="Z149" i="961"/>
  <c r="I708" i="961" s="1"/>
  <c r="Y149" i="961"/>
  <c r="I709" i="961" s="1"/>
  <c r="J149" i="961"/>
  <c r="I149" i="961"/>
  <c r="N149" i="961" s="1"/>
  <c r="E149" i="961"/>
  <c r="D149" i="961"/>
  <c r="C149" i="961"/>
  <c r="J148" i="961"/>
  <c r="I148" i="961"/>
  <c r="N148" i="961" s="1"/>
  <c r="E148" i="961"/>
  <c r="D148" i="961"/>
  <c r="C148" i="961"/>
  <c r="T147" i="961"/>
  <c r="Q147" i="961"/>
  <c r="J147" i="961"/>
  <c r="I147" i="961"/>
  <c r="N147" i="961" s="1"/>
  <c r="E147" i="961"/>
  <c r="D147" i="961"/>
  <c r="C147" i="961"/>
  <c r="Q146" i="961"/>
  <c r="J146" i="961"/>
  <c r="I146" i="961"/>
  <c r="N146" i="961" s="1"/>
  <c r="E146" i="961"/>
  <c r="D146" i="961"/>
  <c r="C146" i="961"/>
  <c r="AN145" i="961"/>
  <c r="Z145" i="961"/>
  <c r="I693" i="961" s="1"/>
  <c r="Y145" i="961"/>
  <c r="J145" i="961"/>
  <c r="I145" i="961"/>
  <c r="N145" i="961" s="1"/>
  <c r="E145" i="961"/>
  <c r="D145" i="961"/>
  <c r="C145" i="961"/>
  <c r="AN144" i="961"/>
  <c r="Z144" i="961"/>
  <c r="I678" i="961" s="1"/>
  <c r="Y144" i="961"/>
  <c r="J144" i="961"/>
  <c r="I144" i="961"/>
  <c r="N144" i="961" s="1"/>
  <c r="E144" i="961"/>
  <c r="D144" i="961"/>
  <c r="C144" i="961"/>
  <c r="AN143" i="961"/>
  <c r="Z143" i="961"/>
  <c r="I663" i="961" s="1"/>
  <c r="Y143" i="961"/>
  <c r="I664" i="961" s="1"/>
  <c r="J143" i="961"/>
  <c r="I143" i="961"/>
  <c r="N143" i="961" s="1"/>
  <c r="E143" i="961"/>
  <c r="D143" i="961"/>
  <c r="C143" i="961"/>
  <c r="AN142" i="961"/>
  <c r="Z142" i="961"/>
  <c r="I648" i="961" s="1"/>
  <c r="Y142" i="961"/>
  <c r="I649" i="961" s="1"/>
  <c r="J142" i="961"/>
  <c r="I142" i="961"/>
  <c r="N142" i="961" s="1"/>
  <c r="E142" i="961"/>
  <c r="D142" i="961"/>
  <c r="C142" i="961"/>
  <c r="AN141" i="961"/>
  <c r="Z141" i="961"/>
  <c r="I633" i="961" s="1"/>
  <c r="Y141" i="961"/>
  <c r="I634" i="961" s="1"/>
  <c r="J141" i="961"/>
  <c r="I141" i="961"/>
  <c r="N141" i="961" s="1"/>
  <c r="E141" i="961"/>
  <c r="D141" i="961"/>
  <c r="C141" i="961"/>
  <c r="J140" i="961"/>
  <c r="I140" i="961"/>
  <c r="N140" i="961" s="1"/>
  <c r="E140" i="961"/>
  <c r="D140" i="961"/>
  <c r="C140" i="961"/>
  <c r="T139" i="961"/>
  <c r="S139" i="961"/>
  <c r="R139" i="961"/>
  <c r="Q139" i="961"/>
  <c r="J139" i="961"/>
  <c r="I139" i="961"/>
  <c r="N139" i="961" s="1"/>
  <c r="E139" i="961"/>
  <c r="D139" i="961"/>
  <c r="C139" i="961"/>
  <c r="P138" i="961"/>
  <c r="J138" i="961"/>
  <c r="I138" i="961"/>
  <c r="N138" i="961" s="1"/>
  <c r="E138" i="961"/>
  <c r="D138" i="961"/>
  <c r="C138" i="961"/>
  <c r="AN137" i="961"/>
  <c r="AD137" i="961"/>
  <c r="I614" i="961" s="1"/>
  <c r="AC137" i="961"/>
  <c r="I615" i="961" s="1"/>
  <c r="AB137" i="961"/>
  <c r="I613" i="961" s="1"/>
  <c r="Z137" i="961"/>
  <c r="I618" i="961" s="1"/>
  <c r="Y137" i="961"/>
  <c r="J137" i="961"/>
  <c r="I137" i="961"/>
  <c r="C137" i="961"/>
  <c r="AN136" i="961"/>
  <c r="AD136" i="961"/>
  <c r="I599" i="961" s="1"/>
  <c r="AC136" i="961"/>
  <c r="I600" i="961" s="1"/>
  <c r="AB136" i="961"/>
  <c r="I598" i="961" s="1"/>
  <c r="Z136" i="961"/>
  <c r="I603" i="961" s="1"/>
  <c r="Y136" i="961"/>
  <c r="N136" i="961"/>
  <c r="AN135" i="961"/>
  <c r="AD135" i="961"/>
  <c r="I584" i="961" s="1"/>
  <c r="AC135" i="961"/>
  <c r="I585" i="961" s="1"/>
  <c r="AB135" i="961"/>
  <c r="I583" i="961" s="1"/>
  <c r="Z135" i="961"/>
  <c r="I588" i="961" s="1"/>
  <c r="Y135" i="961"/>
  <c r="N135" i="961"/>
  <c r="AN134" i="961"/>
  <c r="AD134" i="961"/>
  <c r="I569" i="961" s="1"/>
  <c r="AC134" i="961"/>
  <c r="I570" i="961" s="1"/>
  <c r="AB134" i="961"/>
  <c r="I568" i="961" s="1"/>
  <c r="Z134" i="961"/>
  <c r="I573" i="961" s="1"/>
  <c r="Y134" i="961"/>
  <c r="N134" i="961"/>
  <c r="AN133" i="961"/>
  <c r="AD133" i="961"/>
  <c r="I554" i="961" s="1"/>
  <c r="AC133" i="961"/>
  <c r="I555" i="961" s="1"/>
  <c r="AB133" i="961"/>
  <c r="I553" i="961" s="1"/>
  <c r="Z133" i="961"/>
  <c r="I558" i="961" s="1"/>
  <c r="Y133" i="961"/>
  <c r="N133" i="961"/>
  <c r="N132" i="961"/>
  <c r="T131" i="961"/>
  <c r="S131" i="961"/>
  <c r="R131" i="961"/>
  <c r="Q131" i="961"/>
  <c r="N131" i="961"/>
  <c r="P130" i="961"/>
  <c r="N130" i="961"/>
  <c r="N129" i="961"/>
  <c r="C126" i="961"/>
  <c r="N127" i="961" s="1"/>
  <c r="C123" i="961"/>
  <c r="C120" i="961"/>
  <c r="N121" i="961" s="1"/>
  <c r="N119" i="961"/>
  <c r="N118" i="961"/>
  <c r="N117" i="961"/>
  <c r="N116" i="961"/>
  <c r="F116" i="961"/>
  <c r="G116" i="961" s="1"/>
  <c r="U111" i="961"/>
  <c r="U110" i="961"/>
  <c r="T106" i="961"/>
  <c r="R106" i="961"/>
  <c r="P106" i="961"/>
  <c r="C106" i="961"/>
  <c r="T105" i="961"/>
  <c r="R105" i="961"/>
  <c r="P105" i="961"/>
  <c r="C105" i="961"/>
  <c r="T104" i="961"/>
  <c r="R104" i="961"/>
  <c r="P104" i="961"/>
  <c r="C104" i="961"/>
  <c r="P103" i="961"/>
  <c r="C534" i="961" s="1"/>
  <c r="C103" i="961"/>
  <c r="F103" i="961" s="1"/>
  <c r="C102" i="961"/>
  <c r="F102" i="961" s="1"/>
  <c r="AN101" i="961"/>
  <c r="AC101" i="961"/>
  <c r="I524" i="961" s="1"/>
  <c r="AB101" i="961"/>
  <c r="I525" i="961" s="1"/>
  <c r="AA101" i="961"/>
  <c r="I523" i="961" s="1"/>
  <c r="Z101" i="961"/>
  <c r="I520" i="961" s="1"/>
  <c r="Y101" i="961"/>
  <c r="I529" i="961" s="1"/>
  <c r="S100" i="961"/>
  <c r="R100" i="961"/>
  <c r="Q99" i="961"/>
  <c r="AN98" i="961"/>
  <c r="AK98" i="961"/>
  <c r="F516" i="961" s="1"/>
  <c r="AI98" i="961"/>
  <c r="F517" i="961" s="1"/>
  <c r="AG98" i="961"/>
  <c r="F515" i="961" s="1"/>
  <c r="AE98" i="961"/>
  <c r="I509" i="961" s="1"/>
  <c r="AD98" i="961"/>
  <c r="I510" i="961" s="1"/>
  <c r="AC98" i="961"/>
  <c r="I508" i="961" s="1"/>
  <c r="AB98" i="961"/>
  <c r="I511" i="961" s="1"/>
  <c r="AA98" i="961"/>
  <c r="Z98" i="961"/>
  <c r="I507" i="961" s="1"/>
  <c r="Y98" i="961"/>
  <c r="I514" i="961" s="1"/>
  <c r="AN97" i="961"/>
  <c r="AK97" i="961"/>
  <c r="F501" i="961" s="1"/>
  <c r="AI97" i="961"/>
  <c r="F502" i="961" s="1"/>
  <c r="AG97" i="961"/>
  <c r="F500" i="961" s="1"/>
  <c r="AE97" i="961"/>
  <c r="I494" i="961" s="1"/>
  <c r="AD97" i="961"/>
  <c r="I495" i="961" s="1"/>
  <c r="AC97" i="961"/>
  <c r="I493" i="961" s="1"/>
  <c r="AB97" i="961"/>
  <c r="I496" i="961" s="1"/>
  <c r="AA97" i="961"/>
  <c r="Z97" i="961"/>
  <c r="I492" i="961" s="1"/>
  <c r="Y97" i="961"/>
  <c r="I499" i="961" s="1"/>
  <c r="AN96" i="961"/>
  <c r="AK96" i="961"/>
  <c r="F486" i="961" s="1"/>
  <c r="AI96" i="961"/>
  <c r="F487" i="961" s="1"/>
  <c r="AG96" i="961"/>
  <c r="F485" i="961" s="1"/>
  <c r="AE96" i="961"/>
  <c r="I479" i="961" s="1"/>
  <c r="AD96" i="961"/>
  <c r="I480" i="961" s="1"/>
  <c r="AC96" i="961"/>
  <c r="AB96" i="961"/>
  <c r="I481" i="961" s="1"/>
  <c r="AA96" i="961"/>
  <c r="Z96" i="961"/>
  <c r="I477" i="961" s="1"/>
  <c r="Y96" i="961"/>
  <c r="I484" i="961" s="1"/>
  <c r="AN95" i="961"/>
  <c r="AK95" i="961"/>
  <c r="F471" i="961" s="1"/>
  <c r="AI95" i="961"/>
  <c r="F472" i="961" s="1"/>
  <c r="AG95" i="961"/>
  <c r="F470" i="961" s="1"/>
  <c r="AE95" i="961"/>
  <c r="I464" i="961" s="1"/>
  <c r="AD95" i="961"/>
  <c r="I465" i="961" s="1"/>
  <c r="AC95" i="961"/>
  <c r="I463" i="961" s="1"/>
  <c r="AB95" i="961"/>
  <c r="I466" i="961" s="1"/>
  <c r="AA95" i="961"/>
  <c r="Z95" i="961"/>
  <c r="I462" i="961" s="1"/>
  <c r="Y95" i="961"/>
  <c r="I469" i="961" s="1"/>
  <c r="T94" i="961"/>
  <c r="S94" i="961"/>
  <c r="R94" i="961"/>
  <c r="Q93" i="961"/>
  <c r="AN92" i="961"/>
  <c r="AK92" i="961"/>
  <c r="F456" i="961" s="1"/>
  <c r="AI92" i="961"/>
  <c r="F457" i="961" s="1"/>
  <c r="AG92" i="961"/>
  <c r="F455" i="961" s="1"/>
  <c r="AE92" i="961"/>
  <c r="I449" i="961" s="1"/>
  <c r="AD92" i="961"/>
  <c r="I450" i="961" s="1"/>
  <c r="AC92" i="961"/>
  <c r="I448" i="961" s="1"/>
  <c r="AB92" i="961"/>
  <c r="I451" i="961" s="1"/>
  <c r="AA92" i="961"/>
  <c r="I445" i="961" s="1"/>
  <c r="Z92" i="961"/>
  <c r="I447" i="961" s="1"/>
  <c r="Y92" i="961"/>
  <c r="I454" i="961" s="1"/>
  <c r="AN91" i="961"/>
  <c r="AK91" i="961"/>
  <c r="F441" i="961" s="1"/>
  <c r="AI91" i="961"/>
  <c r="F442" i="961" s="1"/>
  <c r="AG91" i="961"/>
  <c r="F440" i="961" s="1"/>
  <c r="AE91" i="961"/>
  <c r="I434" i="961" s="1"/>
  <c r="AD91" i="961"/>
  <c r="I435" i="961" s="1"/>
  <c r="AC91" i="961"/>
  <c r="I433" i="961" s="1"/>
  <c r="AB91" i="961"/>
  <c r="I436" i="961" s="1"/>
  <c r="AA91" i="961"/>
  <c r="I430" i="961" s="1"/>
  <c r="Z91" i="961"/>
  <c r="I432" i="961" s="1"/>
  <c r="Y91" i="961"/>
  <c r="I439" i="961" s="1"/>
  <c r="AN90" i="961"/>
  <c r="AK90" i="961"/>
  <c r="F426" i="961" s="1"/>
  <c r="AI90" i="961"/>
  <c r="F427" i="961" s="1"/>
  <c r="AG90" i="961"/>
  <c r="F425" i="961" s="1"/>
  <c r="AE90" i="961"/>
  <c r="I419" i="961" s="1"/>
  <c r="AD90" i="961"/>
  <c r="I420" i="961" s="1"/>
  <c r="AC90" i="961"/>
  <c r="I418" i="961" s="1"/>
  <c r="AB90" i="961"/>
  <c r="I421" i="961" s="1"/>
  <c r="AA90" i="961"/>
  <c r="I415" i="961" s="1"/>
  <c r="Z90" i="961"/>
  <c r="I417" i="961" s="1"/>
  <c r="Y90" i="961"/>
  <c r="I424" i="961" s="1"/>
  <c r="AN89" i="961"/>
  <c r="AK89" i="961"/>
  <c r="F411" i="961" s="1"/>
  <c r="AI89" i="961"/>
  <c r="F412" i="961" s="1"/>
  <c r="AG89" i="961"/>
  <c r="F410" i="961" s="1"/>
  <c r="AE89" i="961"/>
  <c r="I404" i="961" s="1"/>
  <c r="AD89" i="961"/>
  <c r="I405" i="961" s="1"/>
  <c r="AC89" i="961"/>
  <c r="I403" i="961" s="1"/>
  <c r="AB89" i="961"/>
  <c r="I406" i="961" s="1"/>
  <c r="AA89" i="961"/>
  <c r="I400" i="961" s="1"/>
  <c r="Z89" i="961"/>
  <c r="I402" i="961" s="1"/>
  <c r="Y89" i="961"/>
  <c r="I409" i="961" s="1"/>
  <c r="AN88" i="961"/>
  <c r="AK88" i="961"/>
  <c r="F396" i="961" s="1"/>
  <c r="AI88" i="961"/>
  <c r="F397" i="961" s="1"/>
  <c r="AG88" i="961"/>
  <c r="AE88" i="961"/>
  <c r="I389" i="961" s="1"/>
  <c r="AD88" i="961"/>
  <c r="I390" i="961" s="1"/>
  <c r="AC88" i="961"/>
  <c r="I388" i="961" s="1"/>
  <c r="AB88" i="961"/>
  <c r="I391" i="961" s="1"/>
  <c r="AA88" i="961"/>
  <c r="I385" i="961" s="1"/>
  <c r="Z88" i="961"/>
  <c r="I387" i="961" s="1"/>
  <c r="Y88" i="961"/>
  <c r="I394" i="961" s="1"/>
  <c r="T87" i="961"/>
  <c r="S87" i="961"/>
  <c r="R87" i="961"/>
  <c r="Q87" i="961"/>
  <c r="P86" i="961"/>
  <c r="AN85" i="961"/>
  <c r="AK85" i="961"/>
  <c r="F381" i="961" s="1"/>
  <c r="AI85" i="961"/>
  <c r="F382" i="961" s="1"/>
  <c r="AG85" i="961"/>
  <c r="F380" i="961" s="1"/>
  <c r="AE85" i="961"/>
  <c r="I374" i="961" s="1"/>
  <c r="AD85" i="961"/>
  <c r="I375" i="961" s="1"/>
  <c r="AC85" i="961"/>
  <c r="I373" i="961" s="1"/>
  <c r="AB85" i="961"/>
  <c r="I376" i="961" s="1"/>
  <c r="AA85" i="961"/>
  <c r="I370" i="961" s="1"/>
  <c r="Z85" i="961"/>
  <c r="I372" i="961" s="1"/>
  <c r="Y85" i="961"/>
  <c r="I379" i="961" s="1"/>
  <c r="AN84" i="961"/>
  <c r="AK84" i="961"/>
  <c r="F366" i="961" s="1"/>
  <c r="AI84" i="961"/>
  <c r="F367" i="961" s="1"/>
  <c r="AG84" i="961"/>
  <c r="F365" i="961" s="1"/>
  <c r="AE84" i="961"/>
  <c r="I359" i="961" s="1"/>
  <c r="AD84" i="961"/>
  <c r="I360" i="961" s="1"/>
  <c r="AC84" i="961"/>
  <c r="I358" i="961" s="1"/>
  <c r="AB84" i="961"/>
  <c r="I361" i="961" s="1"/>
  <c r="AA84" i="961"/>
  <c r="I355" i="961" s="1"/>
  <c r="Z84" i="961"/>
  <c r="I357" i="961" s="1"/>
  <c r="Y84" i="961"/>
  <c r="I364" i="961" s="1"/>
  <c r="AN83" i="961"/>
  <c r="AK83" i="961"/>
  <c r="F351" i="961" s="1"/>
  <c r="AI83" i="961"/>
  <c r="F352" i="961" s="1"/>
  <c r="AG83" i="961"/>
  <c r="F350" i="961" s="1"/>
  <c r="AE83" i="961"/>
  <c r="I344" i="961" s="1"/>
  <c r="AD83" i="961"/>
  <c r="I345" i="961" s="1"/>
  <c r="AC83" i="961"/>
  <c r="I343" i="961" s="1"/>
  <c r="AB83" i="961"/>
  <c r="I346" i="961" s="1"/>
  <c r="AA83" i="961"/>
  <c r="I340" i="961" s="1"/>
  <c r="Z83" i="961"/>
  <c r="I342" i="961" s="1"/>
  <c r="Y83" i="961"/>
  <c r="I349" i="961" s="1"/>
  <c r="C83" i="961"/>
  <c r="AN82" i="961"/>
  <c r="AK82" i="961"/>
  <c r="F336" i="961" s="1"/>
  <c r="AI82" i="961"/>
  <c r="F337" i="961" s="1"/>
  <c r="AG82" i="961"/>
  <c r="F335" i="961" s="1"/>
  <c r="AE82" i="961"/>
  <c r="I329" i="961" s="1"/>
  <c r="AD82" i="961"/>
  <c r="I330" i="961" s="1"/>
  <c r="AC82" i="961"/>
  <c r="I328" i="961" s="1"/>
  <c r="AB82" i="961"/>
  <c r="I331" i="961" s="1"/>
  <c r="AA82" i="961"/>
  <c r="I325" i="961" s="1"/>
  <c r="Z82" i="961"/>
  <c r="I327" i="961" s="1"/>
  <c r="Y82" i="961"/>
  <c r="I334" i="961" s="1"/>
  <c r="AN81" i="961"/>
  <c r="AK81" i="961"/>
  <c r="F321" i="961" s="1"/>
  <c r="AI81" i="961"/>
  <c r="AG81" i="961"/>
  <c r="AH81" i="961" s="1"/>
  <c r="I320" i="961" s="1"/>
  <c r="AE81" i="961"/>
  <c r="I314" i="961" s="1"/>
  <c r="AD81" i="961"/>
  <c r="I315" i="961" s="1"/>
  <c r="AC81" i="961"/>
  <c r="I313" i="961" s="1"/>
  <c r="AB81" i="961"/>
  <c r="I316" i="961" s="1"/>
  <c r="AA81" i="961"/>
  <c r="I310" i="961" s="1"/>
  <c r="Z81" i="961"/>
  <c r="I312" i="961" s="1"/>
  <c r="Y81" i="961"/>
  <c r="I319" i="961" s="1"/>
  <c r="N81" i="961"/>
  <c r="T80" i="961"/>
  <c r="S80" i="961"/>
  <c r="R80" i="961"/>
  <c r="Q80" i="961"/>
  <c r="N80" i="961"/>
  <c r="P79" i="961"/>
  <c r="N79" i="961"/>
  <c r="T78" i="961"/>
  <c r="S78" i="961"/>
  <c r="Q78" i="961"/>
  <c r="P78" i="961"/>
  <c r="N78" i="961"/>
  <c r="T77" i="961"/>
  <c r="S77" i="961"/>
  <c r="Q77" i="961"/>
  <c r="P77" i="961"/>
  <c r="N77" i="961"/>
  <c r="Q76" i="961"/>
  <c r="P76" i="961"/>
  <c r="N76" i="961"/>
  <c r="AB75" i="961"/>
  <c r="I916" i="961" s="1"/>
  <c r="AA75" i="961"/>
  <c r="Z75" i="961"/>
  <c r="Y75" i="961"/>
  <c r="V75" i="961"/>
  <c r="I1033" i="961" s="1"/>
  <c r="U75" i="961"/>
  <c r="I1027" i="961" s="1"/>
  <c r="T75" i="961"/>
  <c r="S75" i="961"/>
  <c r="R75" i="961"/>
  <c r="Q75" i="961"/>
  <c r="P75" i="961"/>
  <c r="N75" i="961"/>
  <c r="R74" i="961"/>
  <c r="Q74" i="961"/>
  <c r="N74" i="961"/>
  <c r="V73" i="961"/>
  <c r="U73" i="961"/>
  <c r="T73" i="961"/>
  <c r="S73" i="961"/>
  <c r="Q73" i="961"/>
  <c r="P73" i="961"/>
  <c r="N73" i="961"/>
  <c r="P72" i="961"/>
  <c r="N72" i="961"/>
  <c r="N71" i="961"/>
  <c r="N70" i="961"/>
  <c r="C70" i="961"/>
  <c r="J69" i="961"/>
  <c r="I69" i="961"/>
  <c r="C69" i="961"/>
  <c r="J68" i="961"/>
  <c r="I68" i="961"/>
  <c r="N68" i="961" s="1"/>
  <c r="C68" i="961"/>
  <c r="J67" i="961"/>
  <c r="I67" i="961"/>
  <c r="N67" i="961" s="1"/>
  <c r="C67" i="961"/>
  <c r="J66" i="961"/>
  <c r="I66" i="961"/>
  <c r="N66" i="961" s="1"/>
  <c r="C66" i="961"/>
  <c r="J65" i="961"/>
  <c r="I65" i="961"/>
  <c r="C65" i="961"/>
  <c r="J64" i="961"/>
  <c r="I64" i="961"/>
  <c r="L64" i="961" s="1"/>
  <c r="C64" i="961"/>
  <c r="J63" i="961"/>
  <c r="I63" i="961"/>
  <c r="C63" i="961"/>
  <c r="N61" i="961"/>
  <c r="L61" i="961"/>
  <c r="B61" i="961"/>
  <c r="N60" i="961"/>
  <c r="L60" i="961"/>
  <c r="B60" i="961"/>
  <c r="N59" i="961"/>
  <c r="L59" i="961"/>
  <c r="B59" i="961"/>
  <c r="N58" i="961"/>
  <c r="L58" i="961"/>
  <c r="B58" i="961"/>
  <c r="N57" i="961"/>
  <c r="L57" i="961"/>
  <c r="B57" i="961"/>
  <c r="N56" i="961"/>
  <c r="L56" i="961"/>
  <c r="B56" i="961"/>
  <c r="N55" i="961"/>
  <c r="L55" i="961"/>
  <c r="B55" i="961"/>
  <c r="N54" i="961"/>
  <c r="L54" i="961"/>
  <c r="B54" i="961"/>
  <c r="N53" i="961"/>
  <c r="L53" i="961"/>
  <c r="B53" i="961"/>
  <c r="N52" i="961"/>
  <c r="L52" i="961"/>
  <c r="B52" i="961"/>
  <c r="N51" i="961"/>
  <c r="L51" i="961"/>
  <c r="B51" i="961"/>
  <c r="N50" i="961"/>
  <c r="L50" i="961"/>
  <c r="B50" i="961"/>
  <c r="N49" i="961"/>
  <c r="L49" i="961"/>
  <c r="B49" i="961"/>
  <c r="N48" i="961"/>
  <c r="L48" i="961"/>
  <c r="B48" i="961"/>
  <c r="N47" i="961"/>
  <c r="L47" i="961"/>
  <c r="B47" i="961"/>
  <c r="N46" i="961"/>
  <c r="L46" i="961"/>
  <c r="B46" i="961"/>
  <c r="N45" i="961"/>
  <c r="L45" i="961"/>
  <c r="B45" i="961"/>
  <c r="N44" i="961"/>
  <c r="L44" i="961"/>
  <c r="B44" i="961"/>
  <c r="AY43" i="961" a="1"/>
  <c r="AY43" i="961" s="1"/>
  <c r="N43" i="961"/>
  <c r="L43" i="961"/>
  <c r="B43" i="961"/>
  <c r="AY42" i="961" a="1"/>
  <c r="AY42" i="961" s="1"/>
  <c r="N42" i="961"/>
  <c r="L42" i="961"/>
  <c r="B42" i="961"/>
  <c r="AY41" i="961" a="1"/>
  <c r="AY41" i="961" s="1"/>
  <c r="N41" i="961"/>
  <c r="L41" i="961"/>
  <c r="B41" i="961"/>
  <c r="AY40" i="961" a="1"/>
  <c r="AY40" i="961" s="1"/>
  <c r="N40" i="961"/>
  <c r="L40" i="961"/>
  <c r="B40" i="961"/>
  <c r="AY39" i="961" a="1"/>
  <c r="AY39" i="961" s="1"/>
  <c r="N39" i="961"/>
  <c r="L39" i="961"/>
  <c r="B39" i="961"/>
  <c r="AY38" i="961" a="1"/>
  <c r="AY38" i="961" s="1"/>
  <c r="N38" i="961"/>
  <c r="L38" i="961"/>
  <c r="B38" i="961"/>
  <c r="AY37" i="961" a="1"/>
  <c r="AY37" i="961" s="1"/>
  <c r="N37" i="961"/>
  <c r="L37" i="961"/>
  <c r="B37" i="961"/>
  <c r="AY36" i="961" a="1"/>
  <c r="AY36" i="961" s="1"/>
  <c r="N36" i="961"/>
  <c r="AY35" i="961" a="1"/>
  <c r="AY35" i="961" s="1"/>
  <c r="N35" i="961"/>
  <c r="L35" i="961"/>
  <c r="B35" i="961"/>
  <c r="AY34" i="961" a="1"/>
  <c r="AY34" i="961" s="1"/>
  <c r="N34" i="961"/>
  <c r="L34" i="961"/>
  <c r="B34" i="961"/>
  <c r="AY33" i="961" a="1"/>
  <c r="AY33" i="961" s="1"/>
  <c r="N33" i="961"/>
  <c r="L33" i="961"/>
  <c r="B33" i="961"/>
  <c r="AY32" i="961" a="1"/>
  <c r="AY32" i="961" s="1"/>
  <c r="N32" i="961"/>
  <c r="L32" i="961"/>
  <c r="B32" i="961"/>
  <c r="AY31" i="961" a="1"/>
  <c r="AY31" i="961" s="1"/>
  <c r="N31" i="961"/>
  <c r="L31" i="961"/>
  <c r="B31" i="961"/>
  <c r="AY30" i="961" a="1"/>
  <c r="AY30" i="961" s="1"/>
  <c r="N30" i="961"/>
  <c r="L30" i="961"/>
  <c r="B30" i="961"/>
  <c r="AY29" i="961" a="1"/>
  <c r="AY29" i="961" s="1"/>
  <c r="N29" i="961"/>
  <c r="L29" i="961"/>
  <c r="B29" i="961"/>
  <c r="AY28" i="961" a="1"/>
  <c r="AY28" i="961" s="1"/>
  <c r="N28" i="961"/>
  <c r="L28" i="961"/>
  <c r="B28" i="961"/>
  <c r="AY27" i="961" a="1"/>
  <c r="AY27" i="961" s="1"/>
  <c r="N27" i="961"/>
  <c r="L27" i="961"/>
  <c r="B27" i="961"/>
  <c r="AY26" i="961" a="1"/>
  <c r="AY26" i="961" s="1"/>
  <c r="N26" i="961"/>
  <c r="L26" i="961"/>
  <c r="B26" i="961"/>
  <c r="AY25" i="961" a="1"/>
  <c r="AY25" i="961" s="1"/>
  <c r="N25" i="961"/>
  <c r="L25" i="961"/>
  <c r="B25" i="961"/>
  <c r="AY24" i="961" a="1"/>
  <c r="AY24" i="961" s="1"/>
  <c r="AK24" i="961"/>
  <c r="AK25" i="961" s="1"/>
  <c r="N24" i="961"/>
  <c r="L24" i="961"/>
  <c r="B24" i="961"/>
  <c r="AY23" i="961" a="1"/>
  <c r="AY23" i="961" s="1"/>
  <c r="N23" i="961"/>
  <c r="L23" i="961"/>
  <c r="B23" i="961"/>
  <c r="N22" i="961"/>
  <c r="AH21" i="961"/>
  <c r="AG21" i="961"/>
  <c r="AD21" i="961"/>
  <c r="AC21" i="961"/>
  <c r="AB21" i="961"/>
  <c r="N21" i="961"/>
  <c r="L21" i="961"/>
  <c r="B21" i="961"/>
  <c r="AJ20" i="961"/>
  <c r="AC20" i="961"/>
  <c r="T20" i="961"/>
  <c r="S20" i="961"/>
  <c r="N20" i="961"/>
  <c r="L20" i="961"/>
  <c r="B20" i="961"/>
  <c r="AC19" i="961"/>
  <c r="AF19" i="961" s="1"/>
  <c r="S19" i="961"/>
  <c r="N19" i="961"/>
  <c r="L19" i="961"/>
  <c r="B19" i="961"/>
  <c r="AC18" i="961"/>
  <c r="AE18" i="961" s="1"/>
  <c r="N18" i="961"/>
  <c r="L18" i="961"/>
  <c r="B18" i="961"/>
  <c r="AC17" i="961"/>
  <c r="AF17" i="961" s="1"/>
  <c r="N17" i="961"/>
  <c r="L17" i="961"/>
  <c r="B17" i="961"/>
  <c r="AC16" i="961"/>
  <c r="AF16" i="961" s="1"/>
  <c r="W16" i="961"/>
  <c r="V16" i="961"/>
  <c r="U16" i="961"/>
  <c r="S16" i="961"/>
  <c r="N16" i="961"/>
  <c r="L16" i="961"/>
  <c r="B16" i="961"/>
  <c r="AD15" i="961"/>
  <c r="N15" i="961"/>
  <c r="W14" i="961"/>
  <c r="V14" i="961"/>
  <c r="U14" i="961"/>
  <c r="S14" i="961"/>
  <c r="N14" i="961"/>
  <c r="L14" i="961"/>
  <c r="B14" i="961"/>
  <c r="AF13" i="961"/>
  <c r="AF12" i="961" s="1"/>
  <c r="AE13" i="961"/>
  <c r="N13" i="961"/>
  <c r="L13" i="961"/>
  <c r="B13" i="961"/>
  <c r="AY12" i="961" a="1"/>
  <c r="AY12" i="961" s="1"/>
  <c r="AE12" i="961"/>
  <c r="S12" i="961"/>
  <c r="N12" i="961"/>
  <c r="BE11" i="961" a="1"/>
  <c r="BE11" i="961" s="1"/>
  <c r="AY11" i="961" a="1"/>
  <c r="AY11" i="961" s="1"/>
  <c r="BE10" i="961" a="1"/>
  <c r="BE10" i="961" s="1"/>
  <c r="AY10" i="961" a="1"/>
  <c r="AY10" i="961" s="1"/>
  <c r="AC10" i="961"/>
  <c r="W10" i="961"/>
  <c r="T10" i="961"/>
  <c r="S10" i="961"/>
  <c r="P10" i="961"/>
  <c r="BE9" i="961" a="1"/>
  <c r="BE9" i="961" s="1"/>
  <c r="AY9" i="961" a="1"/>
  <c r="AY9" i="961" s="1"/>
  <c r="AC9" i="961"/>
  <c r="W9" i="961"/>
  <c r="T9" i="961"/>
  <c r="S9" i="961"/>
  <c r="P9" i="961"/>
  <c r="BE8" i="961" a="1"/>
  <c r="BE8" i="961" s="1"/>
  <c r="AY8" i="961" a="1"/>
  <c r="AY8" i="961" s="1"/>
  <c r="AC8" i="961"/>
  <c r="W8" i="961"/>
  <c r="T8" i="961"/>
  <c r="S8" i="961"/>
  <c r="P8" i="961"/>
  <c r="BE7" i="961" a="1"/>
  <c r="BE7" i="961" s="1"/>
  <c r="AY7" i="961" a="1"/>
  <c r="AY7" i="961" s="1"/>
  <c r="AF7" i="961" a="1"/>
  <c r="AF7" i="961" s="1"/>
  <c r="AE7" i="961" a="1"/>
  <c r="AE7" i="961" s="1"/>
  <c r="AC7" i="961"/>
  <c r="BE6" i="961" a="1"/>
  <c r="BE6" i="961" s="1"/>
  <c r="AY6" i="961" a="1"/>
  <c r="AY6" i="961" s="1"/>
  <c r="AF6" i="961" a="1"/>
  <c r="AF6" i="961" s="1"/>
  <c r="AF143" i="961" s="1"/>
  <c r="I668" i="961" s="1"/>
  <c r="AE6" i="961" a="1"/>
  <c r="AE6" i="961" s="1"/>
  <c r="AF88" i="961" s="1"/>
  <c r="I398" i="961" s="1"/>
  <c r="AD6" i="961"/>
  <c r="AB6" i="961"/>
  <c r="AA6" i="961"/>
  <c r="W6" i="961"/>
  <c r="V6" i="961"/>
  <c r="U6" i="961"/>
  <c r="T6" i="961"/>
  <c r="S6" i="961"/>
  <c r="R6" i="961"/>
  <c r="Q6" i="961"/>
  <c r="P6" i="961"/>
  <c r="BE5" i="961" a="1"/>
  <c r="BE5" i="961" s="1"/>
  <c r="AY5" i="961" a="1"/>
  <c r="AY5" i="961" s="1"/>
  <c r="AF5" i="961" a="1"/>
  <c r="AF5" i="961" s="1"/>
  <c r="AE5" i="961" a="1"/>
  <c r="AE5" i="961" s="1"/>
  <c r="AF85" i="961" s="1"/>
  <c r="I383" i="961" s="1"/>
  <c r="AD5" i="961"/>
  <c r="AB5" i="961" s="1"/>
  <c r="AA5" i="961"/>
  <c r="Q5" i="961"/>
  <c r="O5" i="961"/>
  <c r="AA4" i="961"/>
  <c r="Z4" i="961"/>
  <c r="S147" i="961" s="1"/>
  <c r="AB3" i="961"/>
  <c r="Z3" i="961"/>
  <c r="J2" i="961"/>
  <c r="G1323" i="960"/>
  <c r="H1322" i="960"/>
  <c r="G1318" i="960"/>
  <c r="H1163" i="960"/>
  <c r="H1162" i="960"/>
  <c r="H1161" i="960"/>
  <c r="H1160" i="960"/>
  <c r="H1159" i="960"/>
  <c r="H1158" i="960"/>
  <c r="H1157" i="960"/>
  <c r="H1156" i="960"/>
  <c r="H1155" i="960"/>
  <c r="H1154" i="960"/>
  <c r="H1153" i="960"/>
  <c r="H1152" i="960"/>
  <c r="H1151" i="960"/>
  <c r="H1150" i="960"/>
  <c r="H1149" i="960"/>
  <c r="H1141" i="960"/>
  <c r="I1119" i="960"/>
  <c r="I1118" i="960"/>
  <c r="I1117" i="960"/>
  <c r="I1116" i="960"/>
  <c r="I1115" i="960"/>
  <c r="I1114" i="960"/>
  <c r="I1113" i="960"/>
  <c r="I1111" i="960"/>
  <c r="I1110" i="960"/>
  <c r="I1108" i="960"/>
  <c r="I1107" i="960"/>
  <c r="I1106" i="960"/>
  <c r="I1105" i="960"/>
  <c r="I1104" i="960"/>
  <c r="I1103" i="960"/>
  <c r="I1102" i="960"/>
  <c r="I1101" i="960"/>
  <c r="I1100" i="960"/>
  <c r="I1099" i="960"/>
  <c r="I1098" i="960"/>
  <c r="I1097" i="960"/>
  <c r="I1095" i="960"/>
  <c r="I1094" i="960"/>
  <c r="I1093" i="960"/>
  <c r="I1092" i="960"/>
  <c r="I1091" i="960"/>
  <c r="I1090" i="960"/>
  <c r="I1088" i="960"/>
  <c r="I1087" i="960"/>
  <c r="I1086" i="960"/>
  <c r="I1085" i="960"/>
  <c r="I1084" i="960"/>
  <c r="I1083" i="960"/>
  <c r="I1081" i="960"/>
  <c r="I1080" i="960"/>
  <c r="I1079" i="960"/>
  <c r="G1059" i="960"/>
  <c r="G1058" i="960"/>
  <c r="G1057" i="960"/>
  <c r="G1056" i="960"/>
  <c r="G1055" i="960"/>
  <c r="G1054" i="960"/>
  <c r="G1053" i="960"/>
  <c r="G1052" i="960"/>
  <c r="G1051" i="960"/>
  <c r="G1050" i="960"/>
  <c r="G1049" i="960"/>
  <c r="G1048" i="960"/>
  <c r="I1046" i="960"/>
  <c r="I1045" i="960"/>
  <c r="I1044" i="960"/>
  <c r="I1043" i="960"/>
  <c r="I1037" i="960"/>
  <c r="G1036" i="960"/>
  <c r="G1035" i="960"/>
  <c r="G1034" i="960"/>
  <c r="G1033" i="960"/>
  <c r="G1032" i="960"/>
  <c r="G1031" i="960"/>
  <c r="G1030" i="960"/>
  <c r="G1029" i="960"/>
  <c r="G1028" i="960"/>
  <c r="G1027" i="960"/>
  <c r="I1026" i="960"/>
  <c r="I1025" i="960"/>
  <c r="I1017" i="960"/>
  <c r="I1016" i="960"/>
  <c r="I1015" i="960"/>
  <c r="I1012" i="960"/>
  <c r="I1011" i="960"/>
  <c r="I1010" i="960"/>
  <c r="I1009" i="960"/>
  <c r="I1008" i="960"/>
  <c r="I1007" i="960"/>
  <c r="I1006" i="960"/>
  <c r="I1005" i="960"/>
  <c r="I1004" i="960"/>
  <c r="I1003" i="960"/>
  <c r="I1002" i="960"/>
  <c r="I1001" i="960"/>
  <c r="I1000" i="960"/>
  <c r="I999" i="960"/>
  <c r="I998" i="960"/>
  <c r="I997" i="960"/>
  <c r="I996" i="960"/>
  <c r="I995" i="960"/>
  <c r="I994" i="960"/>
  <c r="I993" i="960"/>
  <c r="I992" i="960"/>
  <c r="I991" i="960"/>
  <c r="I990" i="960"/>
  <c r="I983" i="960"/>
  <c r="I982" i="960"/>
  <c r="I981" i="960"/>
  <c r="G981" i="960"/>
  <c r="I980" i="960"/>
  <c r="G980" i="960"/>
  <c r="I978" i="960"/>
  <c r="I977" i="960"/>
  <c r="I976" i="960"/>
  <c r="I975" i="960"/>
  <c r="I971" i="960"/>
  <c r="I979" i="960" s="1"/>
  <c r="C971" i="960"/>
  <c r="I970" i="960"/>
  <c r="I968" i="960"/>
  <c r="G935" i="960"/>
  <c r="G933" i="960"/>
  <c r="G932" i="960"/>
  <c r="G931" i="960"/>
  <c r="G930" i="960"/>
  <c r="G929" i="960"/>
  <c r="G928" i="960"/>
  <c r="I926" i="960"/>
  <c r="I925" i="960"/>
  <c r="I924" i="960"/>
  <c r="I923" i="960"/>
  <c r="I917" i="960"/>
  <c r="E917" i="960"/>
  <c r="C917" i="960"/>
  <c r="G917" i="960" s="1"/>
  <c r="G916" i="960"/>
  <c r="G915" i="960"/>
  <c r="G914" i="960"/>
  <c r="G913" i="960"/>
  <c r="G912" i="960"/>
  <c r="G911" i="960"/>
  <c r="G910" i="960"/>
  <c r="G909" i="960"/>
  <c r="G908" i="960"/>
  <c r="I888" i="960"/>
  <c r="I887" i="960"/>
  <c r="I885" i="960"/>
  <c r="I884" i="960"/>
  <c r="I883" i="960"/>
  <c r="I882" i="960"/>
  <c r="G882" i="960"/>
  <c r="I881" i="960"/>
  <c r="I879" i="960"/>
  <c r="I878" i="960"/>
  <c r="I877" i="960"/>
  <c r="I876" i="960"/>
  <c r="I875" i="960"/>
  <c r="I874" i="960"/>
  <c r="I873" i="960"/>
  <c r="I872" i="960"/>
  <c r="I871" i="960"/>
  <c r="I870" i="960"/>
  <c r="I869" i="960"/>
  <c r="I867" i="960"/>
  <c r="I866" i="960"/>
  <c r="I865" i="960"/>
  <c r="I864" i="960"/>
  <c r="I863" i="960"/>
  <c r="C863" i="960"/>
  <c r="I862" i="960"/>
  <c r="I868" i="960" s="1"/>
  <c r="C862" i="960"/>
  <c r="I861" i="960"/>
  <c r="I860" i="960"/>
  <c r="I859" i="960"/>
  <c r="I854" i="960"/>
  <c r="I853" i="960"/>
  <c r="I852" i="960"/>
  <c r="I851" i="960"/>
  <c r="I850" i="960"/>
  <c r="I849" i="960"/>
  <c r="I848" i="960"/>
  <c r="I847" i="960"/>
  <c r="I846" i="960"/>
  <c r="I845" i="960"/>
  <c r="I844" i="960"/>
  <c r="I843" i="960"/>
  <c r="I841" i="960"/>
  <c r="I840" i="960"/>
  <c r="I839" i="960"/>
  <c r="I838" i="960"/>
  <c r="I837" i="960"/>
  <c r="I835" i="960"/>
  <c r="I834" i="960"/>
  <c r="I833" i="960"/>
  <c r="I832" i="960"/>
  <c r="I831" i="960"/>
  <c r="I830" i="960"/>
  <c r="I829" i="960"/>
  <c r="I828" i="960"/>
  <c r="I827" i="960"/>
  <c r="I819" i="960"/>
  <c r="I818" i="960"/>
  <c r="I817" i="960"/>
  <c r="I816" i="960"/>
  <c r="I815" i="960"/>
  <c r="I814" i="960"/>
  <c r="I813" i="960"/>
  <c r="I812" i="960"/>
  <c r="H811" i="960"/>
  <c r="I811" i="960" s="1"/>
  <c r="H810" i="960"/>
  <c r="I810" i="960" s="1"/>
  <c r="I809" i="960"/>
  <c r="I808" i="960"/>
  <c r="I807" i="960"/>
  <c r="N790" i="960"/>
  <c r="N789" i="960"/>
  <c r="N788" i="960"/>
  <c r="L788" i="960"/>
  <c r="N787" i="960"/>
  <c r="L787" i="960"/>
  <c r="N786" i="960"/>
  <c r="L786" i="960"/>
  <c r="N785" i="960"/>
  <c r="L785" i="960"/>
  <c r="I784" i="960"/>
  <c r="L784" i="960" s="1"/>
  <c r="G784" i="960"/>
  <c r="I783" i="960"/>
  <c r="N783" i="960" s="1"/>
  <c r="G783" i="960"/>
  <c r="I782" i="960"/>
  <c r="G782" i="960"/>
  <c r="I781" i="960"/>
  <c r="N781" i="960" s="1"/>
  <c r="G781" i="960"/>
  <c r="I780" i="960"/>
  <c r="L780" i="960" s="1"/>
  <c r="G780" i="960"/>
  <c r="I779" i="960"/>
  <c r="G779" i="960"/>
  <c r="I778" i="960"/>
  <c r="L778" i="960" s="1"/>
  <c r="G778" i="960"/>
  <c r="I777" i="960"/>
  <c r="N777" i="960" s="1"/>
  <c r="G777" i="960"/>
  <c r="I776" i="960"/>
  <c r="G776" i="960"/>
  <c r="N775" i="960"/>
  <c r="L775" i="960"/>
  <c r="N773" i="960"/>
  <c r="L773" i="960"/>
  <c r="N772" i="960"/>
  <c r="L772" i="960"/>
  <c r="N771" i="960"/>
  <c r="L771" i="960"/>
  <c r="N770" i="960"/>
  <c r="L770" i="960"/>
  <c r="N769" i="960"/>
  <c r="L769" i="960"/>
  <c r="G768" i="960"/>
  <c r="N767" i="960"/>
  <c r="L767" i="960"/>
  <c r="N766" i="960"/>
  <c r="L766" i="960"/>
  <c r="N765" i="960"/>
  <c r="L765" i="960"/>
  <c r="N764" i="960"/>
  <c r="L764" i="960"/>
  <c r="N763" i="960"/>
  <c r="L763" i="960"/>
  <c r="N762" i="960"/>
  <c r="L762" i="960"/>
  <c r="N761" i="960"/>
  <c r="L761" i="960"/>
  <c r="N760" i="960"/>
  <c r="L760" i="960"/>
  <c r="C759" i="960"/>
  <c r="F758" i="960"/>
  <c r="C758" i="960"/>
  <c r="I757" i="960"/>
  <c r="N757" i="960" s="1"/>
  <c r="H757" i="960"/>
  <c r="F757" i="960"/>
  <c r="N756" i="960"/>
  <c r="L756" i="960"/>
  <c r="I755" i="960"/>
  <c r="N755" i="960" s="1"/>
  <c r="H755" i="960"/>
  <c r="F755" i="960"/>
  <c r="G754" i="960"/>
  <c r="G753" i="960"/>
  <c r="G752" i="960"/>
  <c r="G751" i="960"/>
  <c r="G750" i="960"/>
  <c r="G749" i="960"/>
  <c r="G748" i="960"/>
  <c r="N747" i="960"/>
  <c r="L747" i="960"/>
  <c r="G746" i="960"/>
  <c r="N745" i="960"/>
  <c r="L745" i="960"/>
  <c r="C744" i="960"/>
  <c r="F743" i="960"/>
  <c r="C743" i="960"/>
  <c r="I742" i="960"/>
  <c r="L742" i="960" s="1"/>
  <c r="H742" i="960"/>
  <c r="F742" i="960"/>
  <c r="N741" i="960"/>
  <c r="L741" i="960"/>
  <c r="I740" i="960"/>
  <c r="L740" i="960" s="1"/>
  <c r="H740" i="960"/>
  <c r="F740" i="960"/>
  <c r="G739" i="960"/>
  <c r="G738" i="960"/>
  <c r="G737" i="960"/>
  <c r="G736" i="960"/>
  <c r="G735" i="960"/>
  <c r="G734" i="960"/>
  <c r="G733" i="960"/>
  <c r="N732" i="960"/>
  <c r="L732" i="960"/>
  <c r="G731" i="960"/>
  <c r="N730" i="960"/>
  <c r="L730" i="960"/>
  <c r="C729" i="960"/>
  <c r="F728" i="960"/>
  <c r="C728" i="960"/>
  <c r="I727" i="960"/>
  <c r="N727" i="960" s="1"/>
  <c r="H727" i="960"/>
  <c r="F727" i="960"/>
  <c r="N726" i="960"/>
  <c r="L726" i="960"/>
  <c r="I725" i="960"/>
  <c r="L725" i="960" s="1"/>
  <c r="H725" i="960"/>
  <c r="F725" i="960"/>
  <c r="G724" i="960"/>
  <c r="G723" i="960"/>
  <c r="G722" i="960"/>
  <c r="G721" i="960"/>
  <c r="G720" i="960"/>
  <c r="G719" i="960"/>
  <c r="G718" i="960"/>
  <c r="N717" i="960"/>
  <c r="L717" i="960"/>
  <c r="G716" i="960"/>
  <c r="N715" i="960"/>
  <c r="L715" i="960"/>
  <c r="C714" i="960"/>
  <c r="F713" i="960"/>
  <c r="C713" i="960"/>
  <c r="I712" i="960"/>
  <c r="L712" i="960" s="1"/>
  <c r="H712" i="960"/>
  <c r="F712" i="960"/>
  <c r="N711" i="960"/>
  <c r="L711" i="960"/>
  <c r="I710" i="960"/>
  <c r="L710" i="960" s="1"/>
  <c r="H710" i="960"/>
  <c r="F710" i="960"/>
  <c r="G709" i="960"/>
  <c r="G708" i="960"/>
  <c r="G707" i="960"/>
  <c r="G706" i="960"/>
  <c r="G705" i="960"/>
  <c r="G704" i="960"/>
  <c r="G703" i="960"/>
  <c r="N702" i="960"/>
  <c r="L702" i="960"/>
  <c r="G701" i="960"/>
  <c r="N700" i="960"/>
  <c r="L700" i="960"/>
  <c r="C699" i="960"/>
  <c r="F698" i="960"/>
  <c r="C698" i="960"/>
  <c r="I697" i="960"/>
  <c r="N697" i="960" s="1"/>
  <c r="H697" i="960"/>
  <c r="F697" i="960"/>
  <c r="I696" i="960"/>
  <c r="N696" i="960" s="1"/>
  <c r="H696" i="960"/>
  <c r="F696" i="960"/>
  <c r="I695" i="960"/>
  <c r="H695" i="960"/>
  <c r="F695" i="960"/>
  <c r="G694" i="960"/>
  <c r="G693" i="960"/>
  <c r="N692" i="960"/>
  <c r="L692" i="960"/>
  <c r="G691" i="960"/>
  <c r="N690" i="960"/>
  <c r="L690" i="960"/>
  <c r="N689" i="960"/>
  <c r="L689" i="960"/>
  <c r="N688" i="960"/>
  <c r="L688" i="960"/>
  <c r="N687" i="960"/>
  <c r="L687" i="960"/>
  <c r="N686" i="960"/>
  <c r="L686" i="960"/>
  <c r="N685" i="960"/>
  <c r="L685" i="960"/>
  <c r="C684" i="960"/>
  <c r="F683" i="960"/>
  <c r="C683" i="960"/>
  <c r="I682" i="960"/>
  <c r="N682" i="960" s="1"/>
  <c r="H682" i="960"/>
  <c r="F682" i="960"/>
  <c r="I681" i="960"/>
  <c r="N681" i="960" s="1"/>
  <c r="H681" i="960"/>
  <c r="F681" i="960"/>
  <c r="I680" i="960"/>
  <c r="N680" i="960" s="1"/>
  <c r="H680" i="960"/>
  <c r="F680" i="960"/>
  <c r="G679" i="960"/>
  <c r="G678" i="960"/>
  <c r="N677" i="960"/>
  <c r="L677" i="960"/>
  <c r="G676" i="960"/>
  <c r="N675" i="960"/>
  <c r="L675" i="960"/>
  <c r="N674" i="960"/>
  <c r="L674" i="960"/>
  <c r="N673" i="960"/>
  <c r="L673" i="960"/>
  <c r="N672" i="960"/>
  <c r="L672" i="960"/>
  <c r="N671" i="960"/>
  <c r="L671" i="960"/>
  <c r="N670" i="960"/>
  <c r="L670" i="960"/>
  <c r="C669" i="960"/>
  <c r="F668" i="960"/>
  <c r="C668" i="960"/>
  <c r="I667" i="960"/>
  <c r="N667" i="960" s="1"/>
  <c r="H667" i="960"/>
  <c r="F667" i="960"/>
  <c r="I666" i="960"/>
  <c r="N666" i="960" s="1"/>
  <c r="H666" i="960"/>
  <c r="F666" i="960"/>
  <c r="I665" i="960"/>
  <c r="N665" i="960" s="1"/>
  <c r="H665" i="960"/>
  <c r="F665" i="960"/>
  <c r="G664" i="960"/>
  <c r="G663" i="960"/>
  <c r="N662" i="960"/>
  <c r="L662" i="960"/>
  <c r="G661" i="960"/>
  <c r="N660" i="960"/>
  <c r="L660" i="960"/>
  <c r="N659" i="960"/>
  <c r="L659" i="960"/>
  <c r="N658" i="960"/>
  <c r="L658" i="960"/>
  <c r="N657" i="960"/>
  <c r="L657" i="960"/>
  <c r="N656" i="960"/>
  <c r="L656" i="960"/>
  <c r="N655" i="960"/>
  <c r="L655" i="960"/>
  <c r="C654" i="960"/>
  <c r="F653" i="960"/>
  <c r="C653" i="960"/>
  <c r="I652" i="960"/>
  <c r="N652" i="960" s="1"/>
  <c r="H652" i="960"/>
  <c r="F652" i="960"/>
  <c r="I651" i="960"/>
  <c r="N651" i="960" s="1"/>
  <c r="H651" i="960"/>
  <c r="F651" i="960"/>
  <c r="I650" i="960"/>
  <c r="N650" i="960" s="1"/>
  <c r="H650" i="960"/>
  <c r="F650" i="960"/>
  <c r="G649" i="960"/>
  <c r="G648" i="960"/>
  <c r="N647" i="960"/>
  <c r="L647" i="960"/>
  <c r="G646" i="960"/>
  <c r="N645" i="960"/>
  <c r="L645" i="960"/>
  <c r="N644" i="960"/>
  <c r="L644" i="960"/>
  <c r="N643" i="960"/>
  <c r="L643" i="960"/>
  <c r="N642" i="960"/>
  <c r="L642" i="960"/>
  <c r="N641" i="960"/>
  <c r="L641" i="960"/>
  <c r="N640" i="960"/>
  <c r="L640" i="960"/>
  <c r="C639" i="960"/>
  <c r="F638" i="960"/>
  <c r="C638" i="960"/>
  <c r="I637" i="960"/>
  <c r="N637" i="960" s="1"/>
  <c r="H637" i="960"/>
  <c r="F637" i="960"/>
  <c r="I636" i="960"/>
  <c r="L636" i="960" s="1"/>
  <c r="H636" i="960"/>
  <c r="F636" i="960"/>
  <c r="I635" i="960"/>
  <c r="N635" i="960" s="1"/>
  <c r="H635" i="960"/>
  <c r="F635" i="960"/>
  <c r="G634" i="960"/>
  <c r="G633" i="960"/>
  <c r="N632" i="960"/>
  <c r="L632" i="960"/>
  <c r="G631" i="960"/>
  <c r="N630" i="960"/>
  <c r="L630" i="960"/>
  <c r="N629" i="960"/>
  <c r="L629" i="960"/>
  <c r="N628" i="960"/>
  <c r="L628" i="960"/>
  <c r="N627" i="960"/>
  <c r="L627" i="960"/>
  <c r="N626" i="960"/>
  <c r="L626" i="960"/>
  <c r="N625" i="960"/>
  <c r="L625" i="960"/>
  <c r="C624" i="960"/>
  <c r="F623" i="960"/>
  <c r="C623" i="960"/>
  <c r="I622" i="960"/>
  <c r="L622" i="960" s="1"/>
  <c r="H622" i="960"/>
  <c r="F622" i="960"/>
  <c r="I621" i="960"/>
  <c r="L621" i="960" s="1"/>
  <c r="H621" i="960"/>
  <c r="F621" i="960"/>
  <c r="I620" i="960"/>
  <c r="L620" i="960" s="1"/>
  <c r="H620" i="960"/>
  <c r="F620" i="960"/>
  <c r="G619" i="960"/>
  <c r="G618" i="960"/>
  <c r="N617" i="960"/>
  <c r="L617" i="960"/>
  <c r="G616" i="960"/>
  <c r="G615" i="960"/>
  <c r="G614" i="960"/>
  <c r="G613" i="960"/>
  <c r="I612" i="960"/>
  <c r="G612" i="960"/>
  <c r="N611" i="960"/>
  <c r="L611" i="960"/>
  <c r="N610" i="960"/>
  <c r="L610" i="960"/>
  <c r="C609" i="960"/>
  <c r="F608" i="960"/>
  <c r="C608" i="960"/>
  <c r="I607" i="960"/>
  <c r="L607" i="960" s="1"/>
  <c r="H607" i="960"/>
  <c r="F607" i="960"/>
  <c r="I606" i="960"/>
  <c r="L606" i="960" s="1"/>
  <c r="H606" i="960"/>
  <c r="F606" i="960"/>
  <c r="I605" i="960"/>
  <c r="L605" i="960" s="1"/>
  <c r="H605" i="960"/>
  <c r="F605" i="960"/>
  <c r="G604" i="960"/>
  <c r="G603" i="960"/>
  <c r="N602" i="960"/>
  <c r="L602" i="960"/>
  <c r="G601" i="960"/>
  <c r="G600" i="960"/>
  <c r="G599" i="960"/>
  <c r="G598" i="960"/>
  <c r="I597" i="960"/>
  <c r="G597" i="960"/>
  <c r="N596" i="960"/>
  <c r="L596" i="960"/>
  <c r="N595" i="960"/>
  <c r="L595" i="960"/>
  <c r="C594" i="960"/>
  <c r="F593" i="960"/>
  <c r="C593" i="960"/>
  <c r="I592" i="960"/>
  <c r="H592" i="960"/>
  <c r="F592" i="960"/>
  <c r="I591" i="960"/>
  <c r="L591" i="960" s="1"/>
  <c r="H591" i="960"/>
  <c r="F591" i="960"/>
  <c r="I590" i="960"/>
  <c r="L590" i="960" s="1"/>
  <c r="H590" i="960"/>
  <c r="F590" i="960"/>
  <c r="G589" i="960"/>
  <c r="G588" i="960"/>
  <c r="N587" i="960"/>
  <c r="L587" i="960"/>
  <c r="G586" i="960"/>
  <c r="G585" i="960"/>
  <c r="G584" i="960"/>
  <c r="G583" i="960"/>
  <c r="I582" i="960"/>
  <c r="N582" i="960" s="1"/>
  <c r="G582" i="960"/>
  <c r="N581" i="960"/>
  <c r="L581" i="960"/>
  <c r="N580" i="960"/>
  <c r="L580" i="960"/>
  <c r="C579" i="960"/>
  <c r="F578" i="960"/>
  <c r="C578" i="960"/>
  <c r="I577" i="960"/>
  <c r="L577" i="960" s="1"/>
  <c r="H577" i="960"/>
  <c r="F577" i="960"/>
  <c r="I576" i="960"/>
  <c r="L576" i="960" s="1"/>
  <c r="H576" i="960"/>
  <c r="F576" i="960"/>
  <c r="I575" i="960"/>
  <c r="L575" i="960" s="1"/>
  <c r="H575" i="960"/>
  <c r="F575" i="960"/>
  <c r="G574" i="960"/>
  <c r="G573" i="960"/>
  <c r="N572" i="960"/>
  <c r="L572" i="960"/>
  <c r="G571" i="960"/>
  <c r="G570" i="960"/>
  <c r="G569" i="960"/>
  <c r="G568" i="960"/>
  <c r="I567" i="960"/>
  <c r="L567" i="960" s="1"/>
  <c r="G567" i="960"/>
  <c r="N566" i="960"/>
  <c r="L566" i="960"/>
  <c r="N565" i="960"/>
  <c r="L565" i="960"/>
  <c r="C564" i="960"/>
  <c r="F563" i="960"/>
  <c r="C563" i="960"/>
  <c r="I562" i="960"/>
  <c r="L562" i="960" s="1"/>
  <c r="H562" i="960"/>
  <c r="F562" i="960"/>
  <c r="I561" i="960"/>
  <c r="L561" i="960" s="1"/>
  <c r="H561" i="960"/>
  <c r="F561" i="960"/>
  <c r="I560" i="960"/>
  <c r="L560" i="960" s="1"/>
  <c r="H560" i="960"/>
  <c r="F560" i="960"/>
  <c r="G559" i="960"/>
  <c r="G558" i="960"/>
  <c r="N557" i="960"/>
  <c r="L557" i="960"/>
  <c r="G556" i="960"/>
  <c r="G555" i="960"/>
  <c r="G554" i="960"/>
  <c r="G553" i="960"/>
  <c r="I552" i="960"/>
  <c r="N552" i="960" s="1"/>
  <c r="G552" i="960"/>
  <c r="N551" i="960"/>
  <c r="L551" i="960"/>
  <c r="N550" i="960"/>
  <c r="L550" i="960"/>
  <c r="C549" i="960"/>
  <c r="N548" i="960"/>
  <c r="L548" i="960"/>
  <c r="N547" i="960"/>
  <c r="L547" i="960"/>
  <c r="N546" i="960"/>
  <c r="L546" i="960"/>
  <c r="N545" i="960"/>
  <c r="L545" i="960"/>
  <c r="I544" i="960"/>
  <c r="L544" i="960" s="1"/>
  <c r="G544" i="960"/>
  <c r="F543" i="960"/>
  <c r="I543" i="960" s="1"/>
  <c r="I542" i="960"/>
  <c r="L542" i="960" s="1"/>
  <c r="G542" i="960"/>
  <c r="I541" i="960"/>
  <c r="G541" i="960"/>
  <c r="I540" i="960"/>
  <c r="G540" i="960"/>
  <c r="I539" i="960"/>
  <c r="N539" i="960" s="1"/>
  <c r="G539" i="960"/>
  <c r="I538" i="960"/>
  <c r="N538" i="960" s="1"/>
  <c r="G538" i="960"/>
  <c r="I537" i="960"/>
  <c r="G537" i="960"/>
  <c r="C537" i="960"/>
  <c r="I536" i="960"/>
  <c r="G536" i="960"/>
  <c r="C536" i="960"/>
  <c r="I535" i="960"/>
  <c r="G535" i="960"/>
  <c r="N533" i="960"/>
  <c r="L533" i="960"/>
  <c r="N532" i="960"/>
  <c r="L532" i="960"/>
  <c r="N531" i="960"/>
  <c r="L531" i="960"/>
  <c r="N530" i="960"/>
  <c r="L530" i="960"/>
  <c r="G529" i="960"/>
  <c r="F528" i="960"/>
  <c r="I528" i="960" s="1"/>
  <c r="N527" i="960"/>
  <c r="L527" i="960"/>
  <c r="N526" i="960"/>
  <c r="L526" i="960"/>
  <c r="G525" i="960"/>
  <c r="G524" i="960"/>
  <c r="G523" i="960"/>
  <c r="N522" i="960"/>
  <c r="L522" i="960"/>
  <c r="N521" i="960"/>
  <c r="L521" i="960"/>
  <c r="G520" i="960"/>
  <c r="C519" i="960"/>
  <c r="F518" i="960"/>
  <c r="C518" i="960"/>
  <c r="H517" i="960"/>
  <c r="N516" i="960"/>
  <c r="L516" i="960"/>
  <c r="H516" i="960"/>
  <c r="H515" i="960"/>
  <c r="G514" i="960"/>
  <c r="N513" i="960"/>
  <c r="L513" i="960"/>
  <c r="G512" i="960"/>
  <c r="G511" i="960"/>
  <c r="G510" i="960"/>
  <c r="G509" i="960"/>
  <c r="G508" i="960"/>
  <c r="G507" i="960"/>
  <c r="C507" i="960"/>
  <c r="G506" i="960"/>
  <c r="C506" i="960"/>
  <c r="N505" i="960"/>
  <c r="L505" i="960"/>
  <c r="C504" i="960"/>
  <c r="F503" i="960"/>
  <c r="C503" i="960"/>
  <c r="H502" i="960"/>
  <c r="N501" i="960"/>
  <c r="L501" i="960"/>
  <c r="H501" i="960"/>
  <c r="H500" i="960"/>
  <c r="G499" i="960"/>
  <c r="N498" i="960"/>
  <c r="L498" i="960"/>
  <c r="G497" i="960"/>
  <c r="G496" i="960"/>
  <c r="G495" i="960"/>
  <c r="G494" i="960"/>
  <c r="G493" i="960"/>
  <c r="G492" i="960"/>
  <c r="C492" i="960"/>
  <c r="G491" i="960"/>
  <c r="C491" i="960"/>
  <c r="N490" i="960"/>
  <c r="L490" i="960"/>
  <c r="C489" i="960"/>
  <c r="F488" i="960"/>
  <c r="C488" i="960"/>
  <c r="H487" i="960"/>
  <c r="N486" i="960"/>
  <c r="L486" i="960"/>
  <c r="H486" i="960"/>
  <c r="H485" i="960"/>
  <c r="G484" i="960"/>
  <c r="N483" i="960"/>
  <c r="L483" i="960"/>
  <c r="G482" i="960"/>
  <c r="G481" i="960"/>
  <c r="G480" i="960"/>
  <c r="G479" i="960"/>
  <c r="G478" i="960"/>
  <c r="G477" i="960"/>
  <c r="C477" i="960"/>
  <c r="G476" i="960"/>
  <c r="C476" i="960"/>
  <c r="N475" i="960"/>
  <c r="L475" i="960"/>
  <c r="C474" i="960"/>
  <c r="F473" i="960"/>
  <c r="C473" i="960"/>
  <c r="H472" i="960"/>
  <c r="N471" i="960"/>
  <c r="L471" i="960"/>
  <c r="H471" i="960"/>
  <c r="H470" i="960"/>
  <c r="G469" i="960"/>
  <c r="N468" i="960"/>
  <c r="L468" i="960"/>
  <c r="G467" i="960"/>
  <c r="G466" i="960"/>
  <c r="G465" i="960"/>
  <c r="G464" i="960"/>
  <c r="G463" i="960"/>
  <c r="G462" i="960"/>
  <c r="C462" i="960"/>
  <c r="G461" i="960"/>
  <c r="C461" i="960"/>
  <c r="N460" i="960"/>
  <c r="L460" i="960"/>
  <c r="C459" i="960"/>
  <c r="F458" i="960"/>
  <c r="C458" i="960"/>
  <c r="H457" i="960"/>
  <c r="N456" i="960"/>
  <c r="L456" i="960"/>
  <c r="H456" i="960"/>
  <c r="H455" i="960"/>
  <c r="G454" i="960"/>
  <c r="N453" i="960"/>
  <c r="L453" i="960"/>
  <c r="N452" i="960"/>
  <c r="L452" i="960"/>
  <c r="G451" i="960"/>
  <c r="G450" i="960"/>
  <c r="G449" i="960"/>
  <c r="G448" i="960"/>
  <c r="G447" i="960"/>
  <c r="C447" i="960"/>
  <c r="N446" i="960"/>
  <c r="L446" i="960"/>
  <c r="G445" i="960"/>
  <c r="C444" i="960"/>
  <c r="F443" i="960"/>
  <c r="C443" i="960"/>
  <c r="H442" i="960"/>
  <c r="N441" i="960"/>
  <c r="L441" i="960"/>
  <c r="H441" i="960"/>
  <c r="H440" i="960"/>
  <c r="G439" i="960"/>
  <c r="N438" i="960"/>
  <c r="L438" i="960"/>
  <c r="N437" i="960"/>
  <c r="L437" i="960"/>
  <c r="G436" i="960"/>
  <c r="G435" i="960"/>
  <c r="G434" i="960"/>
  <c r="G433" i="960"/>
  <c r="G432" i="960"/>
  <c r="C432" i="960"/>
  <c r="AQ431" i="960"/>
  <c r="AP431" i="960"/>
  <c r="N431" i="960"/>
  <c r="L431" i="960"/>
  <c r="AQ430" i="960"/>
  <c r="AP430" i="960"/>
  <c r="G430" i="960"/>
  <c r="AQ429" i="960"/>
  <c r="AP429" i="960"/>
  <c r="C429" i="960"/>
  <c r="AQ428" i="960"/>
  <c r="AP428" i="960"/>
  <c r="F428" i="960"/>
  <c r="C428" i="960"/>
  <c r="AQ427" i="960"/>
  <c r="AP427" i="960"/>
  <c r="H427" i="960"/>
  <c r="AQ426" i="960"/>
  <c r="AP426" i="960"/>
  <c r="N426" i="960"/>
  <c r="L426" i="960"/>
  <c r="H426" i="960"/>
  <c r="AQ425" i="960"/>
  <c r="AP425" i="960"/>
  <c r="H425" i="960"/>
  <c r="AQ424" i="960"/>
  <c r="AP424" i="960"/>
  <c r="G424" i="960"/>
  <c r="AQ423" i="960"/>
  <c r="AP423" i="960"/>
  <c r="N423" i="960"/>
  <c r="L423" i="960"/>
  <c r="AQ422" i="960"/>
  <c r="AP422" i="960"/>
  <c r="N422" i="960"/>
  <c r="L422" i="960"/>
  <c r="AQ421" i="960"/>
  <c r="AP421" i="960"/>
  <c r="G421" i="960"/>
  <c r="AQ420" i="960"/>
  <c r="AP420" i="960"/>
  <c r="G420" i="960"/>
  <c r="AQ419" i="960"/>
  <c r="AP419" i="960"/>
  <c r="G419" i="960"/>
  <c r="AQ418" i="960"/>
  <c r="AP418" i="960"/>
  <c r="G418" i="960"/>
  <c r="AQ417" i="960"/>
  <c r="AP417" i="960"/>
  <c r="G417" i="960"/>
  <c r="C417" i="960"/>
  <c r="AQ416" i="960"/>
  <c r="AP416" i="960"/>
  <c r="N416" i="960"/>
  <c r="L416" i="960"/>
  <c r="AQ415" i="960"/>
  <c r="AP415" i="960"/>
  <c r="G415" i="960"/>
  <c r="AQ414" i="960"/>
  <c r="AP414" i="960"/>
  <c r="C414" i="960"/>
  <c r="AQ413" i="960"/>
  <c r="AP413" i="960"/>
  <c r="F413" i="960"/>
  <c r="C413" i="960"/>
  <c r="AQ412" i="960"/>
  <c r="AP412" i="960"/>
  <c r="H412" i="960"/>
  <c r="AQ411" i="960"/>
  <c r="AP411" i="960"/>
  <c r="N411" i="960"/>
  <c r="L411" i="960"/>
  <c r="H411" i="960"/>
  <c r="AQ410" i="960"/>
  <c r="AP410" i="960"/>
  <c r="H410" i="960"/>
  <c r="AQ409" i="960"/>
  <c r="AP409" i="960"/>
  <c r="G409" i="960"/>
  <c r="AQ408" i="960"/>
  <c r="AP408" i="960"/>
  <c r="N408" i="960"/>
  <c r="L408" i="960"/>
  <c r="AQ407" i="960"/>
  <c r="AP407" i="960"/>
  <c r="N407" i="960"/>
  <c r="L407" i="960"/>
  <c r="AQ406" i="960"/>
  <c r="AP406" i="960"/>
  <c r="G406" i="960"/>
  <c r="AQ405" i="960"/>
  <c r="AP405" i="960"/>
  <c r="G405" i="960"/>
  <c r="AQ404" i="960"/>
  <c r="AP404" i="960"/>
  <c r="G404" i="960"/>
  <c r="AQ403" i="960"/>
  <c r="AP403" i="960"/>
  <c r="G403" i="960"/>
  <c r="AQ402" i="960"/>
  <c r="AP402" i="960"/>
  <c r="G402" i="960"/>
  <c r="C402" i="960"/>
  <c r="AQ401" i="960"/>
  <c r="AP401" i="960"/>
  <c r="N401" i="960"/>
  <c r="L401" i="960"/>
  <c r="AQ400" i="960"/>
  <c r="AP400" i="960"/>
  <c r="G400" i="960"/>
  <c r="AQ399" i="960"/>
  <c r="AP399" i="960"/>
  <c r="C399" i="960"/>
  <c r="AQ398" i="960"/>
  <c r="AP398" i="960"/>
  <c r="F398" i="960"/>
  <c r="C398" i="960"/>
  <c r="AQ397" i="960"/>
  <c r="AP397" i="960"/>
  <c r="H397" i="960"/>
  <c r="AQ396" i="960"/>
  <c r="AP396" i="960"/>
  <c r="N396" i="960"/>
  <c r="L396" i="960"/>
  <c r="H396" i="960"/>
  <c r="AQ395" i="960"/>
  <c r="AP395" i="960"/>
  <c r="H395" i="960"/>
  <c r="AQ394" i="960"/>
  <c r="AP394" i="960"/>
  <c r="G394" i="960"/>
  <c r="AQ393" i="960"/>
  <c r="AP393" i="960"/>
  <c r="N393" i="960"/>
  <c r="L393" i="960"/>
  <c r="AQ392" i="960"/>
  <c r="AP392" i="960"/>
  <c r="N392" i="960"/>
  <c r="L392" i="960"/>
  <c r="AQ391" i="960"/>
  <c r="AP391" i="960"/>
  <c r="G391" i="960"/>
  <c r="AQ390" i="960"/>
  <c r="AP390" i="960"/>
  <c r="G390" i="960"/>
  <c r="AQ389" i="960"/>
  <c r="AP389" i="960"/>
  <c r="G389" i="960"/>
  <c r="AQ388" i="960"/>
  <c r="AP388" i="960"/>
  <c r="G388" i="960"/>
  <c r="AQ387" i="960"/>
  <c r="AP387" i="960"/>
  <c r="G387" i="960"/>
  <c r="C387" i="960"/>
  <c r="N386" i="960"/>
  <c r="L386" i="960"/>
  <c r="G385" i="960"/>
  <c r="C384" i="960"/>
  <c r="F383" i="960"/>
  <c r="C383" i="960"/>
  <c r="H382" i="960"/>
  <c r="H381" i="960"/>
  <c r="H380" i="960"/>
  <c r="G379" i="960"/>
  <c r="N378" i="960"/>
  <c r="L378" i="960"/>
  <c r="N377" i="960"/>
  <c r="L377" i="960"/>
  <c r="G376" i="960"/>
  <c r="G375" i="960"/>
  <c r="G374" i="960"/>
  <c r="G373" i="960"/>
  <c r="G372" i="960"/>
  <c r="C372" i="960"/>
  <c r="N371" i="960"/>
  <c r="L371" i="960"/>
  <c r="G370" i="960"/>
  <c r="C369" i="960"/>
  <c r="F368" i="960"/>
  <c r="C368" i="960"/>
  <c r="H367" i="960"/>
  <c r="H366" i="960"/>
  <c r="H365" i="960"/>
  <c r="G364" i="960"/>
  <c r="N363" i="960"/>
  <c r="L363" i="960"/>
  <c r="N362" i="960"/>
  <c r="L362" i="960"/>
  <c r="G361" i="960"/>
  <c r="G360" i="960"/>
  <c r="G359" i="960"/>
  <c r="G358" i="960"/>
  <c r="G357" i="960"/>
  <c r="C357" i="960"/>
  <c r="N356" i="960"/>
  <c r="L356" i="960"/>
  <c r="G355" i="960"/>
  <c r="C354" i="960"/>
  <c r="F353" i="960"/>
  <c r="C353" i="960"/>
  <c r="H352" i="960"/>
  <c r="H351" i="960"/>
  <c r="H350" i="960"/>
  <c r="G349" i="960"/>
  <c r="N348" i="960"/>
  <c r="L348" i="960"/>
  <c r="N347" i="960"/>
  <c r="L347" i="960"/>
  <c r="G346" i="960"/>
  <c r="G345" i="960"/>
  <c r="G344" i="960"/>
  <c r="G343" i="960"/>
  <c r="G342" i="960"/>
  <c r="C342" i="960"/>
  <c r="N341" i="960"/>
  <c r="L341" i="960"/>
  <c r="G340" i="960"/>
  <c r="C339" i="960"/>
  <c r="F338" i="960"/>
  <c r="C338" i="960"/>
  <c r="H337" i="960"/>
  <c r="H336" i="960"/>
  <c r="H335" i="960"/>
  <c r="G334" i="960"/>
  <c r="N333" i="960"/>
  <c r="L333" i="960"/>
  <c r="N332" i="960"/>
  <c r="L332" i="960"/>
  <c r="G331" i="960"/>
  <c r="G330" i="960"/>
  <c r="G329" i="960"/>
  <c r="G328" i="960"/>
  <c r="G327" i="960"/>
  <c r="C327" i="960"/>
  <c r="N326" i="960"/>
  <c r="L326" i="960"/>
  <c r="G325" i="960"/>
  <c r="C324" i="960"/>
  <c r="F323" i="960"/>
  <c r="C323" i="960"/>
  <c r="H322" i="960"/>
  <c r="H321" i="960"/>
  <c r="H320" i="960"/>
  <c r="G319" i="960"/>
  <c r="N318" i="960"/>
  <c r="L318" i="960"/>
  <c r="N317" i="960"/>
  <c r="L317" i="960"/>
  <c r="G316" i="960"/>
  <c r="G315" i="960"/>
  <c r="G314" i="960"/>
  <c r="G313" i="960"/>
  <c r="G312" i="960"/>
  <c r="C312" i="960"/>
  <c r="N311" i="960"/>
  <c r="L311" i="960"/>
  <c r="G310" i="960"/>
  <c r="C309" i="960"/>
  <c r="N308" i="960"/>
  <c r="N307" i="960"/>
  <c r="N306" i="960"/>
  <c r="N305" i="960"/>
  <c r="N304" i="960"/>
  <c r="N303" i="960"/>
  <c r="N302" i="960"/>
  <c r="N301" i="960"/>
  <c r="N300" i="960"/>
  <c r="N299" i="960"/>
  <c r="E295" i="960"/>
  <c r="D295" i="960"/>
  <c r="C295" i="960"/>
  <c r="E294" i="960"/>
  <c r="D294" i="960"/>
  <c r="C294" i="960"/>
  <c r="E293" i="960"/>
  <c r="D293" i="960"/>
  <c r="C293" i="960"/>
  <c r="E292" i="960"/>
  <c r="D292" i="960"/>
  <c r="C292" i="960"/>
  <c r="E291" i="960"/>
  <c r="D291" i="960"/>
  <c r="C291" i="960"/>
  <c r="E290" i="960"/>
  <c r="D290" i="960"/>
  <c r="C290" i="960"/>
  <c r="E289" i="960"/>
  <c r="D289" i="960"/>
  <c r="C289" i="960"/>
  <c r="E288" i="960"/>
  <c r="D288" i="960"/>
  <c r="C288" i="960"/>
  <c r="E287" i="960"/>
  <c r="D287" i="960"/>
  <c r="C287" i="960"/>
  <c r="E286" i="960"/>
  <c r="D286" i="960"/>
  <c r="C286" i="960"/>
  <c r="AC285" i="960"/>
  <c r="AA285" i="960"/>
  <c r="Y285" i="960"/>
  <c r="E285" i="960"/>
  <c r="D285" i="960"/>
  <c r="C285" i="960"/>
  <c r="AC284" i="960"/>
  <c r="AA284" i="960"/>
  <c r="Y284" i="960"/>
  <c r="E284" i="960"/>
  <c r="D284" i="960"/>
  <c r="C284" i="960"/>
  <c r="AC283" i="960"/>
  <c r="AA283" i="960"/>
  <c r="Y283" i="960"/>
  <c r="E283" i="960"/>
  <c r="D283" i="960"/>
  <c r="C283" i="960"/>
  <c r="AC282" i="960"/>
  <c r="AA282" i="960"/>
  <c r="Y282" i="960"/>
  <c r="E282" i="960"/>
  <c r="D282" i="960"/>
  <c r="C282" i="960"/>
  <c r="AC281" i="960"/>
  <c r="AA281" i="960"/>
  <c r="Y281" i="960"/>
  <c r="E281" i="960"/>
  <c r="D281" i="960"/>
  <c r="C281" i="960"/>
  <c r="AC280" i="960"/>
  <c r="AA280" i="960"/>
  <c r="Y280" i="960"/>
  <c r="E280" i="960"/>
  <c r="D280" i="960"/>
  <c r="C280" i="960"/>
  <c r="AC279" i="960"/>
  <c r="AA279" i="960"/>
  <c r="Y279" i="960"/>
  <c r="E279" i="960"/>
  <c r="D279" i="960"/>
  <c r="C279" i="960"/>
  <c r="AC278" i="960"/>
  <c r="AA278" i="960"/>
  <c r="Y278" i="960"/>
  <c r="E278" i="960"/>
  <c r="D278" i="960"/>
  <c r="C278" i="960"/>
  <c r="AC277" i="960"/>
  <c r="AA277" i="960"/>
  <c r="Y277" i="960"/>
  <c r="E277" i="960"/>
  <c r="D277" i="960"/>
  <c r="C277" i="960"/>
  <c r="AC276" i="960"/>
  <c r="AA276" i="960"/>
  <c r="Y276" i="960"/>
  <c r="E276" i="960"/>
  <c r="D276" i="960"/>
  <c r="C276" i="960"/>
  <c r="AC275" i="960"/>
  <c r="AA275" i="960"/>
  <c r="Y275" i="960"/>
  <c r="E275" i="960"/>
  <c r="D275" i="960"/>
  <c r="C275" i="960"/>
  <c r="AC274" i="960"/>
  <c r="AA274" i="960"/>
  <c r="Y274" i="960"/>
  <c r="E274" i="960"/>
  <c r="D274" i="960"/>
  <c r="C274" i="960"/>
  <c r="AC273" i="960"/>
  <c r="AA273" i="960"/>
  <c r="Y273" i="960"/>
  <c r="E273" i="960"/>
  <c r="D273" i="960"/>
  <c r="C273" i="960"/>
  <c r="AC272" i="960"/>
  <c r="AA272" i="960"/>
  <c r="Y272" i="960"/>
  <c r="E272" i="960"/>
  <c r="D272" i="960"/>
  <c r="C272" i="960"/>
  <c r="AC271" i="960"/>
  <c r="AA271" i="960"/>
  <c r="Y271" i="960"/>
  <c r="E271" i="960"/>
  <c r="D271" i="960"/>
  <c r="C271" i="960"/>
  <c r="AC270" i="960"/>
  <c r="AA270" i="960"/>
  <c r="Y270" i="960"/>
  <c r="E270" i="960"/>
  <c r="D270" i="960"/>
  <c r="C270" i="960"/>
  <c r="AC269" i="960"/>
  <c r="AA269" i="960"/>
  <c r="Y269" i="960"/>
  <c r="E269" i="960"/>
  <c r="D269" i="960"/>
  <c r="C269" i="960"/>
  <c r="AC268" i="960"/>
  <c r="AA268" i="960"/>
  <c r="Y268" i="960"/>
  <c r="E268" i="960"/>
  <c r="D268" i="960"/>
  <c r="C268" i="960"/>
  <c r="AC267" i="960"/>
  <c r="AA267" i="960"/>
  <c r="Y267" i="960"/>
  <c r="E267" i="960"/>
  <c r="D267" i="960"/>
  <c r="C267" i="960"/>
  <c r="AC266" i="960"/>
  <c r="AA266" i="960"/>
  <c r="Y266" i="960"/>
  <c r="E266" i="960"/>
  <c r="D266" i="960"/>
  <c r="C266" i="960"/>
  <c r="AC265" i="960"/>
  <c r="AA265" i="960"/>
  <c r="Y265" i="960"/>
  <c r="E265" i="960"/>
  <c r="D265" i="960"/>
  <c r="C265" i="960"/>
  <c r="AC264" i="960"/>
  <c r="AA264" i="960"/>
  <c r="Y264" i="960"/>
  <c r="E264" i="960"/>
  <c r="D264" i="960"/>
  <c r="C264" i="960"/>
  <c r="AC263" i="960"/>
  <c r="AA263" i="960"/>
  <c r="Y263" i="960"/>
  <c r="E263" i="960"/>
  <c r="D263" i="960"/>
  <c r="C263" i="960"/>
  <c r="AC262" i="960"/>
  <c r="AA262" i="960"/>
  <c r="Y262" i="960"/>
  <c r="E262" i="960"/>
  <c r="D262" i="960"/>
  <c r="C262" i="960"/>
  <c r="AC261" i="960"/>
  <c r="AA261" i="960"/>
  <c r="Y261" i="960"/>
  <c r="E261" i="960"/>
  <c r="D261" i="960"/>
  <c r="C261" i="960"/>
  <c r="AC260" i="960"/>
  <c r="AA260" i="960"/>
  <c r="Y260" i="960"/>
  <c r="E260" i="960"/>
  <c r="D260" i="960"/>
  <c r="C260" i="960"/>
  <c r="AC259" i="960"/>
  <c r="AA259" i="960"/>
  <c r="Y259" i="960"/>
  <c r="E259" i="960"/>
  <c r="D259" i="960"/>
  <c r="C259" i="960"/>
  <c r="AC258" i="960"/>
  <c r="AA258" i="960"/>
  <c r="Y258" i="960"/>
  <c r="E258" i="960"/>
  <c r="D258" i="960"/>
  <c r="C258" i="960"/>
  <c r="AC257" i="960"/>
  <c r="AA257" i="960"/>
  <c r="Y257" i="960"/>
  <c r="E257" i="960"/>
  <c r="D257" i="960"/>
  <c r="C257" i="960"/>
  <c r="AC256" i="960"/>
  <c r="AA256" i="960"/>
  <c r="Y256" i="960"/>
  <c r="E256" i="960"/>
  <c r="D256" i="960"/>
  <c r="C256" i="960"/>
  <c r="AC255" i="960"/>
  <c r="AA255" i="960"/>
  <c r="Y255" i="960"/>
  <c r="E255" i="960"/>
  <c r="D255" i="960"/>
  <c r="C255" i="960"/>
  <c r="AC254" i="960"/>
  <c r="AA254" i="960"/>
  <c r="Y254" i="960"/>
  <c r="E254" i="960"/>
  <c r="D254" i="960"/>
  <c r="C254" i="960"/>
  <c r="AC253" i="960"/>
  <c r="AA253" i="960"/>
  <c r="Y253" i="960"/>
  <c r="E253" i="960"/>
  <c r="D253" i="960"/>
  <c r="C253" i="960"/>
  <c r="AC252" i="960"/>
  <c r="AA252" i="960"/>
  <c r="Y252" i="960"/>
  <c r="E252" i="960"/>
  <c r="D252" i="960"/>
  <c r="C252" i="960"/>
  <c r="AC251" i="960"/>
  <c r="AA251" i="960"/>
  <c r="Y251" i="960"/>
  <c r="E251" i="960"/>
  <c r="D251" i="960"/>
  <c r="C251" i="960"/>
  <c r="AC250" i="960"/>
  <c r="AA250" i="960"/>
  <c r="Y250" i="960"/>
  <c r="E250" i="960"/>
  <c r="D250" i="960"/>
  <c r="C250" i="960"/>
  <c r="AC249" i="960"/>
  <c r="AA249" i="960"/>
  <c r="Y249" i="960"/>
  <c r="E249" i="960"/>
  <c r="D249" i="960"/>
  <c r="C249" i="960"/>
  <c r="AC248" i="960"/>
  <c r="AA248" i="960"/>
  <c r="Y248" i="960"/>
  <c r="E248" i="960"/>
  <c r="D248" i="960"/>
  <c r="C248" i="960"/>
  <c r="AC247" i="960"/>
  <c r="AA247" i="960"/>
  <c r="Y247" i="960"/>
  <c r="E247" i="960"/>
  <c r="D247" i="960"/>
  <c r="C247" i="960"/>
  <c r="AC246" i="960"/>
  <c r="AA246" i="960"/>
  <c r="Y246" i="960"/>
  <c r="E246" i="960"/>
  <c r="D246" i="960"/>
  <c r="C246" i="960"/>
  <c r="AC245" i="960"/>
  <c r="AA245" i="960"/>
  <c r="Y245" i="960"/>
  <c r="E245" i="960"/>
  <c r="D245" i="960"/>
  <c r="C245" i="960"/>
  <c r="AC244" i="960"/>
  <c r="AA244" i="960"/>
  <c r="Y244" i="960"/>
  <c r="E244" i="960"/>
  <c r="D244" i="960"/>
  <c r="C244" i="960"/>
  <c r="AC243" i="960"/>
  <c r="AA243" i="960"/>
  <c r="Y243" i="960"/>
  <c r="E243" i="960"/>
  <c r="D243" i="960"/>
  <c r="C243" i="960"/>
  <c r="AC242" i="960"/>
  <c r="AA242" i="960"/>
  <c r="Y242" i="960"/>
  <c r="E242" i="960"/>
  <c r="D242" i="960"/>
  <c r="C242" i="960"/>
  <c r="AC241" i="960"/>
  <c r="AA241" i="960"/>
  <c r="Y241" i="960"/>
  <c r="E241" i="960"/>
  <c r="D241" i="960"/>
  <c r="C241" i="960"/>
  <c r="AC240" i="960"/>
  <c r="AA240" i="960"/>
  <c r="Y240" i="960"/>
  <c r="E240" i="960"/>
  <c r="D240" i="960"/>
  <c r="C240" i="960"/>
  <c r="AC239" i="960"/>
  <c r="AA239" i="960"/>
  <c r="Y239" i="960"/>
  <c r="E239" i="960"/>
  <c r="D239" i="960"/>
  <c r="C239" i="960"/>
  <c r="AC238" i="960"/>
  <c r="AA238" i="960"/>
  <c r="Y238" i="960"/>
  <c r="E238" i="960"/>
  <c r="D238" i="960"/>
  <c r="C238" i="960"/>
  <c r="AC237" i="960"/>
  <c r="AA237" i="960"/>
  <c r="Y237" i="960"/>
  <c r="V237" i="960"/>
  <c r="S237" i="960"/>
  <c r="P237" i="960"/>
  <c r="E237" i="960"/>
  <c r="D237" i="960"/>
  <c r="C237" i="960"/>
  <c r="AC236" i="960"/>
  <c r="AA236" i="960"/>
  <c r="Y236" i="960"/>
  <c r="V236" i="960"/>
  <c r="S236" i="960"/>
  <c r="P236" i="960"/>
  <c r="E236" i="960"/>
  <c r="D236" i="960"/>
  <c r="C236" i="960"/>
  <c r="AC235" i="960"/>
  <c r="AA235" i="960"/>
  <c r="Y235" i="960"/>
  <c r="V235" i="960"/>
  <c r="S235" i="960"/>
  <c r="P235" i="960"/>
  <c r="E235" i="960"/>
  <c r="D235" i="960"/>
  <c r="C235" i="960"/>
  <c r="AC234" i="960"/>
  <c r="AA234" i="960"/>
  <c r="Y234" i="960"/>
  <c r="V234" i="960"/>
  <c r="S234" i="960"/>
  <c r="P234" i="960"/>
  <c r="E234" i="960"/>
  <c r="D234" i="960"/>
  <c r="C234" i="960"/>
  <c r="AC233" i="960"/>
  <c r="AA233" i="960"/>
  <c r="Y233" i="960"/>
  <c r="E233" i="960"/>
  <c r="D233" i="960"/>
  <c r="C233" i="960"/>
  <c r="W232" i="960"/>
  <c r="V232" i="960"/>
  <c r="T232" i="960"/>
  <c r="S232" i="960"/>
  <c r="Q232" i="960"/>
  <c r="P232" i="960"/>
  <c r="E232" i="960"/>
  <c r="D232" i="960"/>
  <c r="C232" i="960"/>
  <c r="E231" i="960"/>
  <c r="D231" i="960"/>
  <c r="C231" i="960"/>
  <c r="AC230" i="960"/>
  <c r="AA230" i="960"/>
  <c r="AB253" i="960" s="1"/>
  <c r="Y230" i="960"/>
  <c r="Z282" i="960" s="1"/>
  <c r="E230" i="960"/>
  <c r="D230" i="960"/>
  <c r="C230" i="960"/>
  <c r="E229" i="960"/>
  <c r="D229" i="960"/>
  <c r="C229" i="960"/>
  <c r="E228" i="960"/>
  <c r="D228" i="960"/>
  <c r="C228" i="960"/>
  <c r="E227" i="960"/>
  <c r="D227" i="960"/>
  <c r="C227" i="960"/>
  <c r="E226" i="960"/>
  <c r="D226" i="960"/>
  <c r="C226" i="960"/>
  <c r="I225" i="960"/>
  <c r="B225" i="960" s="1"/>
  <c r="E225" i="960"/>
  <c r="D225" i="960"/>
  <c r="C225" i="960"/>
  <c r="N224" i="960"/>
  <c r="Y223" i="960"/>
  <c r="N223" i="960"/>
  <c r="Y222" i="960"/>
  <c r="N222" i="960"/>
  <c r="N221" i="960"/>
  <c r="N220" i="960"/>
  <c r="N219" i="960"/>
  <c r="N218" i="960"/>
  <c r="N217" i="960"/>
  <c r="J216" i="960"/>
  <c r="I216" i="960"/>
  <c r="N216" i="960" s="1"/>
  <c r="E216" i="960"/>
  <c r="D216" i="960"/>
  <c r="C216" i="960"/>
  <c r="J215" i="960"/>
  <c r="I215" i="960"/>
  <c r="E215" i="960"/>
  <c r="D215" i="960"/>
  <c r="C215" i="960"/>
  <c r="J214" i="960"/>
  <c r="I214" i="960"/>
  <c r="N214" i="960" s="1"/>
  <c r="E214" i="960"/>
  <c r="D214" i="960"/>
  <c r="C214" i="960"/>
  <c r="J213" i="960"/>
  <c r="I213" i="960"/>
  <c r="N213" i="960" s="1"/>
  <c r="E213" i="960"/>
  <c r="D213" i="960"/>
  <c r="C213" i="960"/>
  <c r="J212" i="960"/>
  <c r="I212" i="960"/>
  <c r="N212" i="960" s="1"/>
  <c r="E212" i="960"/>
  <c r="D212" i="960"/>
  <c r="C212" i="960"/>
  <c r="J211" i="960"/>
  <c r="I211" i="960"/>
  <c r="E211" i="960"/>
  <c r="D211" i="960"/>
  <c r="C211" i="960"/>
  <c r="J210" i="960"/>
  <c r="I210" i="960"/>
  <c r="N210" i="960" s="1"/>
  <c r="E210" i="960"/>
  <c r="D210" i="960"/>
  <c r="C210" i="960"/>
  <c r="J209" i="960"/>
  <c r="I209" i="960"/>
  <c r="N209" i="960" s="1"/>
  <c r="E209" i="960"/>
  <c r="D209" i="960"/>
  <c r="C209" i="960"/>
  <c r="J208" i="960"/>
  <c r="I208" i="960"/>
  <c r="N208" i="960" s="1"/>
  <c r="E208" i="960"/>
  <c r="D208" i="960"/>
  <c r="C208" i="960"/>
  <c r="J207" i="960"/>
  <c r="I207" i="960"/>
  <c r="E207" i="960"/>
  <c r="D207" i="960"/>
  <c r="C207" i="960"/>
  <c r="J206" i="960"/>
  <c r="I206" i="960"/>
  <c r="N206" i="960" s="1"/>
  <c r="E206" i="960"/>
  <c r="D206" i="960"/>
  <c r="C206" i="960"/>
  <c r="J205" i="960"/>
  <c r="I205" i="960"/>
  <c r="N205" i="960" s="1"/>
  <c r="E205" i="960"/>
  <c r="D205" i="960"/>
  <c r="C205" i="960"/>
  <c r="J204" i="960"/>
  <c r="I204" i="960"/>
  <c r="N204" i="960" s="1"/>
  <c r="E204" i="960"/>
  <c r="D204" i="960"/>
  <c r="C204" i="960"/>
  <c r="J203" i="960"/>
  <c r="I203" i="960"/>
  <c r="E203" i="960"/>
  <c r="D203" i="960"/>
  <c r="C203" i="960"/>
  <c r="J202" i="960"/>
  <c r="I202" i="960"/>
  <c r="N202" i="960" s="1"/>
  <c r="E202" i="960"/>
  <c r="D202" i="960"/>
  <c r="C202" i="960"/>
  <c r="J201" i="960"/>
  <c r="I201" i="960"/>
  <c r="N201" i="960" s="1"/>
  <c r="E201" i="960"/>
  <c r="D201" i="960"/>
  <c r="C201" i="960"/>
  <c r="J200" i="960"/>
  <c r="I200" i="960"/>
  <c r="N200" i="960" s="1"/>
  <c r="E200" i="960"/>
  <c r="D200" i="960"/>
  <c r="C200" i="960"/>
  <c r="J199" i="960"/>
  <c r="I199" i="960"/>
  <c r="E199" i="960"/>
  <c r="D199" i="960"/>
  <c r="C199" i="960"/>
  <c r="J198" i="960"/>
  <c r="I198" i="960"/>
  <c r="N198" i="960" s="1"/>
  <c r="E198" i="960"/>
  <c r="D198" i="960"/>
  <c r="C198" i="960"/>
  <c r="J197" i="960"/>
  <c r="I197" i="960"/>
  <c r="N197" i="960" s="1"/>
  <c r="E197" i="960"/>
  <c r="D197" i="960"/>
  <c r="C197" i="960"/>
  <c r="J196" i="960"/>
  <c r="I196" i="960"/>
  <c r="N196" i="960" s="1"/>
  <c r="E196" i="960"/>
  <c r="D196" i="960"/>
  <c r="C196" i="960"/>
  <c r="J195" i="960"/>
  <c r="I195" i="960"/>
  <c r="E195" i="960"/>
  <c r="D195" i="960"/>
  <c r="C195" i="960"/>
  <c r="J194" i="960"/>
  <c r="I194" i="960"/>
  <c r="N194" i="960" s="1"/>
  <c r="E194" i="960"/>
  <c r="D194" i="960"/>
  <c r="C194" i="960"/>
  <c r="J193" i="960"/>
  <c r="I193" i="960"/>
  <c r="N193" i="960" s="1"/>
  <c r="E193" i="960"/>
  <c r="D193" i="960"/>
  <c r="C193" i="960"/>
  <c r="J192" i="960"/>
  <c r="I192" i="960"/>
  <c r="N192" i="960" s="1"/>
  <c r="E192" i="960"/>
  <c r="D192" i="960"/>
  <c r="C192" i="960"/>
  <c r="J191" i="960"/>
  <c r="I191" i="960"/>
  <c r="E191" i="960"/>
  <c r="D191" i="960"/>
  <c r="C191" i="960"/>
  <c r="J190" i="960"/>
  <c r="I190" i="960"/>
  <c r="N190" i="960" s="1"/>
  <c r="E190" i="960"/>
  <c r="D190" i="960"/>
  <c r="C190" i="960"/>
  <c r="J189" i="960"/>
  <c r="I189" i="960"/>
  <c r="N189" i="960" s="1"/>
  <c r="E189" i="960"/>
  <c r="D189" i="960"/>
  <c r="C189" i="960"/>
  <c r="J188" i="960"/>
  <c r="I188" i="960"/>
  <c r="E188" i="960"/>
  <c r="D188" i="960"/>
  <c r="C188" i="960"/>
  <c r="J187" i="960"/>
  <c r="I187" i="960"/>
  <c r="E187" i="960"/>
  <c r="D187" i="960"/>
  <c r="C187" i="960"/>
  <c r="AD186" i="960"/>
  <c r="AC186" i="960"/>
  <c r="I974" i="960" s="1"/>
  <c r="J186" i="960"/>
  <c r="I186" i="960"/>
  <c r="N186" i="960" s="1"/>
  <c r="E186" i="960"/>
  <c r="D186" i="960"/>
  <c r="C186" i="960"/>
  <c r="J185" i="960"/>
  <c r="I185" i="960"/>
  <c r="N185" i="960" s="1"/>
  <c r="E185" i="960"/>
  <c r="D185" i="960"/>
  <c r="C185" i="960"/>
  <c r="J184" i="960"/>
  <c r="I184" i="960"/>
  <c r="N184" i="960" s="1"/>
  <c r="E184" i="960"/>
  <c r="D184" i="960"/>
  <c r="C184" i="960"/>
  <c r="J183" i="960"/>
  <c r="I183" i="960"/>
  <c r="N183" i="960" s="1"/>
  <c r="E183" i="960"/>
  <c r="D183" i="960"/>
  <c r="C183" i="960"/>
  <c r="J182" i="960"/>
  <c r="I182" i="960"/>
  <c r="N182" i="960" s="1"/>
  <c r="E182" i="960"/>
  <c r="D182" i="960"/>
  <c r="C182" i="960"/>
  <c r="J181" i="960"/>
  <c r="I181" i="960"/>
  <c r="N181" i="960" s="1"/>
  <c r="E181" i="960"/>
  <c r="D181" i="960"/>
  <c r="C181" i="960"/>
  <c r="J180" i="960"/>
  <c r="I180" i="960"/>
  <c r="N180" i="960" s="1"/>
  <c r="E180" i="960"/>
  <c r="D180" i="960"/>
  <c r="C180" i="960"/>
  <c r="J179" i="960"/>
  <c r="I179" i="960"/>
  <c r="E179" i="960"/>
  <c r="D179" i="960"/>
  <c r="C179" i="960"/>
  <c r="J178" i="960"/>
  <c r="I178" i="960"/>
  <c r="N178" i="960" s="1"/>
  <c r="E178" i="960"/>
  <c r="D178" i="960"/>
  <c r="C178" i="960"/>
  <c r="J177" i="960"/>
  <c r="I177" i="960"/>
  <c r="N177" i="960" s="1"/>
  <c r="E177" i="960"/>
  <c r="D177" i="960"/>
  <c r="C177" i="960"/>
  <c r="V176" i="960"/>
  <c r="S176" i="960"/>
  <c r="J176" i="960"/>
  <c r="I176" i="960"/>
  <c r="N176" i="960" s="1"/>
  <c r="E176" i="960"/>
  <c r="D176" i="960"/>
  <c r="C176" i="960"/>
  <c r="V175" i="960"/>
  <c r="S175" i="960"/>
  <c r="J175" i="960"/>
  <c r="I175" i="960"/>
  <c r="E175" i="960"/>
  <c r="D175" i="960"/>
  <c r="C175" i="960"/>
  <c r="V174" i="960"/>
  <c r="S174" i="960"/>
  <c r="J174" i="960"/>
  <c r="I174" i="960"/>
  <c r="N174" i="960" s="1"/>
  <c r="E174" i="960"/>
  <c r="D174" i="960"/>
  <c r="C174" i="960"/>
  <c r="V173" i="960"/>
  <c r="S173" i="960"/>
  <c r="J173" i="960"/>
  <c r="I173" i="960"/>
  <c r="N173" i="960" s="1"/>
  <c r="E173" i="960"/>
  <c r="D173" i="960"/>
  <c r="C173" i="960"/>
  <c r="V172" i="960"/>
  <c r="S172" i="960"/>
  <c r="J172" i="960"/>
  <c r="I172" i="960"/>
  <c r="N172" i="960" s="1"/>
  <c r="E172" i="960"/>
  <c r="D172" i="960"/>
  <c r="C172" i="960"/>
  <c r="J171" i="960"/>
  <c r="I171" i="960"/>
  <c r="N171" i="960" s="1"/>
  <c r="E171" i="960"/>
  <c r="D171" i="960"/>
  <c r="C171" i="960"/>
  <c r="R170" i="960"/>
  <c r="T170" i="960" s="1"/>
  <c r="J170" i="960"/>
  <c r="I170" i="960"/>
  <c r="N170" i="960" s="1"/>
  <c r="E170" i="960"/>
  <c r="D170" i="960"/>
  <c r="C170" i="960"/>
  <c r="J169" i="960"/>
  <c r="I169" i="960"/>
  <c r="N169" i="960" s="1"/>
  <c r="E169" i="960"/>
  <c r="D169" i="960"/>
  <c r="C169" i="960"/>
  <c r="J168" i="960"/>
  <c r="I168" i="960"/>
  <c r="E168" i="960"/>
  <c r="D168" i="960"/>
  <c r="C168" i="960"/>
  <c r="J167" i="960"/>
  <c r="I167" i="960"/>
  <c r="N167" i="960" s="1"/>
  <c r="E167" i="960"/>
  <c r="D167" i="960"/>
  <c r="C167" i="960"/>
  <c r="J166" i="960"/>
  <c r="I166" i="960"/>
  <c r="N166" i="960" s="1"/>
  <c r="E166" i="960"/>
  <c r="D166" i="960"/>
  <c r="C166" i="960"/>
  <c r="J165" i="960"/>
  <c r="I165" i="960"/>
  <c r="E165" i="960"/>
  <c r="D165" i="960"/>
  <c r="C165" i="960"/>
  <c r="J164" i="960"/>
  <c r="I164" i="960"/>
  <c r="N164" i="960" s="1"/>
  <c r="E164" i="960"/>
  <c r="D164" i="960"/>
  <c r="C164" i="960"/>
  <c r="R163" i="960"/>
  <c r="P163" i="960"/>
  <c r="J163" i="960"/>
  <c r="I163" i="960"/>
  <c r="E163" i="960"/>
  <c r="D163" i="960"/>
  <c r="C163" i="960"/>
  <c r="R162" i="960"/>
  <c r="P162" i="960"/>
  <c r="J162" i="960"/>
  <c r="I162" i="960"/>
  <c r="N162" i="960" s="1"/>
  <c r="E162" i="960"/>
  <c r="D162" i="960"/>
  <c r="C162" i="960"/>
  <c r="T161" i="960"/>
  <c r="R161" i="960"/>
  <c r="P161" i="960"/>
  <c r="J161" i="960"/>
  <c r="I161" i="960"/>
  <c r="N161" i="960" s="1"/>
  <c r="E161" i="960"/>
  <c r="D161" i="960"/>
  <c r="C161" i="960"/>
  <c r="P160" i="960"/>
  <c r="C774" i="960" s="1"/>
  <c r="J160" i="960"/>
  <c r="I160" i="960"/>
  <c r="N160" i="960" s="1"/>
  <c r="E160" i="960"/>
  <c r="D160" i="960"/>
  <c r="C160" i="960"/>
  <c r="J159" i="960"/>
  <c r="I159" i="960"/>
  <c r="E159" i="960"/>
  <c r="D159" i="960"/>
  <c r="C159" i="960"/>
  <c r="J158" i="960"/>
  <c r="I158" i="960"/>
  <c r="E158" i="960"/>
  <c r="D158" i="960"/>
  <c r="C158" i="960"/>
  <c r="J157" i="960"/>
  <c r="I157" i="960"/>
  <c r="E157" i="960"/>
  <c r="D157" i="960"/>
  <c r="C157" i="960"/>
  <c r="Z156" i="960"/>
  <c r="I768" i="960" s="1"/>
  <c r="S156" i="960"/>
  <c r="J156" i="960"/>
  <c r="I156" i="960"/>
  <c r="N156" i="960" s="1"/>
  <c r="E156" i="960"/>
  <c r="D156" i="960"/>
  <c r="C156" i="960"/>
  <c r="J155" i="960"/>
  <c r="I155" i="960"/>
  <c r="E155" i="960"/>
  <c r="D155" i="960"/>
  <c r="C155" i="960"/>
  <c r="T154" i="960"/>
  <c r="S154" i="960"/>
  <c r="J154" i="960"/>
  <c r="I154" i="960"/>
  <c r="N154" i="960" s="1"/>
  <c r="E154" i="960"/>
  <c r="D154" i="960"/>
  <c r="C154" i="960"/>
  <c r="R153" i="960"/>
  <c r="J153" i="960"/>
  <c r="I153" i="960"/>
  <c r="N153" i="960" s="1"/>
  <c r="E153" i="960"/>
  <c r="D153" i="960"/>
  <c r="C153" i="960"/>
  <c r="AN152" i="960"/>
  <c r="AD152" i="960"/>
  <c r="I749" i="960" s="1"/>
  <c r="AC152" i="960"/>
  <c r="I750" i="960" s="1"/>
  <c r="AB152" i="960"/>
  <c r="I748" i="960" s="1"/>
  <c r="AA152" i="960"/>
  <c r="Z152" i="960"/>
  <c r="I753" i="960" s="1"/>
  <c r="Y152" i="960"/>
  <c r="I754" i="960" s="1"/>
  <c r="J152" i="960"/>
  <c r="I152" i="960"/>
  <c r="E152" i="960"/>
  <c r="D152" i="960"/>
  <c r="C152" i="960"/>
  <c r="AN151" i="960"/>
  <c r="AD151" i="960"/>
  <c r="I734" i="960" s="1"/>
  <c r="AC151" i="960"/>
  <c r="I735" i="960" s="1"/>
  <c r="AB151" i="960"/>
  <c r="I733" i="960" s="1"/>
  <c r="AA151" i="960"/>
  <c r="Z151" i="960"/>
  <c r="I738" i="960" s="1"/>
  <c r="Y151" i="960"/>
  <c r="I739" i="960" s="1"/>
  <c r="J151" i="960"/>
  <c r="I151" i="960"/>
  <c r="N151" i="960" s="1"/>
  <c r="E151" i="960"/>
  <c r="D151" i="960"/>
  <c r="C151" i="960"/>
  <c r="AN150" i="960"/>
  <c r="AD150" i="960"/>
  <c r="I719" i="960" s="1"/>
  <c r="AC150" i="960"/>
  <c r="I720" i="960" s="1"/>
  <c r="AB150" i="960"/>
  <c r="I718" i="960" s="1"/>
  <c r="AA150" i="960"/>
  <c r="Z150" i="960"/>
  <c r="I723" i="960" s="1"/>
  <c r="Y150" i="960"/>
  <c r="I724" i="960" s="1"/>
  <c r="J150" i="960"/>
  <c r="I150" i="960"/>
  <c r="E150" i="960"/>
  <c r="D150" i="960"/>
  <c r="C150" i="960"/>
  <c r="AN149" i="960"/>
  <c r="AD149" i="960"/>
  <c r="I704" i="960" s="1"/>
  <c r="AC149" i="960"/>
  <c r="I705" i="960" s="1"/>
  <c r="AB149" i="960"/>
  <c r="I703" i="960" s="1"/>
  <c r="AA149" i="960"/>
  <c r="Z149" i="960"/>
  <c r="I708" i="960" s="1"/>
  <c r="Y149" i="960"/>
  <c r="I709" i="960" s="1"/>
  <c r="J149" i="960"/>
  <c r="I149" i="960"/>
  <c r="N149" i="960" s="1"/>
  <c r="E149" i="960"/>
  <c r="D149" i="960"/>
  <c r="C149" i="960"/>
  <c r="J148" i="960"/>
  <c r="I148" i="960"/>
  <c r="N148" i="960" s="1"/>
  <c r="E148" i="960"/>
  <c r="D148" i="960"/>
  <c r="C148" i="960"/>
  <c r="T147" i="960"/>
  <c r="Q147" i="960"/>
  <c r="J147" i="960"/>
  <c r="I147" i="960"/>
  <c r="N147" i="960" s="1"/>
  <c r="E147" i="960"/>
  <c r="D147" i="960"/>
  <c r="C147" i="960"/>
  <c r="Q146" i="960"/>
  <c r="J146" i="960"/>
  <c r="I146" i="960"/>
  <c r="E146" i="960"/>
  <c r="D146" i="960"/>
  <c r="C146" i="960"/>
  <c r="AN145" i="960"/>
  <c r="Z145" i="960"/>
  <c r="I693" i="960" s="1"/>
  <c r="Y145" i="960"/>
  <c r="J145" i="960"/>
  <c r="I145" i="960"/>
  <c r="N145" i="960" s="1"/>
  <c r="E145" i="960"/>
  <c r="D145" i="960"/>
  <c r="C145" i="960"/>
  <c r="AN144" i="960"/>
  <c r="Z144" i="960"/>
  <c r="I678" i="960" s="1"/>
  <c r="Y144" i="960"/>
  <c r="J144" i="960"/>
  <c r="I144" i="960"/>
  <c r="E144" i="960"/>
  <c r="D144" i="960"/>
  <c r="C144" i="960"/>
  <c r="AN143" i="960"/>
  <c r="Z143" i="960"/>
  <c r="I663" i="960" s="1"/>
  <c r="Y143" i="960"/>
  <c r="I664" i="960" s="1"/>
  <c r="J143" i="960"/>
  <c r="I143" i="960"/>
  <c r="N143" i="960" s="1"/>
  <c r="E143" i="960"/>
  <c r="D143" i="960"/>
  <c r="C143" i="960"/>
  <c r="AN142" i="960"/>
  <c r="Z142" i="960"/>
  <c r="I648" i="960" s="1"/>
  <c r="Y142" i="960"/>
  <c r="J142" i="960"/>
  <c r="I142" i="960"/>
  <c r="E142" i="960"/>
  <c r="D142" i="960"/>
  <c r="C142" i="960"/>
  <c r="AN141" i="960"/>
  <c r="Z141" i="960"/>
  <c r="I633" i="960" s="1"/>
  <c r="Y141" i="960"/>
  <c r="I634" i="960" s="1"/>
  <c r="J141" i="960"/>
  <c r="I141" i="960"/>
  <c r="N141" i="960" s="1"/>
  <c r="E141" i="960"/>
  <c r="D141" i="960"/>
  <c r="C141" i="960"/>
  <c r="J140" i="960"/>
  <c r="I140" i="960"/>
  <c r="N140" i="960" s="1"/>
  <c r="E140" i="960"/>
  <c r="D140" i="960"/>
  <c r="C140" i="960"/>
  <c r="T139" i="960"/>
  <c r="S139" i="960"/>
  <c r="R139" i="960"/>
  <c r="Q139" i="960"/>
  <c r="J139" i="960"/>
  <c r="I139" i="960"/>
  <c r="N139" i="960" s="1"/>
  <c r="E139" i="960"/>
  <c r="D139" i="960"/>
  <c r="C139" i="960"/>
  <c r="P138" i="960"/>
  <c r="J138" i="960"/>
  <c r="I138" i="960"/>
  <c r="N138" i="960" s="1"/>
  <c r="E138" i="960"/>
  <c r="D138" i="960"/>
  <c r="C138" i="960"/>
  <c r="AN137" i="960"/>
  <c r="AD137" i="960"/>
  <c r="I614" i="960" s="1"/>
  <c r="AC137" i="960"/>
  <c r="I615" i="960" s="1"/>
  <c r="AB137" i="960"/>
  <c r="I613" i="960" s="1"/>
  <c r="Z137" i="960"/>
  <c r="I618" i="960" s="1"/>
  <c r="Y137" i="960"/>
  <c r="J137" i="960"/>
  <c r="I137" i="960"/>
  <c r="C137" i="960"/>
  <c r="AN136" i="960"/>
  <c r="AD136" i="960"/>
  <c r="I599" i="960" s="1"/>
  <c r="AC136" i="960"/>
  <c r="I600" i="960" s="1"/>
  <c r="AB136" i="960"/>
  <c r="I598" i="960" s="1"/>
  <c r="Z136" i="960"/>
  <c r="I603" i="960" s="1"/>
  <c r="Y136" i="960"/>
  <c r="I604" i="960" s="1"/>
  <c r="N136" i="960"/>
  <c r="AN135" i="960"/>
  <c r="AD135" i="960"/>
  <c r="I584" i="960" s="1"/>
  <c r="AC135" i="960"/>
  <c r="I585" i="960" s="1"/>
  <c r="AB135" i="960"/>
  <c r="I583" i="960" s="1"/>
  <c r="Z135" i="960"/>
  <c r="I588" i="960" s="1"/>
  <c r="Y135" i="960"/>
  <c r="I589" i="960" s="1"/>
  <c r="N135" i="960"/>
  <c r="AN134" i="960"/>
  <c r="AD134" i="960"/>
  <c r="I569" i="960" s="1"/>
  <c r="AC134" i="960"/>
  <c r="I570" i="960" s="1"/>
  <c r="AB134" i="960"/>
  <c r="I568" i="960" s="1"/>
  <c r="Z134" i="960"/>
  <c r="I573" i="960" s="1"/>
  <c r="Y134" i="960"/>
  <c r="I574" i="960" s="1"/>
  <c r="N134" i="960"/>
  <c r="AN133" i="960"/>
  <c r="AD133" i="960"/>
  <c r="I554" i="960" s="1"/>
  <c r="AC133" i="960"/>
  <c r="I555" i="960" s="1"/>
  <c r="AB133" i="960"/>
  <c r="I553" i="960" s="1"/>
  <c r="Z133" i="960"/>
  <c r="I558" i="960" s="1"/>
  <c r="Y133" i="960"/>
  <c r="I559" i="960" s="1"/>
  <c r="N133" i="960"/>
  <c r="N132" i="960"/>
  <c r="T131" i="960"/>
  <c r="S131" i="960"/>
  <c r="R131" i="960"/>
  <c r="Q131" i="960"/>
  <c r="N131" i="960"/>
  <c r="P130" i="960"/>
  <c r="N130" i="960"/>
  <c r="N129" i="960"/>
  <c r="C126" i="960"/>
  <c r="N128" i="960" s="1"/>
  <c r="C123" i="960"/>
  <c r="N123" i="960" s="1"/>
  <c r="C120" i="960"/>
  <c r="N122" i="960" s="1"/>
  <c r="N119" i="960"/>
  <c r="N118" i="960"/>
  <c r="N117" i="960"/>
  <c r="N116" i="960"/>
  <c r="F116" i="960"/>
  <c r="C116" i="960" s="1"/>
  <c r="U111" i="960"/>
  <c r="U110" i="960"/>
  <c r="T106" i="960"/>
  <c r="R106" i="960"/>
  <c r="P106" i="960"/>
  <c r="C106" i="960"/>
  <c r="T105" i="960"/>
  <c r="R105" i="960"/>
  <c r="P105" i="960"/>
  <c r="C105" i="960"/>
  <c r="T104" i="960"/>
  <c r="R104" i="960"/>
  <c r="P104" i="960"/>
  <c r="C104" i="960"/>
  <c r="P103" i="960"/>
  <c r="C534" i="960" s="1"/>
  <c r="C103" i="960"/>
  <c r="F103" i="960" s="1"/>
  <c r="C102" i="960"/>
  <c r="F102" i="960" s="1"/>
  <c r="AN101" i="960"/>
  <c r="AC101" i="960"/>
  <c r="I524" i="960" s="1"/>
  <c r="AB101" i="960"/>
  <c r="I525" i="960" s="1"/>
  <c r="AA101" i="960"/>
  <c r="I523" i="960" s="1"/>
  <c r="Z101" i="960"/>
  <c r="I520" i="960" s="1"/>
  <c r="Y101" i="960"/>
  <c r="I529" i="960" s="1"/>
  <c r="S100" i="960"/>
  <c r="R100" i="960"/>
  <c r="Q99" i="960"/>
  <c r="AN98" i="960"/>
  <c r="AK98" i="960"/>
  <c r="F516" i="960" s="1"/>
  <c r="AI98" i="960"/>
  <c r="F517" i="960" s="1"/>
  <c r="AG98" i="960"/>
  <c r="F515" i="960" s="1"/>
  <c r="AE98" i="960"/>
  <c r="I509" i="960" s="1"/>
  <c r="AD98" i="960"/>
  <c r="I510" i="960" s="1"/>
  <c r="AC98" i="960"/>
  <c r="I508" i="960" s="1"/>
  <c r="AB98" i="960"/>
  <c r="I511" i="960" s="1"/>
  <c r="AA98" i="960"/>
  <c r="Z98" i="960"/>
  <c r="I507" i="960" s="1"/>
  <c r="Y98" i="960"/>
  <c r="I514" i="960" s="1"/>
  <c r="AN97" i="960"/>
  <c r="AK97" i="960"/>
  <c r="F501" i="960" s="1"/>
  <c r="AI97" i="960"/>
  <c r="F502" i="960" s="1"/>
  <c r="AG97" i="960"/>
  <c r="F500" i="960" s="1"/>
  <c r="AE97" i="960"/>
  <c r="I494" i="960" s="1"/>
  <c r="AD97" i="960"/>
  <c r="I495" i="960" s="1"/>
  <c r="AC97" i="960"/>
  <c r="I493" i="960" s="1"/>
  <c r="AB97" i="960"/>
  <c r="I496" i="960" s="1"/>
  <c r="AA97" i="960"/>
  <c r="Z97" i="960"/>
  <c r="I492" i="960" s="1"/>
  <c r="Y97" i="960"/>
  <c r="I499" i="960" s="1"/>
  <c r="AN96" i="960"/>
  <c r="AK96" i="960"/>
  <c r="F486" i="960" s="1"/>
  <c r="AI96" i="960"/>
  <c r="F487" i="960" s="1"/>
  <c r="AG96" i="960"/>
  <c r="F485" i="960" s="1"/>
  <c r="AE96" i="960"/>
  <c r="I479" i="960" s="1"/>
  <c r="AD96" i="960"/>
  <c r="I480" i="960" s="1"/>
  <c r="AC96" i="960"/>
  <c r="I478" i="960" s="1"/>
  <c r="AB96" i="960"/>
  <c r="I481" i="960" s="1"/>
  <c r="AA96" i="960"/>
  <c r="Z96" i="960"/>
  <c r="I477" i="960" s="1"/>
  <c r="Y96" i="960"/>
  <c r="I484" i="960" s="1"/>
  <c r="AN95" i="960"/>
  <c r="AK95" i="960"/>
  <c r="F471" i="960" s="1"/>
  <c r="AI95" i="960"/>
  <c r="F472" i="960" s="1"/>
  <c r="AG95" i="960"/>
  <c r="F470" i="960" s="1"/>
  <c r="AE95" i="960"/>
  <c r="I464" i="960" s="1"/>
  <c r="AD95" i="960"/>
  <c r="I465" i="960" s="1"/>
  <c r="AC95" i="960"/>
  <c r="I463" i="960" s="1"/>
  <c r="AB95" i="960"/>
  <c r="I466" i="960" s="1"/>
  <c r="AA95" i="960"/>
  <c r="Z95" i="960"/>
  <c r="I462" i="960" s="1"/>
  <c r="Y95" i="960"/>
  <c r="I469" i="960" s="1"/>
  <c r="T94" i="960"/>
  <c r="S94" i="960"/>
  <c r="R94" i="960"/>
  <c r="Q93" i="960"/>
  <c r="AN92" i="960"/>
  <c r="AK92" i="960"/>
  <c r="F456" i="960" s="1"/>
  <c r="AI92" i="960"/>
  <c r="F457" i="960" s="1"/>
  <c r="AG92" i="960"/>
  <c r="F455" i="960" s="1"/>
  <c r="AE92" i="960"/>
  <c r="I449" i="960" s="1"/>
  <c r="AD92" i="960"/>
  <c r="I450" i="960" s="1"/>
  <c r="AC92" i="960"/>
  <c r="I448" i="960" s="1"/>
  <c r="AB92" i="960"/>
  <c r="I451" i="960" s="1"/>
  <c r="AA92" i="960"/>
  <c r="I445" i="960" s="1"/>
  <c r="Z92" i="960"/>
  <c r="I447" i="960" s="1"/>
  <c r="Y92" i="960"/>
  <c r="I454" i="960" s="1"/>
  <c r="AN91" i="960"/>
  <c r="AK91" i="960"/>
  <c r="F441" i="960" s="1"/>
  <c r="AI91" i="960"/>
  <c r="F442" i="960" s="1"/>
  <c r="AG91" i="960"/>
  <c r="F440" i="960" s="1"/>
  <c r="AE91" i="960"/>
  <c r="I434" i="960" s="1"/>
  <c r="AD91" i="960"/>
  <c r="I435" i="960" s="1"/>
  <c r="AC91" i="960"/>
  <c r="I433" i="960" s="1"/>
  <c r="AB91" i="960"/>
  <c r="I436" i="960" s="1"/>
  <c r="AA91" i="960"/>
  <c r="I430" i="960" s="1"/>
  <c r="Z91" i="960"/>
  <c r="I432" i="960" s="1"/>
  <c r="Y91" i="960"/>
  <c r="I439" i="960" s="1"/>
  <c r="AN90" i="960"/>
  <c r="AK90" i="960"/>
  <c r="F426" i="960" s="1"/>
  <c r="AI90" i="960"/>
  <c r="F427" i="960" s="1"/>
  <c r="AG90" i="960"/>
  <c r="F425" i="960" s="1"/>
  <c r="AE90" i="960"/>
  <c r="I419" i="960" s="1"/>
  <c r="AD90" i="960"/>
  <c r="I420" i="960" s="1"/>
  <c r="AC90" i="960"/>
  <c r="I418" i="960" s="1"/>
  <c r="AB90" i="960"/>
  <c r="I421" i="960" s="1"/>
  <c r="AA90" i="960"/>
  <c r="I415" i="960" s="1"/>
  <c r="Z90" i="960"/>
  <c r="I417" i="960" s="1"/>
  <c r="Y90" i="960"/>
  <c r="I424" i="960" s="1"/>
  <c r="AN89" i="960"/>
  <c r="AK89" i="960"/>
  <c r="F411" i="960" s="1"/>
  <c r="AI89" i="960"/>
  <c r="F412" i="960" s="1"/>
  <c r="AG89" i="960"/>
  <c r="AE89" i="960"/>
  <c r="I404" i="960" s="1"/>
  <c r="AD89" i="960"/>
  <c r="I405" i="960" s="1"/>
  <c r="AC89" i="960"/>
  <c r="I403" i="960" s="1"/>
  <c r="AB89" i="960"/>
  <c r="I406" i="960" s="1"/>
  <c r="AA89" i="960"/>
  <c r="I400" i="960" s="1"/>
  <c r="Z89" i="960"/>
  <c r="I402" i="960" s="1"/>
  <c r="Y89" i="960"/>
  <c r="I409" i="960" s="1"/>
  <c r="AN88" i="960"/>
  <c r="AK88" i="960"/>
  <c r="F396" i="960" s="1"/>
  <c r="AI88" i="960"/>
  <c r="F397" i="960" s="1"/>
  <c r="AG88" i="960"/>
  <c r="F395" i="960" s="1"/>
  <c r="AE88" i="960"/>
  <c r="I389" i="960" s="1"/>
  <c r="AD88" i="960"/>
  <c r="I390" i="960" s="1"/>
  <c r="AC88" i="960"/>
  <c r="I388" i="960" s="1"/>
  <c r="AB88" i="960"/>
  <c r="I391" i="960" s="1"/>
  <c r="AA88" i="960"/>
  <c r="I385" i="960" s="1"/>
  <c r="Z88" i="960"/>
  <c r="I387" i="960" s="1"/>
  <c r="Y88" i="960"/>
  <c r="I394" i="960" s="1"/>
  <c r="T87" i="960"/>
  <c r="S87" i="960"/>
  <c r="R87" i="960"/>
  <c r="Q87" i="960"/>
  <c r="P86" i="960"/>
  <c r="AN85" i="960"/>
  <c r="AK85" i="960"/>
  <c r="F381" i="960" s="1"/>
  <c r="AI85" i="960"/>
  <c r="F382" i="960" s="1"/>
  <c r="AG85" i="960"/>
  <c r="AE85" i="960"/>
  <c r="I374" i="960" s="1"/>
  <c r="AD85" i="960"/>
  <c r="I375" i="960" s="1"/>
  <c r="AC85" i="960"/>
  <c r="I373" i="960" s="1"/>
  <c r="AB85" i="960"/>
  <c r="I376" i="960" s="1"/>
  <c r="AA85" i="960"/>
  <c r="I370" i="960" s="1"/>
  <c r="Z85" i="960"/>
  <c r="I372" i="960" s="1"/>
  <c r="Y85" i="960"/>
  <c r="I379" i="960" s="1"/>
  <c r="AN84" i="960"/>
  <c r="AK84" i="960"/>
  <c r="F366" i="960" s="1"/>
  <c r="AI84" i="960"/>
  <c r="F367" i="960" s="1"/>
  <c r="AG84" i="960"/>
  <c r="F365" i="960" s="1"/>
  <c r="AE84" i="960"/>
  <c r="I359" i="960" s="1"/>
  <c r="AD84" i="960"/>
  <c r="I360" i="960" s="1"/>
  <c r="AC84" i="960"/>
  <c r="I358" i="960" s="1"/>
  <c r="AB84" i="960"/>
  <c r="I361" i="960" s="1"/>
  <c r="AA84" i="960"/>
  <c r="I355" i="960" s="1"/>
  <c r="Z84" i="960"/>
  <c r="I357" i="960" s="1"/>
  <c r="Y84" i="960"/>
  <c r="I364" i="960" s="1"/>
  <c r="AN83" i="960"/>
  <c r="AK83" i="960"/>
  <c r="F351" i="960" s="1"/>
  <c r="AI83" i="960"/>
  <c r="F352" i="960" s="1"/>
  <c r="AG83" i="960"/>
  <c r="AE83" i="960"/>
  <c r="I344" i="960" s="1"/>
  <c r="AD83" i="960"/>
  <c r="I345" i="960" s="1"/>
  <c r="AC83" i="960"/>
  <c r="I343" i="960" s="1"/>
  <c r="AB83" i="960"/>
  <c r="I346" i="960" s="1"/>
  <c r="AA83" i="960"/>
  <c r="I340" i="960" s="1"/>
  <c r="Z83" i="960"/>
  <c r="I342" i="960" s="1"/>
  <c r="Y83" i="960"/>
  <c r="I349" i="960" s="1"/>
  <c r="C83" i="960"/>
  <c r="AN82" i="960"/>
  <c r="AK82" i="960"/>
  <c r="F336" i="960" s="1"/>
  <c r="AI82" i="960"/>
  <c r="F337" i="960" s="1"/>
  <c r="AG82" i="960"/>
  <c r="F335" i="960" s="1"/>
  <c r="AE82" i="960"/>
  <c r="I329" i="960" s="1"/>
  <c r="L329" i="960" s="1"/>
  <c r="AD82" i="960"/>
  <c r="I330" i="960" s="1"/>
  <c r="AC82" i="960"/>
  <c r="I328" i="960" s="1"/>
  <c r="AB82" i="960"/>
  <c r="I331" i="960" s="1"/>
  <c r="AA82" i="960"/>
  <c r="I325" i="960" s="1"/>
  <c r="Z82" i="960"/>
  <c r="I327" i="960" s="1"/>
  <c r="Y82" i="960"/>
  <c r="I334" i="960" s="1"/>
  <c r="AN81" i="960"/>
  <c r="AK81" i="960"/>
  <c r="F321" i="960" s="1"/>
  <c r="AI81" i="960"/>
  <c r="AG81" i="960"/>
  <c r="AE81" i="960"/>
  <c r="I314" i="960" s="1"/>
  <c r="AD81" i="960"/>
  <c r="I315" i="960" s="1"/>
  <c r="AC81" i="960"/>
  <c r="I313" i="960" s="1"/>
  <c r="AB81" i="960"/>
  <c r="I316" i="960" s="1"/>
  <c r="AA81" i="960"/>
  <c r="I310" i="960" s="1"/>
  <c r="Z81" i="960"/>
  <c r="I312" i="960" s="1"/>
  <c r="Y81" i="960"/>
  <c r="I319" i="960" s="1"/>
  <c r="N81" i="960"/>
  <c r="T80" i="960"/>
  <c r="S80" i="960"/>
  <c r="R80" i="960"/>
  <c r="Q80" i="960"/>
  <c r="N80" i="960"/>
  <c r="P79" i="960"/>
  <c r="N79" i="960"/>
  <c r="T78" i="960"/>
  <c r="S78" i="960"/>
  <c r="Q78" i="960"/>
  <c r="P78" i="960"/>
  <c r="N78" i="960"/>
  <c r="T77" i="960"/>
  <c r="S77" i="960"/>
  <c r="Q77" i="960"/>
  <c r="P77" i="960"/>
  <c r="N77" i="960"/>
  <c r="Q76" i="960"/>
  <c r="P76" i="960"/>
  <c r="N76" i="960"/>
  <c r="AB75" i="960"/>
  <c r="I916" i="960" s="1"/>
  <c r="AA75" i="960"/>
  <c r="Z75" i="960"/>
  <c r="Y75" i="960"/>
  <c r="AD75" i="960" s="1"/>
  <c r="V75" i="960"/>
  <c r="I1033" i="960" s="1"/>
  <c r="U75" i="960"/>
  <c r="I1027" i="960" s="1"/>
  <c r="T75" i="960"/>
  <c r="S75" i="960"/>
  <c r="R75" i="960"/>
  <c r="Q75" i="960"/>
  <c r="P75" i="960"/>
  <c r="N75" i="960"/>
  <c r="R74" i="960"/>
  <c r="Q74" i="960"/>
  <c r="N74" i="960"/>
  <c r="V73" i="960"/>
  <c r="U73" i="960"/>
  <c r="T73" i="960"/>
  <c r="S73" i="960"/>
  <c r="Q73" i="960"/>
  <c r="P73" i="960"/>
  <c r="N73" i="960"/>
  <c r="P72" i="960"/>
  <c r="N72" i="960"/>
  <c r="N71" i="960"/>
  <c r="N70" i="960"/>
  <c r="C70" i="960"/>
  <c r="J69" i="960"/>
  <c r="I69" i="960"/>
  <c r="N69" i="960" s="1"/>
  <c r="C69" i="960"/>
  <c r="J68" i="960"/>
  <c r="I68" i="960"/>
  <c r="L68" i="960" s="1"/>
  <c r="C68" i="960"/>
  <c r="J67" i="960"/>
  <c r="I67" i="960"/>
  <c r="N67" i="960" s="1"/>
  <c r="C67" i="960"/>
  <c r="J66" i="960"/>
  <c r="I66" i="960"/>
  <c r="L66" i="960" s="1"/>
  <c r="C66" i="960"/>
  <c r="J65" i="960"/>
  <c r="I65" i="960"/>
  <c r="N65" i="960" s="1"/>
  <c r="C65" i="960"/>
  <c r="J64" i="960"/>
  <c r="I64" i="960"/>
  <c r="L64" i="960" s="1"/>
  <c r="C64" i="960"/>
  <c r="J63" i="960"/>
  <c r="I63" i="960"/>
  <c r="N63" i="960" s="1"/>
  <c r="C63" i="960"/>
  <c r="N61" i="960"/>
  <c r="L61" i="960"/>
  <c r="B61" i="960"/>
  <c r="N60" i="960"/>
  <c r="L60" i="960"/>
  <c r="B60" i="960"/>
  <c r="N59" i="960"/>
  <c r="L59" i="960"/>
  <c r="B59" i="960"/>
  <c r="N58" i="960"/>
  <c r="L58" i="960"/>
  <c r="B58" i="960"/>
  <c r="N57" i="960"/>
  <c r="L57" i="960"/>
  <c r="B57" i="960"/>
  <c r="N56" i="960"/>
  <c r="L56" i="960"/>
  <c r="B56" i="960"/>
  <c r="N55" i="960"/>
  <c r="L55" i="960"/>
  <c r="B55" i="960"/>
  <c r="N54" i="960"/>
  <c r="L54" i="960"/>
  <c r="B54" i="960"/>
  <c r="N53" i="960"/>
  <c r="L53" i="960"/>
  <c r="B53" i="960"/>
  <c r="N52" i="960"/>
  <c r="L52" i="960"/>
  <c r="B52" i="960"/>
  <c r="N51" i="960"/>
  <c r="L51" i="960"/>
  <c r="B51" i="960"/>
  <c r="N50" i="960"/>
  <c r="L50" i="960"/>
  <c r="B50" i="960"/>
  <c r="N49" i="960"/>
  <c r="L49" i="960"/>
  <c r="B49" i="960"/>
  <c r="N48" i="960"/>
  <c r="L48" i="960"/>
  <c r="B48" i="960"/>
  <c r="N47" i="960"/>
  <c r="L47" i="960"/>
  <c r="B47" i="960"/>
  <c r="N46" i="960"/>
  <c r="L46" i="960"/>
  <c r="B46" i="960"/>
  <c r="N45" i="960"/>
  <c r="L45" i="960"/>
  <c r="B45" i="960"/>
  <c r="N44" i="960"/>
  <c r="L44" i="960"/>
  <c r="B44" i="960"/>
  <c r="AY43" i="960" a="1"/>
  <c r="AY43" i="960" s="1"/>
  <c r="N43" i="960"/>
  <c r="L43" i="960"/>
  <c r="B43" i="960"/>
  <c r="AY42" i="960" a="1"/>
  <c r="AY42" i="960" s="1"/>
  <c r="N42" i="960"/>
  <c r="L42" i="960"/>
  <c r="B42" i="960"/>
  <c r="AY41" i="960" a="1"/>
  <c r="AY41" i="960" s="1"/>
  <c r="N41" i="960"/>
  <c r="L41" i="960"/>
  <c r="B41" i="960"/>
  <c r="AY40" i="960" a="1"/>
  <c r="AY40" i="960" s="1"/>
  <c r="N40" i="960"/>
  <c r="L40" i="960"/>
  <c r="B40" i="960"/>
  <c r="AY39" i="960" a="1"/>
  <c r="AY39" i="960" s="1"/>
  <c r="N39" i="960"/>
  <c r="L39" i="960"/>
  <c r="B39" i="960"/>
  <c r="AY38" i="960" a="1"/>
  <c r="AY38" i="960" s="1"/>
  <c r="N38" i="960"/>
  <c r="L38" i="960"/>
  <c r="B38" i="960"/>
  <c r="AY37" i="960" a="1"/>
  <c r="AY37" i="960" s="1"/>
  <c r="N37" i="960"/>
  <c r="L37" i="960"/>
  <c r="B37" i="960"/>
  <c r="AY36" i="960" a="1"/>
  <c r="AY36" i="960" s="1"/>
  <c r="N36" i="960"/>
  <c r="AY35" i="960" a="1"/>
  <c r="AY35" i="960" s="1"/>
  <c r="N35" i="960"/>
  <c r="L35" i="960"/>
  <c r="B35" i="960"/>
  <c r="AY34" i="960" a="1"/>
  <c r="AY34" i="960" s="1"/>
  <c r="N34" i="960"/>
  <c r="L34" i="960"/>
  <c r="B34" i="960"/>
  <c r="AY33" i="960" a="1"/>
  <c r="AY33" i="960" s="1"/>
  <c r="N33" i="960"/>
  <c r="L33" i="960"/>
  <c r="B33" i="960"/>
  <c r="AY32" i="960" a="1"/>
  <c r="AY32" i="960" s="1"/>
  <c r="N32" i="960"/>
  <c r="L32" i="960"/>
  <c r="B32" i="960"/>
  <c r="AY31" i="960" a="1"/>
  <c r="AY31" i="960" s="1"/>
  <c r="N31" i="960"/>
  <c r="L31" i="960"/>
  <c r="B31" i="960"/>
  <c r="AY30" i="960" a="1"/>
  <c r="AY30" i="960" s="1"/>
  <c r="N30" i="960"/>
  <c r="L30" i="960"/>
  <c r="B30" i="960"/>
  <c r="AY29" i="960" a="1"/>
  <c r="AY29" i="960" s="1"/>
  <c r="N29" i="960"/>
  <c r="L29" i="960"/>
  <c r="B29" i="960"/>
  <c r="AY28" i="960" a="1"/>
  <c r="AY28" i="960" s="1"/>
  <c r="N28" i="960"/>
  <c r="L28" i="960"/>
  <c r="B28" i="960"/>
  <c r="AY27" i="960" a="1"/>
  <c r="AY27" i="960" s="1"/>
  <c r="N27" i="960"/>
  <c r="L27" i="960"/>
  <c r="B27" i="960"/>
  <c r="AY26" i="960" a="1"/>
  <c r="AY26" i="960" s="1"/>
  <c r="N26" i="960"/>
  <c r="L26" i="960"/>
  <c r="B26" i="960"/>
  <c r="AY25" i="960" a="1"/>
  <c r="AY25" i="960" s="1"/>
  <c r="N25" i="960"/>
  <c r="L25" i="960"/>
  <c r="B25" i="960"/>
  <c r="AY24" i="960" a="1"/>
  <c r="AY24" i="960" s="1"/>
  <c r="AK24" i="960"/>
  <c r="AK25" i="960" s="1"/>
  <c r="N24" i="960"/>
  <c r="L24" i="960"/>
  <c r="B24" i="960"/>
  <c r="AY23" i="960" a="1"/>
  <c r="AY23" i="960" s="1"/>
  <c r="N23" i="960"/>
  <c r="L23" i="960"/>
  <c r="B23" i="960"/>
  <c r="N22" i="960"/>
  <c r="AH21" i="960"/>
  <c r="AG21" i="960"/>
  <c r="AF21" i="960" s="1"/>
  <c r="AD21" i="960"/>
  <c r="AC21" i="960"/>
  <c r="AB21" i="960"/>
  <c r="N21" i="960"/>
  <c r="L21" i="960"/>
  <c r="B21" i="960"/>
  <c r="AJ20" i="960"/>
  <c r="AC20" i="960"/>
  <c r="T20" i="960"/>
  <c r="S20" i="960"/>
  <c r="N20" i="960"/>
  <c r="L20" i="960"/>
  <c r="B20" i="960"/>
  <c r="AC19" i="960"/>
  <c r="AF19" i="960" s="1"/>
  <c r="S19" i="960"/>
  <c r="N19" i="960"/>
  <c r="L19" i="960"/>
  <c r="B19" i="960"/>
  <c r="AC18" i="960"/>
  <c r="AE18" i="960" s="1"/>
  <c r="N18" i="960"/>
  <c r="L18" i="960"/>
  <c r="B18" i="960"/>
  <c r="AC17" i="960"/>
  <c r="AF17" i="960" s="1"/>
  <c r="N17" i="960"/>
  <c r="L17" i="960"/>
  <c r="B17" i="960"/>
  <c r="AC16" i="960"/>
  <c r="AE16" i="960" s="1"/>
  <c r="W16" i="960"/>
  <c r="V16" i="960"/>
  <c r="U16" i="960"/>
  <c r="S16" i="960"/>
  <c r="N16" i="960"/>
  <c r="L16" i="960"/>
  <c r="B16" i="960"/>
  <c r="AD15" i="960"/>
  <c r="N15" i="960"/>
  <c r="W14" i="960"/>
  <c r="V14" i="960"/>
  <c r="U14" i="960"/>
  <c r="S14" i="960"/>
  <c r="N14" i="960"/>
  <c r="L14" i="960"/>
  <c r="B14" i="960"/>
  <c r="AF13" i="960"/>
  <c r="AF12" i="960" s="1"/>
  <c r="AE13" i="960"/>
  <c r="N13" i="960"/>
  <c r="L13" i="960"/>
  <c r="B13" i="960"/>
  <c r="AY12" i="960" a="1"/>
  <c r="AY12" i="960" s="1"/>
  <c r="AE12" i="960"/>
  <c r="S12" i="960"/>
  <c r="N12" i="960"/>
  <c r="BE11" i="960" a="1"/>
  <c r="BE11" i="960" s="1"/>
  <c r="AY11" i="960" a="1"/>
  <c r="AY11" i="960" s="1"/>
  <c r="BE10" i="960" a="1"/>
  <c r="BE10" i="960" s="1"/>
  <c r="AY10" i="960" a="1"/>
  <c r="AY10" i="960" s="1"/>
  <c r="AC10" i="960"/>
  <c r="W10" i="960"/>
  <c r="T10" i="960"/>
  <c r="S10" i="960"/>
  <c r="P10" i="960"/>
  <c r="BE9" i="960" a="1"/>
  <c r="BE9" i="960" s="1"/>
  <c r="AY9" i="960" a="1"/>
  <c r="AY9" i="960" s="1"/>
  <c r="AC9" i="960"/>
  <c r="W9" i="960"/>
  <c r="T9" i="960"/>
  <c r="S9" i="960"/>
  <c r="P9" i="960"/>
  <c r="BE8" i="960" a="1"/>
  <c r="BE8" i="960" s="1"/>
  <c r="AY8" i="960" a="1"/>
  <c r="AY8" i="960" s="1"/>
  <c r="AC8" i="960"/>
  <c r="W8" i="960"/>
  <c r="T8" i="960"/>
  <c r="S8" i="960"/>
  <c r="P8" i="960"/>
  <c r="BE7" i="960" a="1"/>
  <c r="BE7" i="960" s="1"/>
  <c r="AY7" i="960" a="1"/>
  <c r="AY7" i="960" s="1"/>
  <c r="AF7" i="960" a="1"/>
  <c r="AF7" i="960" s="1"/>
  <c r="AE7" i="960" a="1"/>
  <c r="AE7" i="960" s="1"/>
  <c r="AC7" i="960"/>
  <c r="BE6" i="960" a="1"/>
  <c r="BE6" i="960" s="1"/>
  <c r="AY6" i="960" a="1"/>
  <c r="AY6" i="960" s="1"/>
  <c r="AF6" i="960" a="1"/>
  <c r="AF6" i="960" s="1"/>
  <c r="AE6" i="960" a="1"/>
  <c r="AE6" i="960" s="1"/>
  <c r="AD6" i="960"/>
  <c r="AB6" i="960"/>
  <c r="AA6" i="960"/>
  <c r="W6" i="960"/>
  <c r="V6" i="960"/>
  <c r="U6" i="960"/>
  <c r="T6" i="960"/>
  <c r="S6" i="960"/>
  <c r="R6" i="960"/>
  <c r="Q6" i="960"/>
  <c r="P6" i="960"/>
  <c r="BE5" i="960" a="1"/>
  <c r="BE5" i="960" s="1"/>
  <c r="AY5" i="960" a="1"/>
  <c r="AY5" i="960" s="1"/>
  <c r="AF5" i="960" a="1"/>
  <c r="AF5" i="960" s="1"/>
  <c r="AE5" i="960" a="1"/>
  <c r="AE5" i="960" s="1"/>
  <c r="AF83" i="960" s="1"/>
  <c r="I353" i="960" s="1"/>
  <c r="AD5" i="960"/>
  <c r="AB5" i="960" s="1"/>
  <c r="AA5" i="960"/>
  <c r="Q5" i="960"/>
  <c r="O5" i="960"/>
  <c r="AA4" i="960"/>
  <c r="Z4" i="960"/>
  <c r="S147" i="960" s="1"/>
  <c r="AB3" i="960"/>
  <c r="Z3" i="960"/>
  <c r="J2" i="960"/>
  <c r="G1323" i="959"/>
  <c r="H1322" i="959"/>
  <c r="G1318" i="959"/>
  <c r="H1163" i="959"/>
  <c r="H1162" i="959"/>
  <c r="H1161" i="959"/>
  <c r="H1160" i="959"/>
  <c r="H1159" i="959"/>
  <c r="H1158" i="959"/>
  <c r="H1157" i="959"/>
  <c r="H1156" i="959"/>
  <c r="H1155" i="959"/>
  <c r="H1154" i="959"/>
  <c r="H1153" i="959"/>
  <c r="H1152" i="959"/>
  <c r="H1151" i="959"/>
  <c r="H1150" i="959"/>
  <c r="H1149" i="959"/>
  <c r="H1141" i="959"/>
  <c r="I1119" i="959"/>
  <c r="I1118" i="959"/>
  <c r="I1117" i="959"/>
  <c r="I1116" i="959"/>
  <c r="I1115" i="959"/>
  <c r="I1114" i="959"/>
  <c r="I1113" i="959"/>
  <c r="I1111" i="959"/>
  <c r="I1110" i="959"/>
  <c r="I1108" i="959"/>
  <c r="I1107" i="959"/>
  <c r="I1106" i="959"/>
  <c r="I1105" i="959"/>
  <c r="I1104" i="959"/>
  <c r="I1103" i="959"/>
  <c r="I1102" i="959"/>
  <c r="I1101" i="959"/>
  <c r="I1100" i="959"/>
  <c r="I1099" i="959"/>
  <c r="I1098" i="959"/>
  <c r="I1097" i="959"/>
  <c r="I1095" i="959"/>
  <c r="I1094" i="959"/>
  <c r="I1093" i="959"/>
  <c r="I1092" i="959"/>
  <c r="I1091" i="959"/>
  <c r="I1090" i="959"/>
  <c r="I1088" i="959"/>
  <c r="I1087" i="959"/>
  <c r="I1086" i="959"/>
  <c r="I1085" i="959"/>
  <c r="I1084" i="959"/>
  <c r="I1083" i="959"/>
  <c r="I1081" i="959"/>
  <c r="I1080" i="959"/>
  <c r="I1079" i="959"/>
  <c r="G1059" i="959"/>
  <c r="G1058" i="959"/>
  <c r="G1057" i="959"/>
  <c r="G1056" i="959"/>
  <c r="G1055" i="959"/>
  <c r="G1054" i="959"/>
  <c r="G1053" i="959"/>
  <c r="G1052" i="959"/>
  <c r="G1051" i="959"/>
  <c r="G1050" i="959"/>
  <c r="G1049" i="959"/>
  <c r="G1048" i="959"/>
  <c r="I1046" i="959"/>
  <c r="I1045" i="959"/>
  <c r="I1044" i="959"/>
  <c r="I1043" i="959"/>
  <c r="I1037" i="959"/>
  <c r="G1036" i="959"/>
  <c r="G1035" i="959"/>
  <c r="G1034" i="959"/>
  <c r="G1033" i="959"/>
  <c r="G1032" i="959"/>
  <c r="G1031" i="959"/>
  <c r="G1030" i="959"/>
  <c r="G1029" i="959"/>
  <c r="G1028" i="959"/>
  <c r="G1027" i="959"/>
  <c r="I1026" i="959"/>
  <c r="I1025" i="959"/>
  <c r="I1017" i="959"/>
  <c r="I1016" i="959"/>
  <c r="I1015" i="959"/>
  <c r="I1012" i="959"/>
  <c r="I1011" i="959"/>
  <c r="I1010" i="959"/>
  <c r="I1009" i="959"/>
  <c r="I1008" i="959"/>
  <c r="I1007" i="959"/>
  <c r="I1006" i="959"/>
  <c r="I1005" i="959"/>
  <c r="I1004" i="959"/>
  <c r="I1003" i="959"/>
  <c r="I1002" i="959"/>
  <c r="I1001" i="959"/>
  <c r="I1000" i="959"/>
  <c r="I999" i="959"/>
  <c r="I998" i="959"/>
  <c r="I997" i="959"/>
  <c r="I996" i="959"/>
  <c r="I995" i="959"/>
  <c r="I994" i="959"/>
  <c r="I993" i="959"/>
  <c r="I992" i="959"/>
  <c r="I991" i="959"/>
  <c r="I990" i="959"/>
  <c r="I983" i="959"/>
  <c r="I982" i="959"/>
  <c r="I981" i="959"/>
  <c r="G981" i="959"/>
  <c r="I980" i="959"/>
  <c r="G980" i="959"/>
  <c r="I978" i="959"/>
  <c r="I977" i="959"/>
  <c r="I976" i="959"/>
  <c r="I975" i="959"/>
  <c r="I971" i="959"/>
  <c r="I979" i="959" s="1"/>
  <c r="C971" i="959"/>
  <c r="I970" i="959"/>
  <c r="I968" i="959"/>
  <c r="G935" i="959"/>
  <c r="G933" i="959"/>
  <c r="G932" i="959"/>
  <c r="G931" i="959"/>
  <c r="G930" i="959"/>
  <c r="G929" i="959"/>
  <c r="G928" i="959"/>
  <c r="I926" i="959"/>
  <c r="I925" i="959"/>
  <c r="I924" i="959"/>
  <c r="I923" i="959"/>
  <c r="I917" i="959"/>
  <c r="E917" i="959"/>
  <c r="C917" i="959"/>
  <c r="G917" i="959" s="1"/>
  <c r="G916" i="959"/>
  <c r="G915" i="959"/>
  <c r="G914" i="959"/>
  <c r="G913" i="959"/>
  <c r="G912" i="959"/>
  <c r="G911" i="959"/>
  <c r="G910" i="959"/>
  <c r="G909" i="959"/>
  <c r="G908" i="959"/>
  <c r="I888" i="959"/>
  <c r="I887" i="959"/>
  <c r="I885" i="959"/>
  <c r="I884" i="959"/>
  <c r="I883" i="959"/>
  <c r="I882" i="959"/>
  <c r="G882" i="959"/>
  <c r="I881" i="959"/>
  <c r="I879" i="959"/>
  <c r="I878" i="959"/>
  <c r="I877" i="959"/>
  <c r="I876" i="959"/>
  <c r="I875" i="959"/>
  <c r="I874" i="959"/>
  <c r="I873" i="959"/>
  <c r="I872" i="959"/>
  <c r="I871" i="959"/>
  <c r="I870" i="959"/>
  <c r="I869" i="959"/>
  <c r="I867" i="959"/>
  <c r="I866" i="959"/>
  <c r="I865" i="959"/>
  <c r="I864" i="959"/>
  <c r="I863" i="959"/>
  <c r="C863" i="959"/>
  <c r="I862" i="959"/>
  <c r="I868" i="959" s="1"/>
  <c r="C862" i="959"/>
  <c r="I861" i="959"/>
  <c r="I860" i="959"/>
  <c r="I859" i="959"/>
  <c r="I854" i="959"/>
  <c r="I853" i="959"/>
  <c r="I852" i="959"/>
  <c r="I851" i="959"/>
  <c r="I850" i="959"/>
  <c r="I849" i="959"/>
  <c r="I848" i="959"/>
  <c r="I847" i="959"/>
  <c r="I846" i="959"/>
  <c r="I845" i="959"/>
  <c r="I844" i="959"/>
  <c r="I843" i="959"/>
  <c r="I841" i="959"/>
  <c r="I840" i="959"/>
  <c r="I839" i="959"/>
  <c r="I838" i="959"/>
  <c r="I837" i="959"/>
  <c r="I835" i="959"/>
  <c r="I834" i="959"/>
  <c r="I833" i="959"/>
  <c r="I832" i="959"/>
  <c r="I831" i="959"/>
  <c r="I830" i="959"/>
  <c r="I829" i="959"/>
  <c r="I828" i="959"/>
  <c r="I827" i="959"/>
  <c r="I819" i="959"/>
  <c r="I818" i="959"/>
  <c r="I817" i="959"/>
  <c r="I816" i="959"/>
  <c r="I815" i="959"/>
  <c r="I814" i="959"/>
  <c r="I813" i="959"/>
  <c r="I812" i="959"/>
  <c r="H811" i="959"/>
  <c r="I811" i="959" s="1"/>
  <c r="H810" i="959"/>
  <c r="I810" i="959" s="1"/>
  <c r="I809" i="959"/>
  <c r="I808" i="959"/>
  <c r="I807" i="959"/>
  <c r="N790" i="959"/>
  <c r="N789" i="959"/>
  <c r="N788" i="959"/>
  <c r="L788" i="959"/>
  <c r="N787" i="959"/>
  <c r="L787" i="959"/>
  <c r="N786" i="959"/>
  <c r="L786" i="959"/>
  <c r="N785" i="959"/>
  <c r="L785" i="959"/>
  <c r="I784" i="959"/>
  <c r="G784" i="959"/>
  <c r="I783" i="959"/>
  <c r="N783" i="959" s="1"/>
  <c r="G783" i="959"/>
  <c r="I782" i="959"/>
  <c r="L782" i="959" s="1"/>
  <c r="G782" i="959"/>
  <c r="I781" i="959"/>
  <c r="N781" i="959" s="1"/>
  <c r="G781" i="959"/>
  <c r="I780" i="959"/>
  <c r="L780" i="959" s="1"/>
  <c r="G780" i="959"/>
  <c r="I779" i="959"/>
  <c r="G779" i="959"/>
  <c r="I778" i="959"/>
  <c r="L778" i="959" s="1"/>
  <c r="G778" i="959"/>
  <c r="I777" i="959"/>
  <c r="N777" i="959" s="1"/>
  <c r="G777" i="959"/>
  <c r="I776" i="959"/>
  <c r="N776" i="959" s="1"/>
  <c r="G776" i="959"/>
  <c r="N775" i="959"/>
  <c r="L775" i="959"/>
  <c r="N773" i="959"/>
  <c r="L773" i="959"/>
  <c r="N772" i="959"/>
  <c r="L772" i="959"/>
  <c r="N771" i="959"/>
  <c r="L771" i="959"/>
  <c r="N770" i="959"/>
  <c r="L770" i="959"/>
  <c r="N769" i="959"/>
  <c r="L769" i="959"/>
  <c r="G768" i="959"/>
  <c r="N767" i="959"/>
  <c r="L767" i="959"/>
  <c r="N766" i="959"/>
  <c r="L766" i="959"/>
  <c r="N765" i="959"/>
  <c r="L765" i="959"/>
  <c r="N764" i="959"/>
  <c r="L764" i="959"/>
  <c r="N763" i="959"/>
  <c r="L763" i="959"/>
  <c r="N762" i="959"/>
  <c r="L762" i="959"/>
  <c r="N761" i="959"/>
  <c r="L761" i="959"/>
  <c r="N760" i="959"/>
  <c r="L760" i="959"/>
  <c r="C759" i="959"/>
  <c r="F758" i="959"/>
  <c r="C758" i="959"/>
  <c r="I757" i="959"/>
  <c r="N757" i="959" s="1"/>
  <c r="H757" i="959"/>
  <c r="F757" i="959"/>
  <c r="N756" i="959"/>
  <c r="L756" i="959"/>
  <c r="I755" i="959"/>
  <c r="N755" i="959" s="1"/>
  <c r="H755" i="959"/>
  <c r="F755" i="959"/>
  <c r="G754" i="959"/>
  <c r="G753" i="959"/>
  <c r="G752" i="959"/>
  <c r="G751" i="959"/>
  <c r="G750" i="959"/>
  <c r="G749" i="959"/>
  <c r="G748" i="959"/>
  <c r="N747" i="959"/>
  <c r="L747" i="959"/>
  <c r="G746" i="959"/>
  <c r="N745" i="959"/>
  <c r="L745" i="959"/>
  <c r="C744" i="959"/>
  <c r="F743" i="959"/>
  <c r="C743" i="959"/>
  <c r="I742" i="959"/>
  <c r="H742" i="959"/>
  <c r="F742" i="959"/>
  <c r="N741" i="959"/>
  <c r="L741" i="959"/>
  <c r="I740" i="959"/>
  <c r="L740" i="959" s="1"/>
  <c r="H740" i="959"/>
  <c r="F740" i="959"/>
  <c r="G739" i="959"/>
  <c r="G738" i="959"/>
  <c r="G737" i="959"/>
  <c r="G736" i="959"/>
  <c r="G735" i="959"/>
  <c r="G734" i="959"/>
  <c r="G733" i="959"/>
  <c r="N732" i="959"/>
  <c r="L732" i="959"/>
  <c r="G731" i="959"/>
  <c r="N730" i="959"/>
  <c r="L730" i="959"/>
  <c r="C729" i="959"/>
  <c r="F728" i="959"/>
  <c r="C728" i="959"/>
  <c r="I727" i="959"/>
  <c r="N727" i="959" s="1"/>
  <c r="H727" i="959"/>
  <c r="F727" i="959"/>
  <c r="N726" i="959"/>
  <c r="L726" i="959"/>
  <c r="I725" i="959"/>
  <c r="N725" i="959" s="1"/>
  <c r="H725" i="959"/>
  <c r="F725" i="959"/>
  <c r="G724" i="959"/>
  <c r="G723" i="959"/>
  <c r="G722" i="959"/>
  <c r="G721" i="959"/>
  <c r="G720" i="959"/>
  <c r="G719" i="959"/>
  <c r="G718" i="959"/>
  <c r="N717" i="959"/>
  <c r="L717" i="959"/>
  <c r="G716" i="959"/>
  <c r="N715" i="959"/>
  <c r="L715" i="959"/>
  <c r="C714" i="959"/>
  <c r="F713" i="959"/>
  <c r="C713" i="959"/>
  <c r="I712" i="959"/>
  <c r="H712" i="959"/>
  <c r="F712" i="959"/>
  <c r="N711" i="959"/>
  <c r="L711" i="959"/>
  <c r="I710" i="959"/>
  <c r="L710" i="959" s="1"/>
  <c r="H710" i="959"/>
  <c r="F710" i="959"/>
  <c r="G709" i="959"/>
  <c r="G708" i="959"/>
  <c r="G707" i="959"/>
  <c r="G706" i="959"/>
  <c r="G705" i="959"/>
  <c r="G704" i="959"/>
  <c r="G703" i="959"/>
  <c r="N702" i="959"/>
  <c r="L702" i="959"/>
  <c r="G701" i="959"/>
  <c r="N700" i="959"/>
  <c r="L700" i="959"/>
  <c r="C699" i="959"/>
  <c r="F698" i="959"/>
  <c r="C698" i="959"/>
  <c r="I697" i="959"/>
  <c r="H697" i="959"/>
  <c r="F697" i="959"/>
  <c r="I696" i="959"/>
  <c r="N696" i="959" s="1"/>
  <c r="H696" i="959"/>
  <c r="F696" i="959"/>
  <c r="I695" i="959"/>
  <c r="H695" i="959"/>
  <c r="F695" i="959"/>
  <c r="G694" i="959"/>
  <c r="G693" i="959"/>
  <c r="N692" i="959"/>
  <c r="L692" i="959"/>
  <c r="G691" i="959"/>
  <c r="N690" i="959"/>
  <c r="L690" i="959"/>
  <c r="N689" i="959"/>
  <c r="L689" i="959"/>
  <c r="N688" i="959"/>
  <c r="L688" i="959"/>
  <c r="N687" i="959"/>
  <c r="L687" i="959"/>
  <c r="N686" i="959"/>
  <c r="L686" i="959"/>
  <c r="N685" i="959"/>
  <c r="L685" i="959"/>
  <c r="C684" i="959"/>
  <c r="F683" i="959"/>
  <c r="C683" i="959"/>
  <c r="I682" i="959"/>
  <c r="N682" i="959" s="1"/>
  <c r="H682" i="959"/>
  <c r="F682" i="959"/>
  <c r="I681" i="959"/>
  <c r="N681" i="959" s="1"/>
  <c r="H681" i="959"/>
  <c r="F681" i="959"/>
  <c r="I680" i="959"/>
  <c r="H680" i="959"/>
  <c r="F680" i="959"/>
  <c r="G679" i="959"/>
  <c r="G678" i="959"/>
  <c r="N677" i="959"/>
  <c r="L677" i="959"/>
  <c r="G676" i="959"/>
  <c r="N675" i="959"/>
  <c r="L675" i="959"/>
  <c r="N674" i="959"/>
  <c r="L674" i="959"/>
  <c r="N673" i="959"/>
  <c r="L673" i="959"/>
  <c r="N672" i="959"/>
  <c r="L672" i="959"/>
  <c r="N671" i="959"/>
  <c r="L671" i="959"/>
  <c r="N670" i="959"/>
  <c r="L670" i="959"/>
  <c r="C669" i="959"/>
  <c r="F668" i="959"/>
  <c r="C668" i="959"/>
  <c r="I667" i="959"/>
  <c r="H667" i="959"/>
  <c r="F667" i="959"/>
  <c r="I666" i="959"/>
  <c r="N666" i="959" s="1"/>
  <c r="H666" i="959"/>
  <c r="F666" i="959"/>
  <c r="I665" i="959"/>
  <c r="N665" i="959" s="1"/>
  <c r="H665" i="959"/>
  <c r="F665" i="959"/>
  <c r="G664" i="959"/>
  <c r="G663" i="959"/>
  <c r="N662" i="959"/>
  <c r="L662" i="959"/>
  <c r="G661" i="959"/>
  <c r="N660" i="959"/>
  <c r="L660" i="959"/>
  <c r="N659" i="959"/>
  <c r="L659" i="959"/>
  <c r="N658" i="959"/>
  <c r="L658" i="959"/>
  <c r="N657" i="959"/>
  <c r="L657" i="959"/>
  <c r="N656" i="959"/>
  <c r="L656" i="959"/>
  <c r="N655" i="959"/>
  <c r="L655" i="959"/>
  <c r="C654" i="959"/>
  <c r="F653" i="959"/>
  <c r="C653" i="959"/>
  <c r="I652" i="959"/>
  <c r="N652" i="959" s="1"/>
  <c r="H652" i="959"/>
  <c r="F652" i="959"/>
  <c r="I651" i="959"/>
  <c r="N651" i="959" s="1"/>
  <c r="H651" i="959"/>
  <c r="F651" i="959"/>
  <c r="I650" i="959"/>
  <c r="N650" i="959" s="1"/>
  <c r="H650" i="959"/>
  <c r="F650" i="959"/>
  <c r="G649" i="959"/>
  <c r="G648" i="959"/>
  <c r="N647" i="959"/>
  <c r="L647" i="959"/>
  <c r="G646" i="959"/>
  <c r="N645" i="959"/>
  <c r="L645" i="959"/>
  <c r="N644" i="959"/>
  <c r="L644" i="959"/>
  <c r="N643" i="959"/>
  <c r="L643" i="959"/>
  <c r="N642" i="959"/>
  <c r="L642" i="959"/>
  <c r="N641" i="959"/>
  <c r="L641" i="959"/>
  <c r="N640" i="959"/>
  <c r="L640" i="959"/>
  <c r="C639" i="959"/>
  <c r="F638" i="959"/>
  <c r="C638" i="959"/>
  <c r="I637" i="959"/>
  <c r="N637" i="959" s="1"/>
  <c r="H637" i="959"/>
  <c r="F637" i="959"/>
  <c r="I636" i="959"/>
  <c r="H636" i="959"/>
  <c r="F636" i="959"/>
  <c r="I635" i="959"/>
  <c r="N635" i="959" s="1"/>
  <c r="H635" i="959"/>
  <c r="F635" i="959"/>
  <c r="G634" i="959"/>
  <c r="G633" i="959"/>
  <c r="N632" i="959"/>
  <c r="L632" i="959"/>
  <c r="G631" i="959"/>
  <c r="N630" i="959"/>
  <c r="L630" i="959"/>
  <c r="N629" i="959"/>
  <c r="L629" i="959"/>
  <c r="N628" i="959"/>
  <c r="L628" i="959"/>
  <c r="N627" i="959"/>
  <c r="L627" i="959"/>
  <c r="N626" i="959"/>
  <c r="L626" i="959"/>
  <c r="N625" i="959"/>
  <c r="L625" i="959"/>
  <c r="C624" i="959"/>
  <c r="F623" i="959"/>
  <c r="C623" i="959"/>
  <c r="I622" i="959"/>
  <c r="H622" i="959"/>
  <c r="F622" i="959"/>
  <c r="I621" i="959"/>
  <c r="N621" i="959" s="1"/>
  <c r="H621" i="959"/>
  <c r="F621" i="959"/>
  <c r="I620" i="959"/>
  <c r="L620" i="959" s="1"/>
  <c r="H620" i="959"/>
  <c r="F620" i="959"/>
  <c r="G619" i="959"/>
  <c r="G618" i="959"/>
  <c r="N617" i="959"/>
  <c r="L617" i="959"/>
  <c r="G616" i="959"/>
  <c r="G615" i="959"/>
  <c r="G614" i="959"/>
  <c r="G613" i="959"/>
  <c r="I612" i="959"/>
  <c r="N612" i="959" s="1"/>
  <c r="G612" i="959"/>
  <c r="N611" i="959"/>
  <c r="L611" i="959"/>
  <c r="N610" i="959"/>
  <c r="L610" i="959"/>
  <c r="C609" i="959"/>
  <c r="F608" i="959"/>
  <c r="C608" i="959"/>
  <c r="I607" i="959"/>
  <c r="L607" i="959" s="1"/>
  <c r="H607" i="959"/>
  <c r="F607" i="959"/>
  <c r="I606" i="959"/>
  <c r="N606" i="959" s="1"/>
  <c r="H606" i="959"/>
  <c r="F606" i="959"/>
  <c r="I605" i="959"/>
  <c r="L605" i="959" s="1"/>
  <c r="H605" i="959"/>
  <c r="F605" i="959"/>
  <c r="G604" i="959"/>
  <c r="G603" i="959"/>
  <c r="N602" i="959"/>
  <c r="L602" i="959"/>
  <c r="G601" i="959"/>
  <c r="G600" i="959"/>
  <c r="G599" i="959"/>
  <c r="G598" i="959"/>
  <c r="I597" i="959"/>
  <c r="L597" i="959" s="1"/>
  <c r="G597" i="959"/>
  <c r="N596" i="959"/>
  <c r="L596" i="959"/>
  <c r="N595" i="959"/>
  <c r="L595" i="959"/>
  <c r="C594" i="959"/>
  <c r="F593" i="959"/>
  <c r="C593" i="959"/>
  <c r="I592" i="959"/>
  <c r="N592" i="959" s="1"/>
  <c r="H592" i="959"/>
  <c r="F592" i="959"/>
  <c r="I591" i="959"/>
  <c r="L591" i="959" s="1"/>
  <c r="H591" i="959"/>
  <c r="F591" i="959"/>
  <c r="I590" i="959"/>
  <c r="L590" i="959" s="1"/>
  <c r="H590" i="959"/>
  <c r="F590" i="959"/>
  <c r="G589" i="959"/>
  <c r="G588" i="959"/>
  <c r="N587" i="959"/>
  <c r="L587" i="959"/>
  <c r="G586" i="959"/>
  <c r="G585" i="959"/>
  <c r="G584" i="959"/>
  <c r="G583" i="959"/>
  <c r="I582" i="959"/>
  <c r="N582" i="959" s="1"/>
  <c r="G582" i="959"/>
  <c r="N581" i="959"/>
  <c r="L581" i="959"/>
  <c r="N580" i="959"/>
  <c r="L580" i="959"/>
  <c r="C579" i="959"/>
  <c r="F578" i="959"/>
  <c r="C578" i="959"/>
  <c r="I577" i="959"/>
  <c r="N577" i="959" s="1"/>
  <c r="H577" i="959"/>
  <c r="F577" i="959"/>
  <c r="I576" i="959"/>
  <c r="L576" i="959" s="1"/>
  <c r="H576" i="959"/>
  <c r="F576" i="959"/>
  <c r="I575" i="959"/>
  <c r="N575" i="959" s="1"/>
  <c r="H575" i="959"/>
  <c r="F575" i="959"/>
  <c r="G574" i="959"/>
  <c r="G573" i="959"/>
  <c r="N572" i="959"/>
  <c r="L572" i="959"/>
  <c r="G571" i="959"/>
  <c r="G570" i="959"/>
  <c r="G569" i="959"/>
  <c r="G568" i="959"/>
  <c r="I567" i="959"/>
  <c r="N567" i="959" s="1"/>
  <c r="G567" i="959"/>
  <c r="N566" i="959"/>
  <c r="L566" i="959"/>
  <c r="N565" i="959"/>
  <c r="L565" i="959"/>
  <c r="C564" i="959"/>
  <c r="F563" i="959"/>
  <c r="C563" i="959"/>
  <c r="I562" i="959"/>
  <c r="L562" i="959" s="1"/>
  <c r="H562" i="959"/>
  <c r="F562" i="959"/>
  <c r="I561" i="959"/>
  <c r="N561" i="959" s="1"/>
  <c r="H561" i="959"/>
  <c r="F561" i="959"/>
  <c r="I560" i="959"/>
  <c r="N560" i="959" s="1"/>
  <c r="H560" i="959"/>
  <c r="F560" i="959"/>
  <c r="G559" i="959"/>
  <c r="G558" i="959"/>
  <c r="N557" i="959"/>
  <c r="L557" i="959"/>
  <c r="G556" i="959"/>
  <c r="G555" i="959"/>
  <c r="G554" i="959"/>
  <c r="G553" i="959"/>
  <c r="I552" i="959"/>
  <c r="N552" i="959" s="1"/>
  <c r="G552" i="959"/>
  <c r="N551" i="959"/>
  <c r="L551" i="959"/>
  <c r="N550" i="959"/>
  <c r="L550" i="959"/>
  <c r="C549" i="959"/>
  <c r="N548" i="959"/>
  <c r="L548" i="959"/>
  <c r="N547" i="959"/>
  <c r="L547" i="959"/>
  <c r="N546" i="959"/>
  <c r="L546" i="959"/>
  <c r="N545" i="959"/>
  <c r="L545" i="959"/>
  <c r="I544" i="959"/>
  <c r="N544" i="959" s="1"/>
  <c r="G544" i="959"/>
  <c r="F543" i="959"/>
  <c r="I543" i="959" s="1"/>
  <c r="N543" i="959" s="1"/>
  <c r="I542" i="959"/>
  <c r="G542" i="959"/>
  <c r="I541" i="959"/>
  <c r="N541" i="959" s="1"/>
  <c r="G541" i="959"/>
  <c r="I540" i="959"/>
  <c r="N540" i="959" s="1"/>
  <c r="G540" i="959"/>
  <c r="I539" i="959"/>
  <c r="L539" i="959" s="1"/>
  <c r="G539" i="959"/>
  <c r="I538" i="959"/>
  <c r="G538" i="959"/>
  <c r="I537" i="959"/>
  <c r="N537" i="959" s="1"/>
  <c r="G537" i="959"/>
  <c r="C537" i="959"/>
  <c r="I536" i="959"/>
  <c r="G536" i="959"/>
  <c r="C536" i="959"/>
  <c r="I535" i="959"/>
  <c r="N535" i="959" s="1"/>
  <c r="G535" i="959"/>
  <c r="N533" i="959"/>
  <c r="L533" i="959"/>
  <c r="N532" i="959"/>
  <c r="L532" i="959"/>
  <c r="N531" i="959"/>
  <c r="L531" i="959"/>
  <c r="N530" i="959"/>
  <c r="L530" i="959"/>
  <c r="G529" i="959"/>
  <c r="F528" i="959"/>
  <c r="I528" i="959" s="1"/>
  <c r="N528" i="959" s="1"/>
  <c r="N527" i="959"/>
  <c r="L527" i="959"/>
  <c r="N526" i="959"/>
  <c r="L526" i="959"/>
  <c r="G525" i="959"/>
  <c r="G524" i="959"/>
  <c r="G523" i="959"/>
  <c r="N522" i="959"/>
  <c r="L522" i="959"/>
  <c r="N521" i="959"/>
  <c r="L521" i="959"/>
  <c r="G520" i="959"/>
  <c r="C519" i="959"/>
  <c r="F518" i="959"/>
  <c r="C518" i="959"/>
  <c r="H517" i="959"/>
  <c r="N516" i="959"/>
  <c r="L516" i="959"/>
  <c r="H516" i="959"/>
  <c r="H515" i="959"/>
  <c r="G514" i="959"/>
  <c r="N513" i="959"/>
  <c r="L513" i="959"/>
  <c r="G512" i="959"/>
  <c r="G511" i="959"/>
  <c r="G510" i="959"/>
  <c r="G509" i="959"/>
  <c r="G508" i="959"/>
  <c r="G507" i="959"/>
  <c r="C507" i="959"/>
  <c r="G506" i="959"/>
  <c r="C506" i="959"/>
  <c r="N505" i="959"/>
  <c r="L505" i="959"/>
  <c r="C504" i="959"/>
  <c r="F503" i="959"/>
  <c r="C503" i="959"/>
  <c r="H502" i="959"/>
  <c r="N501" i="959"/>
  <c r="L501" i="959"/>
  <c r="H501" i="959"/>
  <c r="H500" i="959"/>
  <c r="G499" i="959"/>
  <c r="N498" i="959"/>
  <c r="L498" i="959"/>
  <c r="G497" i="959"/>
  <c r="G496" i="959"/>
  <c r="G495" i="959"/>
  <c r="G494" i="959"/>
  <c r="G493" i="959"/>
  <c r="G492" i="959"/>
  <c r="C492" i="959"/>
  <c r="G491" i="959"/>
  <c r="C491" i="959"/>
  <c r="N490" i="959"/>
  <c r="L490" i="959"/>
  <c r="C489" i="959"/>
  <c r="F488" i="959"/>
  <c r="C488" i="959"/>
  <c r="H487" i="959"/>
  <c r="N486" i="959"/>
  <c r="L486" i="959"/>
  <c r="H486" i="959"/>
  <c r="H485" i="959"/>
  <c r="G484" i="959"/>
  <c r="N483" i="959"/>
  <c r="L483" i="959"/>
  <c r="G482" i="959"/>
  <c r="G481" i="959"/>
  <c r="G480" i="959"/>
  <c r="G479" i="959"/>
  <c r="G478" i="959"/>
  <c r="G477" i="959"/>
  <c r="C477" i="959"/>
  <c r="G476" i="959"/>
  <c r="C476" i="959"/>
  <c r="N475" i="959"/>
  <c r="L475" i="959"/>
  <c r="C474" i="959"/>
  <c r="F473" i="959"/>
  <c r="C473" i="959"/>
  <c r="H472" i="959"/>
  <c r="N471" i="959"/>
  <c r="L471" i="959"/>
  <c r="H471" i="959"/>
  <c r="H470" i="959"/>
  <c r="G469" i="959"/>
  <c r="N468" i="959"/>
  <c r="L468" i="959"/>
  <c r="G467" i="959"/>
  <c r="G466" i="959"/>
  <c r="G465" i="959"/>
  <c r="G464" i="959"/>
  <c r="G463" i="959"/>
  <c r="G462" i="959"/>
  <c r="C462" i="959"/>
  <c r="G461" i="959"/>
  <c r="C461" i="959"/>
  <c r="N460" i="959"/>
  <c r="L460" i="959"/>
  <c r="C459" i="959"/>
  <c r="F458" i="959"/>
  <c r="C458" i="959"/>
  <c r="H457" i="959"/>
  <c r="N456" i="959"/>
  <c r="L456" i="959"/>
  <c r="H456" i="959"/>
  <c r="H455" i="959"/>
  <c r="G454" i="959"/>
  <c r="N453" i="959"/>
  <c r="L453" i="959"/>
  <c r="N452" i="959"/>
  <c r="L452" i="959"/>
  <c r="G451" i="959"/>
  <c r="G450" i="959"/>
  <c r="G449" i="959"/>
  <c r="G448" i="959"/>
  <c r="G447" i="959"/>
  <c r="C447" i="959"/>
  <c r="N446" i="959"/>
  <c r="L446" i="959"/>
  <c r="G445" i="959"/>
  <c r="C444" i="959"/>
  <c r="F443" i="959"/>
  <c r="C443" i="959"/>
  <c r="H442" i="959"/>
  <c r="N441" i="959"/>
  <c r="L441" i="959"/>
  <c r="H441" i="959"/>
  <c r="H440" i="959"/>
  <c r="G439" i="959"/>
  <c r="N438" i="959"/>
  <c r="L438" i="959"/>
  <c r="N437" i="959"/>
  <c r="L437" i="959"/>
  <c r="G436" i="959"/>
  <c r="G435" i="959"/>
  <c r="G434" i="959"/>
  <c r="G433" i="959"/>
  <c r="G432" i="959"/>
  <c r="C432" i="959"/>
  <c r="AQ431" i="959"/>
  <c r="AP431" i="959"/>
  <c r="N431" i="959"/>
  <c r="L431" i="959"/>
  <c r="AQ430" i="959"/>
  <c r="AP430" i="959"/>
  <c r="G430" i="959"/>
  <c r="AQ429" i="959"/>
  <c r="AP429" i="959"/>
  <c r="C429" i="959"/>
  <c r="AQ428" i="959"/>
  <c r="AP428" i="959"/>
  <c r="F428" i="959"/>
  <c r="C428" i="959"/>
  <c r="AQ427" i="959"/>
  <c r="AP427" i="959"/>
  <c r="H427" i="959"/>
  <c r="AQ426" i="959"/>
  <c r="AP426" i="959"/>
  <c r="N426" i="959"/>
  <c r="L426" i="959"/>
  <c r="H426" i="959"/>
  <c r="AQ425" i="959"/>
  <c r="AP425" i="959"/>
  <c r="H425" i="959"/>
  <c r="AQ424" i="959"/>
  <c r="AP424" i="959"/>
  <c r="G424" i="959"/>
  <c r="AQ423" i="959"/>
  <c r="AP423" i="959"/>
  <c r="N423" i="959"/>
  <c r="L423" i="959"/>
  <c r="AQ422" i="959"/>
  <c r="AP422" i="959"/>
  <c r="N422" i="959"/>
  <c r="L422" i="959"/>
  <c r="AQ421" i="959"/>
  <c r="AP421" i="959"/>
  <c r="G421" i="959"/>
  <c r="AQ420" i="959"/>
  <c r="AP420" i="959"/>
  <c r="G420" i="959"/>
  <c r="AQ419" i="959"/>
  <c r="AP419" i="959"/>
  <c r="G419" i="959"/>
  <c r="AQ418" i="959"/>
  <c r="AP418" i="959"/>
  <c r="G418" i="959"/>
  <c r="AQ417" i="959"/>
  <c r="AP417" i="959"/>
  <c r="G417" i="959"/>
  <c r="C417" i="959"/>
  <c r="AQ416" i="959"/>
  <c r="AP416" i="959"/>
  <c r="N416" i="959"/>
  <c r="L416" i="959"/>
  <c r="AQ415" i="959"/>
  <c r="AP415" i="959"/>
  <c r="G415" i="959"/>
  <c r="AQ414" i="959"/>
  <c r="AP414" i="959"/>
  <c r="C414" i="959"/>
  <c r="AQ413" i="959"/>
  <c r="AP413" i="959"/>
  <c r="F413" i="959"/>
  <c r="C413" i="959"/>
  <c r="AQ412" i="959"/>
  <c r="AP412" i="959"/>
  <c r="H412" i="959"/>
  <c r="AQ411" i="959"/>
  <c r="AP411" i="959"/>
  <c r="N411" i="959"/>
  <c r="L411" i="959"/>
  <c r="H411" i="959"/>
  <c r="AQ410" i="959"/>
  <c r="AP410" i="959"/>
  <c r="H410" i="959"/>
  <c r="AQ409" i="959"/>
  <c r="AP409" i="959"/>
  <c r="G409" i="959"/>
  <c r="AQ408" i="959"/>
  <c r="AP408" i="959"/>
  <c r="N408" i="959"/>
  <c r="L408" i="959"/>
  <c r="AQ407" i="959"/>
  <c r="AP407" i="959"/>
  <c r="N407" i="959"/>
  <c r="L407" i="959"/>
  <c r="AQ406" i="959"/>
  <c r="AP406" i="959"/>
  <c r="G406" i="959"/>
  <c r="AQ405" i="959"/>
  <c r="AP405" i="959"/>
  <c r="G405" i="959"/>
  <c r="AQ404" i="959"/>
  <c r="AP404" i="959"/>
  <c r="G404" i="959"/>
  <c r="AQ403" i="959"/>
  <c r="AP403" i="959"/>
  <c r="G403" i="959"/>
  <c r="AQ402" i="959"/>
  <c r="AP402" i="959"/>
  <c r="G402" i="959"/>
  <c r="C402" i="959"/>
  <c r="AQ401" i="959"/>
  <c r="AP401" i="959"/>
  <c r="N401" i="959"/>
  <c r="L401" i="959"/>
  <c r="AQ400" i="959"/>
  <c r="AP400" i="959"/>
  <c r="G400" i="959"/>
  <c r="AQ399" i="959"/>
  <c r="AP399" i="959"/>
  <c r="C399" i="959"/>
  <c r="AQ398" i="959"/>
  <c r="AP398" i="959"/>
  <c r="F398" i="959"/>
  <c r="C398" i="959"/>
  <c r="AQ397" i="959"/>
  <c r="AP397" i="959"/>
  <c r="H397" i="959"/>
  <c r="AQ396" i="959"/>
  <c r="AP396" i="959"/>
  <c r="N396" i="959"/>
  <c r="L396" i="959"/>
  <c r="H396" i="959"/>
  <c r="AQ395" i="959"/>
  <c r="AP395" i="959"/>
  <c r="H395" i="959"/>
  <c r="AQ394" i="959"/>
  <c r="AP394" i="959"/>
  <c r="G394" i="959"/>
  <c r="AQ393" i="959"/>
  <c r="AP393" i="959"/>
  <c r="N393" i="959"/>
  <c r="L393" i="959"/>
  <c r="AQ392" i="959"/>
  <c r="AP392" i="959"/>
  <c r="N392" i="959"/>
  <c r="L392" i="959"/>
  <c r="AQ391" i="959"/>
  <c r="AP391" i="959"/>
  <c r="G391" i="959"/>
  <c r="AQ390" i="959"/>
  <c r="AP390" i="959"/>
  <c r="G390" i="959"/>
  <c r="AQ389" i="959"/>
  <c r="AP389" i="959"/>
  <c r="G389" i="959"/>
  <c r="AQ388" i="959"/>
  <c r="AP388" i="959"/>
  <c r="G388" i="959"/>
  <c r="AQ387" i="959"/>
  <c r="AP387" i="959"/>
  <c r="G387" i="959"/>
  <c r="C387" i="959"/>
  <c r="N386" i="959"/>
  <c r="L386" i="959"/>
  <c r="G385" i="959"/>
  <c r="C384" i="959"/>
  <c r="F383" i="959"/>
  <c r="C383" i="959"/>
  <c r="H382" i="959"/>
  <c r="H381" i="959"/>
  <c r="H380" i="959"/>
  <c r="G379" i="959"/>
  <c r="N378" i="959"/>
  <c r="L378" i="959"/>
  <c r="N377" i="959"/>
  <c r="L377" i="959"/>
  <c r="G376" i="959"/>
  <c r="G375" i="959"/>
  <c r="G374" i="959"/>
  <c r="G373" i="959"/>
  <c r="G372" i="959"/>
  <c r="C372" i="959"/>
  <c r="N371" i="959"/>
  <c r="L371" i="959"/>
  <c r="G370" i="959"/>
  <c r="C369" i="959"/>
  <c r="F368" i="959"/>
  <c r="C368" i="959"/>
  <c r="H367" i="959"/>
  <c r="H366" i="959"/>
  <c r="H365" i="959"/>
  <c r="G364" i="959"/>
  <c r="N363" i="959"/>
  <c r="L363" i="959"/>
  <c r="N362" i="959"/>
  <c r="L362" i="959"/>
  <c r="G361" i="959"/>
  <c r="G360" i="959"/>
  <c r="G359" i="959"/>
  <c r="G358" i="959"/>
  <c r="G357" i="959"/>
  <c r="C357" i="959"/>
  <c r="N356" i="959"/>
  <c r="L356" i="959"/>
  <c r="G355" i="959"/>
  <c r="C354" i="959"/>
  <c r="F353" i="959"/>
  <c r="C353" i="959"/>
  <c r="H352" i="959"/>
  <c r="H351" i="959"/>
  <c r="H350" i="959"/>
  <c r="G349" i="959"/>
  <c r="N348" i="959"/>
  <c r="L348" i="959"/>
  <c r="N347" i="959"/>
  <c r="L347" i="959"/>
  <c r="G346" i="959"/>
  <c r="G345" i="959"/>
  <c r="G344" i="959"/>
  <c r="G343" i="959"/>
  <c r="G342" i="959"/>
  <c r="C342" i="959"/>
  <c r="N341" i="959"/>
  <c r="L341" i="959"/>
  <c r="G340" i="959"/>
  <c r="C339" i="959"/>
  <c r="F338" i="959"/>
  <c r="C338" i="959"/>
  <c r="H337" i="959"/>
  <c r="H336" i="959"/>
  <c r="H335" i="959"/>
  <c r="G334" i="959"/>
  <c r="N333" i="959"/>
  <c r="L333" i="959"/>
  <c r="N332" i="959"/>
  <c r="L332" i="959"/>
  <c r="G331" i="959"/>
  <c r="G330" i="959"/>
  <c r="G329" i="959"/>
  <c r="G328" i="959"/>
  <c r="G327" i="959"/>
  <c r="C327" i="959"/>
  <c r="N326" i="959"/>
  <c r="L326" i="959"/>
  <c r="G325" i="959"/>
  <c r="C324" i="959"/>
  <c r="F323" i="959"/>
  <c r="C323" i="959"/>
  <c r="H322" i="959"/>
  <c r="H321" i="959"/>
  <c r="H320" i="959"/>
  <c r="G319" i="959"/>
  <c r="N318" i="959"/>
  <c r="L318" i="959"/>
  <c r="N317" i="959"/>
  <c r="L317" i="959"/>
  <c r="G316" i="959"/>
  <c r="G315" i="959"/>
  <c r="G314" i="959"/>
  <c r="G313" i="959"/>
  <c r="G312" i="959"/>
  <c r="C312" i="959"/>
  <c r="N311" i="959"/>
  <c r="L311" i="959"/>
  <c r="G310" i="959"/>
  <c r="C309" i="959"/>
  <c r="N308" i="959"/>
  <c r="N307" i="959"/>
  <c r="N306" i="959"/>
  <c r="N305" i="959"/>
  <c r="N304" i="959"/>
  <c r="N303" i="959"/>
  <c r="N302" i="959"/>
  <c r="N301" i="959"/>
  <c r="N300" i="959"/>
  <c r="N299" i="959"/>
  <c r="E295" i="959"/>
  <c r="D295" i="959"/>
  <c r="C295" i="959"/>
  <c r="E294" i="959"/>
  <c r="D294" i="959"/>
  <c r="C294" i="959"/>
  <c r="E293" i="959"/>
  <c r="D293" i="959"/>
  <c r="C293" i="959"/>
  <c r="E292" i="959"/>
  <c r="D292" i="959"/>
  <c r="C292" i="959"/>
  <c r="E291" i="959"/>
  <c r="D291" i="959"/>
  <c r="C291" i="959"/>
  <c r="E290" i="959"/>
  <c r="D290" i="959"/>
  <c r="C290" i="959"/>
  <c r="E289" i="959"/>
  <c r="D289" i="959"/>
  <c r="C289" i="959"/>
  <c r="E288" i="959"/>
  <c r="D288" i="959"/>
  <c r="C288" i="959"/>
  <c r="E287" i="959"/>
  <c r="D287" i="959"/>
  <c r="C287" i="959"/>
  <c r="E286" i="959"/>
  <c r="D286" i="959"/>
  <c r="C286" i="959"/>
  <c r="AC285" i="959"/>
  <c r="AA285" i="959"/>
  <c r="Y285" i="959"/>
  <c r="E285" i="959"/>
  <c r="D285" i="959"/>
  <c r="C285" i="959"/>
  <c r="AC284" i="959"/>
  <c r="AA284" i="959"/>
  <c r="Y284" i="959"/>
  <c r="E284" i="959"/>
  <c r="D284" i="959"/>
  <c r="C284" i="959"/>
  <c r="AC283" i="959"/>
  <c r="AA283" i="959"/>
  <c r="Y283" i="959"/>
  <c r="E283" i="959"/>
  <c r="D283" i="959"/>
  <c r="C283" i="959"/>
  <c r="AC282" i="959"/>
  <c r="AA282" i="959"/>
  <c r="Y282" i="959"/>
  <c r="E282" i="959"/>
  <c r="D282" i="959"/>
  <c r="C282" i="959"/>
  <c r="AC281" i="959"/>
  <c r="AA281" i="959"/>
  <c r="Y281" i="959"/>
  <c r="E281" i="959"/>
  <c r="D281" i="959"/>
  <c r="C281" i="959"/>
  <c r="AC280" i="959"/>
  <c r="AA280" i="959"/>
  <c r="Y280" i="959"/>
  <c r="E280" i="959"/>
  <c r="D280" i="959"/>
  <c r="C280" i="959"/>
  <c r="AC279" i="959"/>
  <c r="AA279" i="959"/>
  <c r="Y279" i="959"/>
  <c r="E279" i="959"/>
  <c r="D279" i="959"/>
  <c r="C279" i="959"/>
  <c r="AC278" i="959"/>
  <c r="AA278" i="959"/>
  <c r="Y278" i="959"/>
  <c r="E278" i="959"/>
  <c r="D278" i="959"/>
  <c r="C278" i="959"/>
  <c r="AC277" i="959"/>
  <c r="AA277" i="959"/>
  <c r="Y277" i="959"/>
  <c r="E277" i="959"/>
  <c r="D277" i="959"/>
  <c r="C277" i="959"/>
  <c r="AC276" i="959"/>
  <c r="AA276" i="959"/>
  <c r="Y276" i="959"/>
  <c r="E276" i="959"/>
  <c r="D276" i="959"/>
  <c r="C276" i="959"/>
  <c r="AC275" i="959"/>
  <c r="AA275" i="959"/>
  <c r="Y275" i="959"/>
  <c r="E275" i="959"/>
  <c r="D275" i="959"/>
  <c r="C275" i="959"/>
  <c r="AC274" i="959"/>
  <c r="AA274" i="959"/>
  <c r="Y274" i="959"/>
  <c r="E274" i="959"/>
  <c r="D274" i="959"/>
  <c r="C274" i="959"/>
  <c r="AC273" i="959"/>
  <c r="AA273" i="959"/>
  <c r="Y273" i="959"/>
  <c r="E273" i="959"/>
  <c r="D273" i="959"/>
  <c r="C273" i="959"/>
  <c r="AC272" i="959"/>
  <c r="AA272" i="959"/>
  <c r="Y272" i="959"/>
  <c r="E272" i="959"/>
  <c r="D272" i="959"/>
  <c r="C272" i="959"/>
  <c r="AC271" i="959"/>
  <c r="AA271" i="959"/>
  <c r="Y271" i="959"/>
  <c r="E271" i="959"/>
  <c r="D271" i="959"/>
  <c r="C271" i="959"/>
  <c r="AC270" i="959"/>
  <c r="AA270" i="959"/>
  <c r="Y270" i="959"/>
  <c r="E270" i="959"/>
  <c r="D270" i="959"/>
  <c r="C270" i="959"/>
  <c r="AC269" i="959"/>
  <c r="AA269" i="959"/>
  <c r="Y269" i="959"/>
  <c r="E269" i="959"/>
  <c r="D269" i="959"/>
  <c r="C269" i="959"/>
  <c r="AC268" i="959"/>
  <c r="AA268" i="959"/>
  <c r="Y268" i="959"/>
  <c r="E268" i="959"/>
  <c r="D268" i="959"/>
  <c r="C268" i="959"/>
  <c r="AC267" i="959"/>
  <c r="AA267" i="959"/>
  <c r="Y267" i="959"/>
  <c r="E267" i="959"/>
  <c r="D267" i="959"/>
  <c r="C267" i="959"/>
  <c r="AC266" i="959"/>
  <c r="AA266" i="959"/>
  <c r="Y266" i="959"/>
  <c r="E266" i="959"/>
  <c r="D266" i="959"/>
  <c r="C266" i="959"/>
  <c r="AC265" i="959"/>
  <c r="AA265" i="959"/>
  <c r="Y265" i="959"/>
  <c r="E265" i="959"/>
  <c r="D265" i="959"/>
  <c r="C265" i="959"/>
  <c r="AC264" i="959"/>
  <c r="AA264" i="959"/>
  <c r="Y264" i="959"/>
  <c r="E264" i="959"/>
  <c r="D264" i="959"/>
  <c r="C264" i="959"/>
  <c r="AC263" i="959"/>
  <c r="AA263" i="959"/>
  <c r="Y263" i="959"/>
  <c r="E263" i="959"/>
  <c r="D263" i="959"/>
  <c r="C263" i="959"/>
  <c r="AC262" i="959"/>
  <c r="AA262" i="959"/>
  <c r="Y262" i="959"/>
  <c r="E262" i="959"/>
  <c r="D262" i="959"/>
  <c r="C262" i="959"/>
  <c r="AC261" i="959"/>
  <c r="AA261" i="959"/>
  <c r="Y261" i="959"/>
  <c r="E261" i="959"/>
  <c r="D261" i="959"/>
  <c r="C261" i="959"/>
  <c r="AC260" i="959"/>
  <c r="AA260" i="959"/>
  <c r="Y260" i="959"/>
  <c r="E260" i="959"/>
  <c r="D260" i="959"/>
  <c r="C260" i="959"/>
  <c r="AC259" i="959"/>
  <c r="AA259" i="959"/>
  <c r="Y259" i="959"/>
  <c r="E259" i="959"/>
  <c r="D259" i="959"/>
  <c r="C259" i="959"/>
  <c r="AC258" i="959"/>
  <c r="AA258" i="959"/>
  <c r="Y258" i="959"/>
  <c r="E258" i="959"/>
  <c r="D258" i="959"/>
  <c r="C258" i="959"/>
  <c r="AC257" i="959"/>
  <c r="AA257" i="959"/>
  <c r="Y257" i="959"/>
  <c r="E257" i="959"/>
  <c r="D257" i="959"/>
  <c r="C257" i="959"/>
  <c r="AC256" i="959"/>
  <c r="AA256" i="959"/>
  <c r="Y256" i="959"/>
  <c r="E256" i="959"/>
  <c r="D256" i="959"/>
  <c r="C256" i="959"/>
  <c r="AC255" i="959"/>
  <c r="AA255" i="959"/>
  <c r="Y255" i="959"/>
  <c r="E255" i="959"/>
  <c r="D255" i="959"/>
  <c r="C255" i="959"/>
  <c r="AC254" i="959"/>
  <c r="AA254" i="959"/>
  <c r="Y254" i="959"/>
  <c r="E254" i="959"/>
  <c r="D254" i="959"/>
  <c r="C254" i="959"/>
  <c r="AC253" i="959"/>
  <c r="AA253" i="959"/>
  <c r="Y253" i="959"/>
  <c r="E253" i="959"/>
  <c r="D253" i="959"/>
  <c r="C253" i="959"/>
  <c r="AC252" i="959"/>
  <c r="AA252" i="959"/>
  <c r="Y252" i="959"/>
  <c r="E252" i="959"/>
  <c r="D252" i="959"/>
  <c r="C252" i="959"/>
  <c r="AC251" i="959"/>
  <c r="AA251" i="959"/>
  <c r="Y251" i="959"/>
  <c r="E251" i="959"/>
  <c r="D251" i="959"/>
  <c r="C251" i="959"/>
  <c r="AC250" i="959"/>
  <c r="AA250" i="959"/>
  <c r="Y250" i="959"/>
  <c r="E250" i="959"/>
  <c r="D250" i="959"/>
  <c r="C250" i="959"/>
  <c r="AC249" i="959"/>
  <c r="AA249" i="959"/>
  <c r="Y249" i="959"/>
  <c r="E249" i="959"/>
  <c r="D249" i="959"/>
  <c r="C249" i="959"/>
  <c r="AC248" i="959"/>
  <c r="AA248" i="959"/>
  <c r="Y248" i="959"/>
  <c r="E248" i="959"/>
  <c r="D248" i="959"/>
  <c r="C248" i="959"/>
  <c r="AC247" i="959"/>
  <c r="AA247" i="959"/>
  <c r="Y247" i="959"/>
  <c r="E247" i="959"/>
  <c r="D247" i="959"/>
  <c r="C247" i="959"/>
  <c r="AC246" i="959"/>
  <c r="AA246" i="959"/>
  <c r="Y246" i="959"/>
  <c r="E246" i="959"/>
  <c r="D246" i="959"/>
  <c r="C246" i="959"/>
  <c r="AC245" i="959"/>
  <c r="AA245" i="959"/>
  <c r="Y245" i="959"/>
  <c r="E245" i="959"/>
  <c r="D245" i="959"/>
  <c r="C245" i="959"/>
  <c r="AC244" i="959"/>
  <c r="AA244" i="959"/>
  <c r="Y244" i="959"/>
  <c r="E244" i="959"/>
  <c r="D244" i="959"/>
  <c r="C244" i="959"/>
  <c r="AC243" i="959"/>
  <c r="AA243" i="959"/>
  <c r="Y243" i="959"/>
  <c r="E243" i="959"/>
  <c r="D243" i="959"/>
  <c r="C243" i="959"/>
  <c r="AC242" i="959"/>
  <c r="AA242" i="959"/>
  <c r="Y242" i="959"/>
  <c r="E242" i="959"/>
  <c r="D242" i="959"/>
  <c r="C242" i="959"/>
  <c r="AC241" i="959"/>
  <c r="AA241" i="959"/>
  <c r="Y241" i="959"/>
  <c r="E241" i="959"/>
  <c r="D241" i="959"/>
  <c r="C241" i="959"/>
  <c r="AC240" i="959"/>
  <c r="AA240" i="959"/>
  <c r="Y240" i="959"/>
  <c r="E240" i="959"/>
  <c r="D240" i="959"/>
  <c r="C240" i="959"/>
  <c r="AC239" i="959"/>
  <c r="AA239" i="959"/>
  <c r="Y239" i="959"/>
  <c r="E239" i="959"/>
  <c r="D239" i="959"/>
  <c r="C239" i="959"/>
  <c r="AC238" i="959"/>
  <c r="AA238" i="959"/>
  <c r="Y238" i="959"/>
  <c r="E238" i="959"/>
  <c r="D238" i="959"/>
  <c r="C238" i="959"/>
  <c r="AC237" i="959"/>
  <c r="AA237" i="959"/>
  <c r="Y237" i="959"/>
  <c r="V237" i="959"/>
  <c r="S237" i="959"/>
  <c r="P237" i="959"/>
  <c r="E237" i="959"/>
  <c r="D237" i="959"/>
  <c r="C237" i="959"/>
  <c r="AC236" i="959"/>
  <c r="AA236" i="959"/>
  <c r="Y236" i="959"/>
  <c r="V236" i="959"/>
  <c r="S236" i="959"/>
  <c r="P236" i="959"/>
  <c r="E236" i="959"/>
  <c r="D236" i="959"/>
  <c r="C236" i="959"/>
  <c r="AC235" i="959"/>
  <c r="AA235" i="959"/>
  <c r="Y235" i="959"/>
  <c r="V235" i="959"/>
  <c r="S235" i="959"/>
  <c r="P235" i="959"/>
  <c r="E235" i="959"/>
  <c r="D235" i="959"/>
  <c r="C235" i="959"/>
  <c r="AC234" i="959"/>
  <c r="AA234" i="959"/>
  <c r="Y234" i="959"/>
  <c r="V234" i="959"/>
  <c r="S234" i="959"/>
  <c r="P234" i="959"/>
  <c r="E234" i="959"/>
  <c r="D234" i="959"/>
  <c r="C234" i="959"/>
  <c r="AC233" i="959"/>
  <c r="AA233" i="959"/>
  <c r="Y233" i="959"/>
  <c r="E233" i="959"/>
  <c r="D233" i="959"/>
  <c r="C233" i="959"/>
  <c r="W232" i="959"/>
  <c r="V232" i="959"/>
  <c r="T232" i="959"/>
  <c r="S232" i="959"/>
  <c r="Q232" i="959"/>
  <c r="P232" i="959"/>
  <c r="E232" i="959"/>
  <c r="D232" i="959"/>
  <c r="C232" i="959"/>
  <c r="E231" i="959"/>
  <c r="D231" i="959"/>
  <c r="C231" i="959"/>
  <c r="AC230" i="959"/>
  <c r="AD233" i="959" s="1"/>
  <c r="AA230" i="959"/>
  <c r="AB246" i="959" s="1"/>
  <c r="Y230" i="959"/>
  <c r="E230" i="959"/>
  <c r="D230" i="959"/>
  <c r="C230" i="959"/>
  <c r="E229" i="959"/>
  <c r="D229" i="959"/>
  <c r="C229" i="959"/>
  <c r="E228" i="959"/>
  <c r="D228" i="959"/>
  <c r="C228" i="959"/>
  <c r="E227" i="959"/>
  <c r="D227" i="959"/>
  <c r="C227" i="959"/>
  <c r="E226" i="959"/>
  <c r="D226" i="959"/>
  <c r="C226" i="959"/>
  <c r="I225" i="959"/>
  <c r="B225" i="959" s="1"/>
  <c r="E225" i="959"/>
  <c r="D225" i="959"/>
  <c r="C225" i="959"/>
  <c r="N224" i="959"/>
  <c r="Y223" i="959"/>
  <c r="N223" i="959"/>
  <c r="Y222" i="959"/>
  <c r="N222" i="959"/>
  <c r="N221" i="959"/>
  <c r="N220" i="959"/>
  <c r="N219" i="959"/>
  <c r="N218" i="959"/>
  <c r="N217" i="959"/>
  <c r="J216" i="959"/>
  <c r="I216" i="959"/>
  <c r="N216" i="959" s="1"/>
  <c r="E216" i="959"/>
  <c r="D216" i="959"/>
  <c r="C216" i="959"/>
  <c r="J215" i="959"/>
  <c r="I215" i="959"/>
  <c r="N215" i="959" s="1"/>
  <c r="E215" i="959"/>
  <c r="D215" i="959"/>
  <c r="C215" i="959"/>
  <c r="J214" i="959"/>
  <c r="I214" i="959"/>
  <c r="N214" i="959" s="1"/>
  <c r="E214" i="959"/>
  <c r="D214" i="959"/>
  <c r="C214" i="959"/>
  <c r="J213" i="959"/>
  <c r="I213" i="959"/>
  <c r="N213" i="959" s="1"/>
  <c r="E213" i="959"/>
  <c r="D213" i="959"/>
  <c r="C213" i="959"/>
  <c r="J212" i="959"/>
  <c r="I212" i="959"/>
  <c r="N212" i="959" s="1"/>
  <c r="E212" i="959"/>
  <c r="D212" i="959"/>
  <c r="C212" i="959"/>
  <c r="J211" i="959"/>
  <c r="I211" i="959"/>
  <c r="N211" i="959" s="1"/>
  <c r="E211" i="959"/>
  <c r="D211" i="959"/>
  <c r="C211" i="959"/>
  <c r="J210" i="959"/>
  <c r="I210" i="959"/>
  <c r="N210" i="959" s="1"/>
  <c r="E210" i="959"/>
  <c r="D210" i="959"/>
  <c r="C210" i="959"/>
  <c r="J209" i="959"/>
  <c r="I209" i="959"/>
  <c r="N209" i="959" s="1"/>
  <c r="E209" i="959"/>
  <c r="D209" i="959"/>
  <c r="C209" i="959"/>
  <c r="J208" i="959"/>
  <c r="I208" i="959"/>
  <c r="N208" i="959" s="1"/>
  <c r="E208" i="959"/>
  <c r="D208" i="959"/>
  <c r="C208" i="959"/>
  <c r="J207" i="959"/>
  <c r="I207" i="959"/>
  <c r="N207" i="959" s="1"/>
  <c r="E207" i="959"/>
  <c r="D207" i="959"/>
  <c r="C207" i="959"/>
  <c r="J206" i="959"/>
  <c r="I206" i="959"/>
  <c r="N206" i="959" s="1"/>
  <c r="E206" i="959"/>
  <c r="D206" i="959"/>
  <c r="C206" i="959"/>
  <c r="J205" i="959"/>
  <c r="I205" i="959"/>
  <c r="N205" i="959" s="1"/>
  <c r="E205" i="959"/>
  <c r="D205" i="959"/>
  <c r="C205" i="959"/>
  <c r="J204" i="959"/>
  <c r="I204" i="959"/>
  <c r="N204" i="959" s="1"/>
  <c r="E204" i="959"/>
  <c r="D204" i="959"/>
  <c r="C204" i="959"/>
  <c r="J203" i="959"/>
  <c r="I203" i="959"/>
  <c r="N203" i="959" s="1"/>
  <c r="E203" i="959"/>
  <c r="D203" i="959"/>
  <c r="C203" i="959"/>
  <c r="J202" i="959"/>
  <c r="I202" i="959"/>
  <c r="N202" i="959" s="1"/>
  <c r="E202" i="959"/>
  <c r="D202" i="959"/>
  <c r="C202" i="959"/>
  <c r="J201" i="959"/>
  <c r="I201" i="959"/>
  <c r="N201" i="959" s="1"/>
  <c r="E201" i="959"/>
  <c r="D201" i="959"/>
  <c r="C201" i="959"/>
  <c r="J200" i="959"/>
  <c r="I200" i="959"/>
  <c r="N200" i="959" s="1"/>
  <c r="E200" i="959"/>
  <c r="D200" i="959"/>
  <c r="C200" i="959"/>
  <c r="J199" i="959"/>
  <c r="I199" i="959"/>
  <c r="N199" i="959" s="1"/>
  <c r="E199" i="959"/>
  <c r="D199" i="959"/>
  <c r="C199" i="959"/>
  <c r="J198" i="959"/>
  <c r="I198" i="959"/>
  <c r="N198" i="959" s="1"/>
  <c r="E198" i="959"/>
  <c r="D198" i="959"/>
  <c r="C198" i="959"/>
  <c r="J197" i="959"/>
  <c r="I197" i="959"/>
  <c r="N197" i="959" s="1"/>
  <c r="E197" i="959"/>
  <c r="D197" i="959"/>
  <c r="C197" i="959"/>
  <c r="J196" i="959"/>
  <c r="I196" i="959"/>
  <c r="N196" i="959" s="1"/>
  <c r="E196" i="959"/>
  <c r="D196" i="959"/>
  <c r="C196" i="959"/>
  <c r="J195" i="959"/>
  <c r="I195" i="959"/>
  <c r="N195" i="959" s="1"/>
  <c r="E195" i="959"/>
  <c r="D195" i="959"/>
  <c r="C195" i="959"/>
  <c r="J194" i="959"/>
  <c r="I194" i="959"/>
  <c r="N194" i="959" s="1"/>
  <c r="E194" i="959"/>
  <c r="D194" i="959"/>
  <c r="C194" i="959"/>
  <c r="J193" i="959"/>
  <c r="I193" i="959"/>
  <c r="N193" i="959" s="1"/>
  <c r="E193" i="959"/>
  <c r="D193" i="959"/>
  <c r="C193" i="959"/>
  <c r="J192" i="959"/>
  <c r="I192" i="959"/>
  <c r="N192" i="959" s="1"/>
  <c r="E192" i="959"/>
  <c r="D192" i="959"/>
  <c r="C192" i="959"/>
  <c r="J191" i="959"/>
  <c r="I191" i="959"/>
  <c r="N191" i="959" s="1"/>
  <c r="E191" i="959"/>
  <c r="D191" i="959"/>
  <c r="C191" i="959"/>
  <c r="J190" i="959"/>
  <c r="I190" i="959"/>
  <c r="N190" i="959" s="1"/>
  <c r="E190" i="959"/>
  <c r="D190" i="959"/>
  <c r="C190" i="959"/>
  <c r="J189" i="959"/>
  <c r="I189" i="959"/>
  <c r="N189" i="959" s="1"/>
  <c r="E189" i="959"/>
  <c r="D189" i="959"/>
  <c r="C189" i="959"/>
  <c r="J188" i="959"/>
  <c r="I188" i="959"/>
  <c r="N188" i="959" s="1"/>
  <c r="E188" i="959"/>
  <c r="D188" i="959"/>
  <c r="C188" i="959"/>
  <c r="J187" i="959"/>
  <c r="I187" i="959"/>
  <c r="N187" i="959" s="1"/>
  <c r="E187" i="959"/>
  <c r="D187" i="959"/>
  <c r="C187" i="959"/>
  <c r="AD186" i="959"/>
  <c r="AC186" i="959"/>
  <c r="I974" i="959" s="1"/>
  <c r="J186" i="959"/>
  <c r="I186" i="959"/>
  <c r="N186" i="959" s="1"/>
  <c r="E186" i="959"/>
  <c r="D186" i="959"/>
  <c r="C186" i="959"/>
  <c r="J185" i="959"/>
  <c r="I185" i="959"/>
  <c r="N185" i="959" s="1"/>
  <c r="E185" i="959"/>
  <c r="D185" i="959"/>
  <c r="C185" i="959"/>
  <c r="J184" i="959"/>
  <c r="I184" i="959"/>
  <c r="N184" i="959" s="1"/>
  <c r="E184" i="959"/>
  <c r="D184" i="959"/>
  <c r="C184" i="959"/>
  <c r="J183" i="959"/>
  <c r="I183" i="959"/>
  <c r="N183" i="959" s="1"/>
  <c r="E183" i="959"/>
  <c r="D183" i="959"/>
  <c r="C183" i="959"/>
  <c r="J182" i="959"/>
  <c r="I182" i="959"/>
  <c r="N182" i="959" s="1"/>
  <c r="E182" i="959"/>
  <c r="D182" i="959"/>
  <c r="C182" i="959"/>
  <c r="J181" i="959"/>
  <c r="I181" i="959"/>
  <c r="N181" i="959" s="1"/>
  <c r="E181" i="959"/>
  <c r="D181" i="959"/>
  <c r="C181" i="959"/>
  <c r="J180" i="959"/>
  <c r="I180" i="959"/>
  <c r="N180" i="959" s="1"/>
  <c r="E180" i="959"/>
  <c r="D180" i="959"/>
  <c r="C180" i="959"/>
  <c r="J179" i="959"/>
  <c r="I179" i="959"/>
  <c r="N179" i="959" s="1"/>
  <c r="E179" i="959"/>
  <c r="D179" i="959"/>
  <c r="C179" i="959"/>
  <c r="J178" i="959"/>
  <c r="I178" i="959"/>
  <c r="N178" i="959" s="1"/>
  <c r="E178" i="959"/>
  <c r="D178" i="959"/>
  <c r="C178" i="959"/>
  <c r="J177" i="959"/>
  <c r="I177" i="959"/>
  <c r="N177" i="959" s="1"/>
  <c r="E177" i="959"/>
  <c r="D177" i="959"/>
  <c r="C177" i="959"/>
  <c r="V176" i="959"/>
  <c r="S176" i="959"/>
  <c r="J176" i="959"/>
  <c r="I176" i="959"/>
  <c r="N176" i="959" s="1"/>
  <c r="E176" i="959"/>
  <c r="D176" i="959"/>
  <c r="C176" i="959"/>
  <c r="V175" i="959"/>
  <c r="S175" i="959"/>
  <c r="J175" i="959"/>
  <c r="I175" i="959"/>
  <c r="N175" i="959" s="1"/>
  <c r="E175" i="959"/>
  <c r="D175" i="959"/>
  <c r="C175" i="959"/>
  <c r="V174" i="959"/>
  <c r="S174" i="959"/>
  <c r="J174" i="959"/>
  <c r="I174" i="959"/>
  <c r="N174" i="959" s="1"/>
  <c r="E174" i="959"/>
  <c r="D174" i="959"/>
  <c r="C174" i="959"/>
  <c r="V173" i="959"/>
  <c r="S173" i="959"/>
  <c r="J173" i="959"/>
  <c r="I173" i="959"/>
  <c r="N173" i="959" s="1"/>
  <c r="E173" i="959"/>
  <c r="D173" i="959"/>
  <c r="C173" i="959"/>
  <c r="V172" i="959"/>
  <c r="S172" i="959"/>
  <c r="J172" i="959"/>
  <c r="I172" i="959"/>
  <c r="N172" i="959" s="1"/>
  <c r="E172" i="959"/>
  <c r="D172" i="959"/>
  <c r="C172" i="959"/>
  <c r="J171" i="959"/>
  <c r="I171" i="959"/>
  <c r="N171" i="959" s="1"/>
  <c r="E171" i="959"/>
  <c r="D171" i="959"/>
  <c r="C171" i="959"/>
  <c r="R170" i="959"/>
  <c r="T170" i="959" s="1"/>
  <c r="J170" i="959"/>
  <c r="I170" i="959"/>
  <c r="N170" i="959" s="1"/>
  <c r="E170" i="959"/>
  <c r="D170" i="959"/>
  <c r="C170" i="959"/>
  <c r="J169" i="959"/>
  <c r="I169" i="959"/>
  <c r="N169" i="959" s="1"/>
  <c r="E169" i="959"/>
  <c r="D169" i="959"/>
  <c r="C169" i="959"/>
  <c r="J168" i="959"/>
  <c r="I168" i="959"/>
  <c r="E168" i="959"/>
  <c r="D168" i="959"/>
  <c r="C168" i="959"/>
  <c r="J167" i="959"/>
  <c r="I167" i="959"/>
  <c r="N167" i="959" s="1"/>
  <c r="E167" i="959"/>
  <c r="D167" i="959"/>
  <c r="C167" i="959"/>
  <c r="J166" i="959"/>
  <c r="I166" i="959"/>
  <c r="N166" i="959" s="1"/>
  <c r="E166" i="959"/>
  <c r="D166" i="959"/>
  <c r="C166" i="959"/>
  <c r="J165" i="959"/>
  <c r="I165" i="959"/>
  <c r="N165" i="959" s="1"/>
  <c r="E165" i="959"/>
  <c r="D165" i="959"/>
  <c r="C165" i="959"/>
  <c r="J164" i="959"/>
  <c r="I164" i="959"/>
  <c r="N164" i="959" s="1"/>
  <c r="E164" i="959"/>
  <c r="D164" i="959"/>
  <c r="C164" i="959"/>
  <c r="R163" i="959"/>
  <c r="P163" i="959"/>
  <c r="J163" i="959"/>
  <c r="I163" i="959"/>
  <c r="N163" i="959" s="1"/>
  <c r="E163" i="959"/>
  <c r="D163" i="959"/>
  <c r="C163" i="959"/>
  <c r="R162" i="959"/>
  <c r="P162" i="959"/>
  <c r="J162" i="959"/>
  <c r="I162" i="959"/>
  <c r="N162" i="959" s="1"/>
  <c r="E162" i="959"/>
  <c r="D162" i="959"/>
  <c r="C162" i="959"/>
  <c r="T161" i="959"/>
  <c r="R161" i="959"/>
  <c r="P161" i="959"/>
  <c r="J161" i="959"/>
  <c r="I161" i="959"/>
  <c r="N161" i="959" s="1"/>
  <c r="E161" i="959"/>
  <c r="D161" i="959"/>
  <c r="C161" i="959"/>
  <c r="P160" i="959"/>
  <c r="C774" i="959" s="1"/>
  <c r="J160" i="959"/>
  <c r="I160" i="959"/>
  <c r="N160" i="959" s="1"/>
  <c r="E160" i="959"/>
  <c r="D160" i="959"/>
  <c r="C160" i="959"/>
  <c r="J159" i="959"/>
  <c r="I159" i="959"/>
  <c r="N159" i="959" s="1"/>
  <c r="E159" i="959"/>
  <c r="D159" i="959"/>
  <c r="C159" i="959"/>
  <c r="J158" i="959"/>
  <c r="I158" i="959"/>
  <c r="N158" i="959" s="1"/>
  <c r="E158" i="959"/>
  <c r="D158" i="959"/>
  <c r="C158" i="959"/>
  <c r="J157" i="959"/>
  <c r="I157" i="959"/>
  <c r="N157" i="959" s="1"/>
  <c r="E157" i="959"/>
  <c r="D157" i="959"/>
  <c r="C157" i="959"/>
  <c r="Z156" i="959"/>
  <c r="I768" i="959" s="1"/>
  <c r="S156" i="959"/>
  <c r="J156" i="959"/>
  <c r="I156" i="959"/>
  <c r="N156" i="959" s="1"/>
  <c r="E156" i="959"/>
  <c r="D156" i="959"/>
  <c r="C156" i="959"/>
  <c r="J155" i="959"/>
  <c r="I155" i="959"/>
  <c r="N155" i="959" s="1"/>
  <c r="E155" i="959"/>
  <c r="D155" i="959"/>
  <c r="C155" i="959"/>
  <c r="T154" i="959"/>
  <c r="S154" i="959"/>
  <c r="J154" i="959"/>
  <c r="I154" i="959"/>
  <c r="N154" i="959" s="1"/>
  <c r="E154" i="959"/>
  <c r="D154" i="959"/>
  <c r="C154" i="959"/>
  <c r="R153" i="959"/>
  <c r="J153" i="959"/>
  <c r="I153" i="959"/>
  <c r="N153" i="959" s="1"/>
  <c r="E153" i="959"/>
  <c r="D153" i="959"/>
  <c r="C153" i="959"/>
  <c r="AN152" i="959"/>
  <c r="AD152" i="959"/>
  <c r="I749" i="959" s="1"/>
  <c r="AC152" i="959"/>
  <c r="I750" i="959" s="1"/>
  <c r="AB152" i="959"/>
  <c r="I748" i="959" s="1"/>
  <c r="AA152" i="959"/>
  <c r="Z152" i="959"/>
  <c r="I753" i="959" s="1"/>
  <c r="Y152" i="959"/>
  <c r="I754" i="959" s="1"/>
  <c r="J152" i="959"/>
  <c r="I152" i="959"/>
  <c r="N152" i="959" s="1"/>
  <c r="E152" i="959"/>
  <c r="D152" i="959"/>
  <c r="C152" i="959"/>
  <c r="AN151" i="959"/>
  <c r="AD151" i="959"/>
  <c r="I734" i="959" s="1"/>
  <c r="AC151" i="959"/>
  <c r="I735" i="959" s="1"/>
  <c r="AB151" i="959"/>
  <c r="I733" i="959" s="1"/>
  <c r="AA151" i="959"/>
  <c r="Z151" i="959"/>
  <c r="I738" i="959" s="1"/>
  <c r="Y151" i="959"/>
  <c r="I739" i="959" s="1"/>
  <c r="J151" i="959"/>
  <c r="I151" i="959"/>
  <c r="N151" i="959" s="1"/>
  <c r="E151" i="959"/>
  <c r="D151" i="959"/>
  <c r="C151" i="959"/>
  <c r="AN150" i="959"/>
  <c r="AD150" i="959"/>
  <c r="I719" i="959" s="1"/>
  <c r="AC150" i="959"/>
  <c r="I720" i="959" s="1"/>
  <c r="AB150" i="959"/>
  <c r="I718" i="959" s="1"/>
  <c r="AA150" i="959"/>
  <c r="Z150" i="959"/>
  <c r="I723" i="959" s="1"/>
  <c r="Y150" i="959"/>
  <c r="I724" i="959" s="1"/>
  <c r="J150" i="959"/>
  <c r="I150" i="959"/>
  <c r="N150" i="959" s="1"/>
  <c r="E150" i="959"/>
  <c r="D150" i="959"/>
  <c r="C150" i="959"/>
  <c r="AN149" i="959"/>
  <c r="AD149" i="959"/>
  <c r="I704" i="959" s="1"/>
  <c r="AC149" i="959"/>
  <c r="I705" i="959" s="1"/>
  <c r="AB149" i="959"/>
  <c r="I703" i="959" s="1"/>
  <c r="AA149" i="959"/>
  <c r="Z149" i="959"/>
  <c r="I708" i="959" s="1"/>
  <c r="Y149" i="959"/>
  <c r="J149" i="959"/>
  <c r="I149" i="959"/>
  <c r="N149" i="959" s="1"/>
  <c r="E149" i="959"/>
  <c r="D149" i="959"/>
  <c r="C149" i="959"/>
  <c r="J148" i="959"/>
  <c r="I148" i="959"/>
  <c r="N148" i="959" s="1"/>
  <c r="E148" i="959"/>
  <c r="D148" i="959"/>
  <c r="C148" i="959"/>
  <c r="T147" i="959"/>
  <c r="Q147" i="959"/>
  <c r="J147" i="959"/>
  <c r="I147" i="959"/>
  <c r="N147" i="959" s="1"/>
  <c r="E147" i="959"/>
  <c r="D147" i="959"/>
  <c r="C147" i="959"/>
  <c r="Q146" i="959"/>
  <c r="J146" i="959"/>
  <c r="L146" i="959" s="1"/>
  <c r="I146" i="959"/>
  <c r="N146" i="959" s="1"/>
  <c r="E146" i="959"/>
  <c r="D146" i="959"/>
  <c r="C146" i="959"/>
  <c r="AN145" i="959"/>
  <c r="Z145" i="959"/>
  <c r="I693" i="959" s="1"/>
  <c r="Y145" i="959"/>
  <c r="I694" i="959" s="1"/>
  <c r="J145" i="959"/>
  <c r="I145" i="959"/>
  <c r="N145" i="959" s="1"/>
  <c r="E145" i="959"/>
  <c r="D145" i="959"/>
  <c r="C145" i="959"/>
  <c r="AN144" i="959"/>
  <c r="Z144" i="959"/>
  <c r="I678" i="959" s="1"/>
  <c r="Y144" i="959"/>
  <c r="I679" i="959" s="1"/>
  <c r="J144" i="959"/>
  <c r="I144" i="959"/>
  <c r="E144" i="959"/>
  <c r="D144" i="959"/>
  <c r="C144" i="959"/>
  <c r="AN143" i="959"/>
  <c r="Z143" i="959"/>
  <c r="I663" i="959" s="1"/>
  <c r="Y143" i="959"/>
  <c r="I664" i="959" s="1"/>
  <c r="J143" i="959"/>
  <c r="I143" i="959"/>
  <c r="N143" i="959" s="1"/>
  <c r="E143" i="959"/>
  <c r="D143" i="959"/>
  <c r="C143" i="959"/>
  <c r="AN142" i="959"/>
  <c r="Z142" i="959"/>
  <c r="I648" i="959" s="1"/>
  <c r="Y142" i="959"/>
  <c r="I649" i="959" s="1"/>
  <c r="J142" i="959"/>
  <c r="I142" i="959"/>
  <c r="N142" i="959" s="1"/>
  <c r="E142" i="959"/>
  <c r="D142" i="959"/>
  <c r="C142" i="959"/>
  <c r="AN141" i="959"/>
  <c r="Z141" i="959"/>
  <c r="I633" i="959" s="1"/>
  <c r="Y141" i="959"/>
  <c r="I634" i="959" s="1"/>
  <c r="J141" i="959"/>
  <c r="I141" i="959"/>
  <c r="N141" i="959" s="1"/>
  <c r="E141" i="959"/>
  <c r="D141" i="959"/>
  <c r="C141" i="959"/>
  <c r="J140" i="959"/>
  <c r="I140" i="959"/>
  <c r="E140" i="959"/>
  <c r="D140" i="959"/>
  <c r="C140" i="959"/>
  <c r="T139" i="959"/>
  <c r="S139" i="959"/>
  <c r="R139" i="959"/>
  <c r="Q139" i="959"/>
  <c r="J139" i="959"/>
  <c r="I139" i="959"/>
  <c r="E139" i="959"/>
  <c r="D139" i="959"/>
  <c r="C139" i="959"/>
  <c r="P138" i="959"/>
  <c r="J138" i="959"/>
  <c r="I138" i="959"/>
  <c r="N138" i="959" s="1"/>
  <c r="E138" i="959"/>
  <c r="D138" i="959"/>
  <c r="C138" i="959"/>
  <c r="AN137" i="959"/>
  <c r="AD137" i="959"/>
  <c r="I614" i="959" s="1"/>
  <c r="AC137" i="959"/>
  <c r="I615" i="959" s="1"/>
  <c r="AB137" i="959"/>
  <c r="I613" i="959" s="1"/>
  <c r="Z137" i="959"/>
  <c r="I618" i="959" s="1"/>
  <c r="Y137" i="959"/>
  <c r="J137" i="959"/>
  <c r="I137" i="959"/>
  <c r="C137" i="959"/>
  <c r="AN136" i="959"/>
  <c r="AD136" i="959"/>
  <c r="I599" i="959" s="1"/>
  <c r="AC136" i="959"/>
  <c r="I600" i="959" s="1"/>
  <c r="AB136" i="959"/>
  <c r="I598" i="959" s="1"/>
  <c r="Z136" i="959"/>
  <c r="I603" i="959" s="1"/>
  <c r="Y136" i="959"/>
  <c r="I604" i="959" s="1"/>
  <c r="N136" i="959"/>
  <c r="AN135" i="959"/>
  <c r="AD135" i="959"/>
  <c r="I584" i="959" s="1"/>
  <c r="AC135" i="959"/>
  <c r="I585" i="959" s="1"/>
  <c r="AB135" i="959"/>
  <c r="I583" i="959" s="1"/>
  <c r="Z135" i="959"/>
  <c r="I588" i="959" s="1"/>
  <c r="Y135" i="959"/>
  <c r="I589" i="959" s="1"/>
  <c r="N135" i="959"/>
  <c r="AN134" i="959"/>
  <c r="AD134" i="959"/>
  <c r="I569" i="959" s="1"/>
  <c r="AC134" i="959"/>
  <c r="I570" i="959" s="1"/>
  <c r="AB134" i="959"/>
  <c r="I568" i="959" s="1"/>
  <c r="Z134" i="959"/>
  <c r="I573" i="959" s="1"/>
  <c r="Y134" i="959"/>
  <c r="I574" i="959" s="1"/>
  <c r="N134" i="959"/>
  <c r="AN133" i="959"/>
  <c r="AD133" i="959"/>
  <c r="I554" i="959" s="1"/>
  <c r="AC133" i="959"/>
  <c r="I555" i="959" s="1"/>
  <c r="AB133" i="959"/>
  <c r="I553" i="959" s="1"/>
  <c r="Z133" i="959"/>
  <c r="I558" i="959" s="1"/>
  <c r="Y133" i="959"/>
  <c r="N133" i="959"/>
  <c r="N132" i="959"/>
  <c r="T131" i="959"/>
  <c r="S131" i="959"/>
  <c r="R131" i="959"/>
  <c r="Q131" i="959"/>
  <c r="N131" i="959"/>
  <c r="P130" i="959"/>
  <c r="N130" i="959"/>
  <c r="N129" i="959"/>
  <c r="C126" i="959"/>
  <c r="N127" i="959" s="1"/>
  <c r="C123" i="959"/>
  <c r="N123" i="959" s="1"/>
  <c r="C120" i="959"/>
  <c r="N120" i="959" s="1"/>
  <c r="N119" i="959"/>
  <c r="N118" i="959"/>
  <c r="N117" i="959"/>
  <c r="N116" i="959"/>
  <c r="F116" i="959"/>
  <c r="G116" i="959" s="1"/>
  <c r="U111" i="959"/>
  <c r="U110" i="959"/>
  <c r="T106" i="959"/>
  <c r="R106" i="959"/>
  <c r="P106" i="959"/>
  <c r="C106" i="959"/>
  <c r="T105" i="959"/>
  <c r="R105" i="959"/>
  <c r="P105" i="959"/>
  <c r="C105" i="959"/>
  <c r="T104" i="959"/>
  <c r="R104" i="959"/>
  <c r="P104" i="959"/>
  <c r="C104" i="959"/>
  <c r="P103" i="959"/>
  <c r="C534" i="959" s="1"/>
  <c r="C103" i="959"/>
  <c r="F103" i="959" s="1"/>
  <c r="C102" i="959"/>
  <c r="F102" i="959" s="1"/>
  <c r="AN101" i="959"/>
  <c r="AC101" i="959"/>
  <c r="I524" i="959" s="1"/>
  <c r="AB101" i="959"/>
  <c r="I525" i="959" s="1"/>
  <c r="AA101" i="959"/>
  <c r="I523" i="959" s="1"/>
  <c r="Z101" i="959"/>
  <c r="I520" i="959" s="1"/>
  <c r="Y101" i="959"/>
  <c r="I529" i="959" s="1"/>
  <c r="S100" i="959"/>
  <c r="R100" i="959"/>
  <c r="Q99" i="959"/>
  <c r="AN98" i="959"/>
  <c r="AK98" i="959"/>
  <c r="F516" i="959" s="1"/>
  <c r="AI98" i="959"/>
  <c r="F517" i="959" s="1"/>
  <c r="AG98" i="959"/>
  <c r="F515" i="959" s="1"/>
  <c r="AE98" i="959"/>
  <c r="I509" i="959" s="1"/>
  <c r="AD98" i="959"/>
  <c r="I510" i="959" s="1"/>
  <c r="AC98" i="959"/>
  <c r="I508" i="959" s="1"/>
  <c r="AB98" i="959"/>
  <c r="I511" i="959" s="1"/>
  <c r="AA98" i="959"/>
  <c r="Z98" i="959"/>
  <c r="I507" i="959" s="1"/>
  <c r="Y98" i="959"/>
  <c r="I514" i="959" s="1"/>
  <c r="AN97" i="959"/>
  <c r="AK97" i="959"/>
  <c r="F501" i="959" s="1"/>
  <c r="AI97" i="959"/>
  <c r="F502" i="959" s="1"/>
  <c r="AG97" i="959"/>
  <c r="AE97" i="959"/>
  <c r="I494" i="959" s="1"/>
  <c r="AD97" i="959"/>
  <c r="I495" i="959" s="1"/>
  <c r="AC97" i="959"/>
  <c r="I493" i="959" s="1"/>
  <c r="AB97" i="959"/>
  <c r="I496" i="959" s="1"/>
  <c r="AA97" i="959"/>
  <c r="Z97" i="959"/>
  <c r="I492" i="959" s="1"/>
  <c r="Y97" i="959"/>
  <c r="I499" i="959" s="1"/>
  <c r="AN96" i="959"/>
  <c r="AK96" i="959"/>
  <c r="F486" i="959" s="1"/>
  <c r="AI96" i="959"/>
  <c r="F487" i="959" s="1"/>
  <c r="AG96" i="959"/>
  <c r="F485" i="959" s="1"/>
  <c r="AE96" i="959"/>
  <c r="I479" i="959" s="1"/>
  <c r="AD96" i="959"/>
  <c r="I480" i="959" s="1"/>
  <c r="AC96" i="959"/>
  <c r="I478" i="959" s="1"/>
  <c r="AB96" i="959"/>
  <c r="I481" i="959" s="1"/>
  <c r="AA96" i="959"/>
  <c r="Z96" i="959"/>
  <c r="I477" i="959" s="1"/>
  <c r="Y96" i="959"/>
  <c r="I484" i="959" s="1"/>
  <c r="AN95" i="959"/>
  <c r="AK95" i="959"/>
  <c r="F471" i="959" s="1"/>
  <c r="AI95" i="959"/>
  <c r="F472" i="959" s="1"/>
  <c r="AG95" i="959"/>
  <c r="F470" i="959" s="1"/>
  <c r="AE95" i="959"/>
  <c r="I464" i="959" s="1"/>
  <c r="AD95" i="959"/>
  <c r="I465" i="959" s="1"/>
  <c r="AC95" i="959"/>
  <c r="I463" i="959" s="1"/>
  <c r="AB95" i="959"/>
  <c r="I466" i="959" s="1"/>
  <c r="AA95" i="959"/>
  <c r="Z95" i="959"/>
  <c r="I462" i="959" s="1"/>
  <c r="Y95" i="959"/>
  <c r="I469" i="959" s="1"/>
  <c r="T94" i="959"/>
  <c r="S94" i="959"/>
  <c r="R94" i="959"/>
  <c r="Q93" i="959"/>
  <c r="AN92" i="959"/>
  <c r="AK92" i="959"/>
  <c r="F456" i="959" s="1"/>
  <c r="AI92" i="959"/>
  <c r="F457" i="959" s="1"/>
  <c r="AG92" i="959"/>
  <c r="F455" i="959" s="1"/>
  <c r="AE92" i="959"/>
  <c r="I449" i="959" s="1"/>
  <c r="AD92" i="959"/>
  <c r="I450" i="959" s="1"/>
  <c r="AC92" i="959"/>
  <c r="I448" i="959" s="1"/>
  <c r="AB92" i="959"/>
  <c r="I451" i="959" s="1"/>
  <c r="AA92" i="959"/>
  <c r="I445" i="959" s="1"/>
  <c r="Z92" i="959"/>
  <c r="I447" i="959" s="1"/>
  <c r="Y92" i="959"/>
  <c r="I454" i="959" s="1"/>
  <c r="AN91" i="959"/>
  <c r="AK91" i="959"/>
  <c r="F441" i="959" s="1"/>
  <c r="AI91" i="959"/>
  <c r="F442" i="959" s="1"/>
  <c r="AG91" i="959"/>
  <c r="F440" i="959" s="1"/>
  <c r="AE91" i="959"/>
  <c r="I434" i="959" s="1"/>
  <c r="AD91" i="959"/>
  <c r="I435" i="959" s="1"/>
  <c r="AC91" i="959"/>
  <c r="I433" i="959" s="1"/>
  <c r="AB91" i="959"/>
  <c r="I436" i="959" s="1"/>
  <c r="AA91" i="959"/>
  <c r="I430" i="959" s="1"/>
  <c r="Z91" i="959"/>
  <c r="I432" i="959" s="1"/>
  <c r="Y91" i="959"/>
  <c r="I439" i="959" s="1"/>
  <c r="AN90" i="959"/>
  <c r="AK90" i="959"/>
  <c r="F426" i="959" s="1"/>
  <c r="AI90" i="959"/>
  <c r="F427" i="959" s="1"/>
  <c r="AG90" i="959"/>
  <c r="F425" i="959" s="1"/>
  <c r="AE90" i="959"/>
  <c r="I419" i="959" s="1"/>
  <c r="AD90" i="959"/>
  <c r="I420" i="959" s="1"/>
  <c r="AC90" i="959"/>
  <c r="I418" i="959" s="1"/>
  <c r="AB90" i="959"/>
  <c r="I421" i="959" s="1"/>
  <c r="AA90" i="959"/>
  <c r="I415" i="959" s="1"/>
  <c r="Z90" i="959"/>
  <c r="I417" i="959" s="1"/>
  <c r="Y90" i="959"/>
  <c r="I424" i="959" s="1"/>
  <c r="AN89" i="959"/>
  <c r="AK89" i="959"/>
  <c r="F411" i="959" s="1"/>
  <c r="AI89" i="959"/>
  <c r="F412" i="959" s="1"/>
  <c r="AG89" i="959"/>
  <c r="AE89" i="959"/>
  <c r="I404" i="959" s="1"/>
  <c r="AD89" i="959"/>
  <c r="I405" i="959" s="1"/>
  <c r="AC89" i="959"/>
  <c r="I403" i="959" s="1"/>
  <c r="AB89" i="959"/>
  <c r="I406" i="959" s="1"/>
  <c r="AA89" i="959"/>
  <c r="I400" i="959" s="1"/>
  <c r="Z89" i="959"/>
  <c r="I402" i="959" s="1"/>
  <c r="Y89" i="959"/>
  <c r="I409" i="959" s="1"/>
  <c r="AN88" i="959"/>
  <c r="AK88" i="959"/>
  <c r="F396" i="959" s="1"/>
  <c r="AI88" i="959"/>
  <c r="F397" i="959" s="1"/>
  <c r="AG88" i="959"/>
  <c r="F395" i="959" s="1"/>
  <c r="AE88" i="959"/>
  <c r="I389" i="959" s="1"/>
  <c r="AD88" i="959"/>
  <c r="I390" i="959" s="1"/>
  <c r="AC88" i="959"/>
  <c r="I388" i="959" s="1"/>
  <c r="AB88" i="959"/>
  <c r="I391" i="959" s="1"/>
  <c r="AA88" i="959"/>
  <c r="I385" i="959" s="1"/>
  <c r="Z88" i="959"/>
  <c r="I387" i="959" s="1"/>
  <c r="Y88" i="959"/>
  <c r="I394" i="959" s="1"/>
  <c r="T87" i="959"/>
  <c r="S87" i="959"/>
  <c r="R87" i="959"/>
  <c r="Q87" i="959"/>
  <c r="P86" i="959"/>
  <c r="AN85" i="959"/>
  <c r="AK85" i="959"/>
  <c r="F381" i="959" s="1"/>
  <c r="AI85" i="959"/>
  <c r="F382" i="959" s="1"/>
  <c r="AG85" i="959"/>
  <c r="F380" i="959" s="1"/>
  <c r="AE85" i="959"/>
  <c r="I374" i="959" s="1"/>
  <c r="AD85" i="959"/>
  <c r="I375" i="959" s="1"/>
  <c r="AC85" i="959"/>
  <c r="I373" i="959" s="1"/>
  <c r="AB85" i="959"/>
  <c r="I376" i="959" s="1"/>
  <c r="AA85" i="959"/>
  <c r="I370" i="959" s="1"/>
  <c r="Z85" i="959"/>
  <c r="I372" i="959" s="1"/>
  <c r="Y85" i="959"/>
  <c r="I379" i="959" s="1"/>
  <c r="AN84" i="959"/>
  <c r="AK84" i="959"/>
  <c r="F366" i="959" s="1"/>
  <c r="AI84" i="959"/>
  <c r="F367" i="959" s="1"/>
  <c r="AG84" i="959"/>
  <c r="F365" i="959" s="1"/>
  <c r="AE84" i="959"/>
  <c r="I359" i="959" s="1"/>
  <c r="AD84" i="959"/>
  <c r="I360" i="959" s="1"/>
  <c r="AC84" i="959"/>
  <c r="I358" i="959" s="1"/>
  <c r="AB84" i="959"/>
  <c r="I361" i="959" s="1"/>
  <c r="AA84" i="959"/>
  <c r="I355" i="959" s="1"/>
  <c r="Z84" i="959"/>
  <c r="I357" i="959" s="1"/>
  <c r="Y84" i="959"/>
  <c r="I364" i="959" s="1"/>
  <c r="AN83" i="959"/>
  <c r="AK83" i="959"/>
  <c r="F351" i="959" s="1"/>
  <c r="AI83" i="959"/>
  <c r="F352" i="959" s="1"/>
  <c r="AG83" i="959"/>
  <c r="AE83" i="959"/>
  <c r="I344" i="959" s="1"/>
  <c r="AD83" i="959"/>
  <c r="I345" i="959" s="1"/>
  <c r="AC83" i="959"/>
  <c r="I343" i="959" s="1"/>
  <c r="AB83" i="959"/>
  <c r="I346" i="959" s="1"/>
  <c r="AA83" i="959"/>
  <c r="I340" i="959" s="1"/>
  <c r="Z83" i="959"/>
  <c r="I342" i="959" s="1"/>
  <c r="Y83" i="959"/>
  <c r="I349" i="959" s="1"/>
  <c r="C83" i="959"/>
  <c r="AN82" i="959"/>
  <c r="AK82" i="959"/>
  <c r="AI82" i="959"/>
  <c r="F337" i="959" s="1"/>
  <c r="AG82" i="959"/>
  <c r="F335" i="959" s="1"/>
  <c r="AE82" i="959"/>
  <c r="I329" i="959" s="1"/>
  <c r="AD82" i="959"/>
  <c r="I330" i="959" s="1"/>
  <c r="AC82" i="959"/>
  <c r="I328" i="959" s="1"/>
  <c r="AB82" i="959"/>
  <c r="I331" i="959" s="1"/>
  <c r="AA82" i="959"/>
  <c r="I325" i="959" s="1"/>
  <c r="Z82" i="959"/>
  <c r="I327" i="959" s="1"/>
  <c r="Y82" i="959"/>
  <c r="I334" i="959" s="1"/>
  <c r="AN81" i="959"/>
  <c r="AK81" i="959"/>
  <c r="F321" i="959" s="1"/>
  <c r="AI81" i="959"/>
  <c r="AG81" i="959"/>
  <c r="AH81" i="959" s="1"/>
  <c r="I320" i="959" s="1"/>
  <c r="AE81" i="959"/>
  <c r="I314" i="959" s="1"/>
  <c r="AD81" i="959"/>
  <c r="I315" i="959" s="1"/>
  <c r="AC81" i="959"/>
  <c r="AB81" i="959"/>
  <c r="I316" i="959" s="1"/>
  <c r="AA81" i="959"/>
  <c r="I310" i="959" s="1"/>
  <c r="Z81" i="959"/>
  <c r="I312" i="959" s="1"/>
  <c r="Y81" i="959"/>
  <c r="I319" i="959" s="1"/>
  <c r="N81" i="959"/>
  <c r="T80" i="959"/>
  <c r="S80" i="959"/>
  <c r="R80" i="959"/>
  <c r="Q80" i="959"/>
  <c r="N80" i="959"/>
  <c r="P79" i="959"/>
  <c r="N79" i="959"/>
  <c r="T78" i="959"/>
  <c r="S78" i="959"/>
  <c r="Q78" i="959"/>
  <c r="P78" i="959"/>
  <c r="N78" i="959"/>
  <c r="T77" i="959"/>
  <c r="S77" i="959"/>
  <c r="Q77" i="959"/>
  <c r="P77" i="959"/>
  <c r="N77" i="959"/>
  <c r="Q76" i="959"/>
  <c r="P76" i="959"/>
  <c r="N76" i="959"/>
  <c r="AB75" i="959"/>
  <c r="I916" i="959" s="1"/>
  <c r="AA75" i="959"/>
  <c r="Z75" i="959"/>
  <c r="Y75" i="959"/>
  <c r="V75" i="959"/>
  <c r="I1033" i="959" s="1"/>
  <c r="U75" i="959"/>
  <c r="I1027" i="959" s="1"/>
  <c r="T75" i="959"/>
  <c r="S75" i="959"/>
  <c r="R75" i="959"/>
  <c r="Q75" i="959"/>
  <c r="P75" i="959"/>
  <c r="N75" i="959"/>
  <c r="R74" i="959"/>
  <c r="Q74" i="959"/>
  <c r="N74" i="959"/>
  <c r="V73" i="959"/>
  <c r="U73" i="959"/>
  <c r="T73" i="959"/>
  <c r="S73" i="959"/>
  <c r="Q73" i="959"/>
  <c r="P73" i="959"/>
  <c r="N73" i="959"/>
  <c r="P72" i="959"/>
  <c r="N72" i="959"/>
  <c r="N71" i="959"/>
  <c r="N70" i="959"/>
  <c r="C70" i="959"/>
  <c r="J69" i="959"/>
  <c r="I69" i="959"/>
  <c r="L69" i="959" s="1"/>
  <c r="C69" i="959"/>
  <c r="J68" i="959"/>
  <c r="I68" i="959"/>
  <c r="C68" i="959"/>
  <c r="J67" i="959"/>
  <c r="I67" i="959"/>
  <c r="L67" i="959" s="1"/>
  <c r="C67" i="959"/>
  <c r="J66" i="959"/>
  <c r="I66" i="959"/>
  <c r="N66" i="959" s="1"/>
  <c r="C66" i="959"/>
  <c r="J65" i="959"/>
  <c r="I65" i="959"/>
  <c r="L65" i="959" s="1"/>
  <c r="C65" i="959"/>
  <c r="J64" i="959"/>
  <c r="I64" i="959"/>
  <c r="C64" i="959"/>
  <c r="J63" i="959"/>
  <c r="I63" i="959"/>
  <c r="C63" i="959"/>
  <c r="N61" i="959"/>
  <c r="L61" i="959"/>
  <c r="B61" i="959"/>
  <c r="N60" i="959"/>
  <c r="L60" i="959"/>
  <c r="B60" i="959"/>
  <c r="N59" i="959"/>
  <c r="L59" i="959"/>
  <c r="B59" i="959"/>
  <c r="N58" i="959"/>
  <c r="L58" i="959"/>
  <c r="B58" i="959"/>
  <c r="N57" i="959"/>
  <c r="L57" i="959"/>
  <c r="B57" i="959"/>
  <c r="N56" i="959"/>
  <c r="L56" i="959"/>
  <c r="B56" i="959"/>
  <c r="N55" i="959"/>
  <c r="L55" i="959"/>
  <c r="B55" i="959"/>
  <c r="N54" i="959"/>
  <c r="L54" i="959"/>
  <c r="B54" i="959"/>
  <c r="N53" i="959"/>
  <c r="L53" i="959"/>
  <c r="B53" i="959"/>
  <c r="N52" i="959"/>
  <c r="L52" i="959"/>
  <c r="B52" i="959"/>
  <c r="N51" i="959"/>
  <c r="L51" i="959"/>
  <c r="B51" i="959"/>
  <c r="N50" i="959"/>
  <c r="L50" i="959"/>
  <c r="B50" i="959"/>
  <c r="N49" i="959"/>
  <c r="L49" i="959"/>
  <c r="B49" i="959"/>
  <c r="N48" i="959"/>
  <c r="L48" i="959"/>
  <c r="B48" i="959"/>
  <c r="N47" i="959"/>
  <c r="L47" i="959"/>
  <c r="B47" i="959"/>
  <c r="N46" i="959"/>
  <c r="L46" i="959"/>
  <c r="B46" i="959"/>
  <c r="N45" i="959"/>
  <c r="L45" i="959"/>
  <c r="B45" i="959"/>
  <c r="N44" i="959"/>
  <c r="L44" i="959"/>
  <c r="B44" i="959"/>
  <c r="AY43" i="959" a="1"/>
  <c r="AY43" i="959" s="1"/>
  <c r="N43" i="959"/>
  <c r="L43" i="959"/>
  <c r="B43" i="959"/>
  <c r="AY42" i="959" a="1"/>
  <c r="AY42" i="959" s="1"/>
  <c r="N42" i="959"/>
  <c r="L42" i="959"/>
  <c r="B42" i="959"/>
  <c r="AY41" i="959" a="1"/>
  <c r="AY41" i="959" s="1"/>
  <c r="N41" i="959"/>
  <c r="L41" i="959"/>
  <c r="B41" i="959"/>
  <c r="AY40" i="959" a="1"/>
  <c r="AY40" i="959" s="1"/>
  <c r="N40" i="959"/>
  <c r="L40" i="959"/>
  <c r="B40" i="959"/>
  <c r="AY39" i="959" a="1"/>
  <c r="AY39" i="959" s="1"/>
  <c r="N39" i="959"/>
  <c r="L39" i="959"/>
  <c r="B39" i="959"/>
  <c r="AY38" i="959" a="1"/>
  <c r="AY38" i="959" s="1"/>
  <c r="N38" i="959"/>
  <c r="L38" i="959"/>
  <c r="B38" i="959"/>
  <c r="AY37" i="959" a="1"/>
  <c r="AY37" i="959" s="1"/>
  <c r="N37" i="959"/>
  <c r="L37" i="959"/>
  <c r="B37" i="959"/>
  <c r="AY36" i="959" a="1"/>
  <c r="AY36" i="959" s="1"/>
  <c r="N36" i="959"/>
  <c r="AY35" i="959" a="1"/>
  <c r="AY35" i="959" s="1"/>
  <c r="N35" i="959"/>
  <c r="L35" i="959"/>
  <c r="B35" i="959"/>
  <c r="AY34" i="959" a="1"/>
  <c r="AY34" i="959" s="1"/>
  <c r="N34" i="959"/>
  <c r="L34" i="959"/>
  <c r="B34" i="959"/>
  <c r="AY33" i="959" a="1"/>
  <c r="AY33" i="959" s="1"/>
  <c r="N33" i="959"/>
  <c r="L33" i="959"/>
  <c r="B33" i="959"/>
  <c r="AY32" i="959" a="1"/>
  <c r="AY32" i="959" s="1"/>
  <c r="N32" i="959"/>
  <c r="L32" i="959"/>
  <c r="B32" i="959"/>
  <c r="AY31" i="959" a="1"/>
  <c r="AY31" i="959" s="1"/>
  <c r="N31" i="959"/>
  <c r="L31" i="959"/>
  <c r="B31" i="959"/>
  <c r="AY30" i="959" a="1"/>
  <c r="AY30" i="959" s="1"/>
  <c r="N30" i="959"/>
  <c r="L30" i="959"/>
  <c r="B30" i="959"/>
  <c r="AY29" i="959" a="1"/>
  <c r="AY29" i="959" s="1"/>
  <c r="N29" i="959"/>
  <c r="L29" i="959"/>
  <c r="B29" i="959"/>
  <c r="AY28" i="959" a="1"/>
  <c r="AY28" i="959" s="1"/>
  <c r="N28" i="959"/>
  <c r="L28" i="959"/>
  <c r="B28" i="959"/>
  <c r="AY27" i="959" a="1"/>
  <c r="AY27" i="959" s="1"/>
  <c r="N27" i="959"/>
  <c r="L27" i="959"/>
  <c r="B27" i="959"/>
  <c r="AY26" i="959" a="1"/>
  <c r="AY26" i="959" s="1"/>
  <c r="N26" i="959"/>
  <c r="L26" i="959"/>
  <c r="B26" i="959"/>
  <c r="AY25" i="959" a="1"/>
  <c r="AY25" i="959" s="1"/>
  <c r="N25" i="959"/>
  <c r="L25" i="959"/>
  <c r="B25" i="959"/>
  <c r="AY24" i="959" a="1"/>
  <c r="AY24" i="959" s="1"/>
  <c r="AK24" i="959"/>
  <c r="AK25" i="959" s="1"/>
  <c r="N24" i="959"/>
  <c r="L24" i="959"/>
  <c r="B24" i="959"/>
  <c r="AY23" i="959" a="1"/>
  <c r="AY23" i="959" s="1"/>
  <c r="N23" i="959"/>
  <c r="L23" i="959"/>
  <c r="B23" i="959"/>
  <c r="N22" i="959"/>
  <c r="AH21" i="959"/>
  <c r="AG21" i="959"/>
  <c r="AF21" i="959" s="1"/>
  <c r="AD21" i="959"/>
  <c r="AC21" i="959"/>
  <c r="AB21" i="959"/>
  <c r="N21" i="959"/>
  <c r="L21" i="959"/>
  <c r="B21" i="959"/>
  <c r="AJ20" i="959"/>
  <c r="AC20" i="959"/>
  <c r="T20" i="959"/>
  <c r="S20" i="959"/>
  <c r="N20" i="959"/>
  <c r="L20" i="959"/>
  <c r="B20" i="959"/>
  <c r="AC19" i="959"/>
  <c r="AE19" i="959" s="1"/>
  <c r="S19" i="959"/>
  <c r="N19" i="959"/>
  <c r="L19" i="959"/>
  <c r="B19" i="959"/>
  <c r="AC18" i="959"/>
  <c r="AF18" i="959" s="1"/>
  <c r="N18" i="959"/>
  <c r="L18" i="959"/>
  <c r="B18" i="959"/>
  <c r="AC17" i="959"/>
  <c r="AE17" i="959" s="1"/>
  <c r="N17" i="959"/>
  <c r="L17" i="959"/>
  <c r="B17" i="959"/>
  <c r="AC16" i="959"/>
  <c r="AF16" i="959" s="1"/>
  <c r="W16" i="959"/>
  <c r="V16" i="959"/>
  <c r="U16" i="959"/>
  <c r="S16" i="959"/>
  <c r="N16" i="959"/>
  <c r="L16" i="959"/>
  <c r="B16" i="959"/>
  <c r="AD15" i="959"/>
  <c r="N15" i="959"/>
  <c r="W14" i="959"/>
  <c r="V14" i="959"/>
  <c r="U14" i="959"/>
  <c r="S14" i="959"/>
  <c r="N14" i="959"/>
  <c r="L14" i="959"/>
  <c r="B14" i="959"/>
  <c r="AF13" i="959"/>
  <c r="AF12" i="959" s="1"/>
  <c r="AE13" i="959"/>
  <c r="N13" i="959"/>
  <c r="L13" i="959"/>
  <c r="B13" i="959"/>
  <c r="AY12" i="959" a="1"/>
  <c r="AY12" i="959" s="1"/>
  <c r="AE12" i="959"/>
  <c r="S12" i="959"/>
  <c r="N12" i="959"/>
  <c r="BE11" i="959" a="1"/>
  <c r="BE11" i="959" s="1"/>
  <c r="AY11" i="959" a="1"/>
  <c r="AY11" i="959" s="1"/>
  <c r="BE10" i="959" a="1"/>
  <c r="BE10" i="959" s="1"/>
  <c r="AY10" i="959" a="1"/>
  <c r="AY10" i="959" s="1"/>
  <c r="AC10" i="959"/>
  <c r="W10" i="959"/>
  <c r="T10" i="959"/>
  <c r="S10" i="959"/>
  <c r="P10" i="959"/>
  <c r="BE9" i="959" a="1"/>
  <c r="BE9" i="959" s="1"/>
  <c r="AY9" i="959" a="1"/>
  <c r="AY9" i="959" s="1"/>
  <c r="AC9" i="959"/>
  <c r="W9" i="959"/>
  <c r="T9" i="959"/>
  <c r="S9" i="959"/>
  <c r="P9" i="959"/>
  <c r="BE8" i="959" a="1"/>
  <c r="BE8" i="959" s="1"/>
  <c r="AY8" i="959" a="1"/>
  <c r="AY8" i="959" s="1"/>
  <c r="AC8" i="959"/>
  <c r="W8" i="959"/>
  <c r="T8" i="959"/>
  <c r="S8" i="959"/>
  <c r="P8" i="959"/>
  <c r="BE7" i="959" a="1"/>
  <c r="BE7" i="959" s="1"/>
  <c r="AY7" i="959" a="1"/>
  <c r="AY7" i="959" s="1"/>
  <c r="AF7" i="959" a="1"/>
  <c r="AF7" i="959" s="1"/>
  <c r="AE7" i="959" a="1"/>
  <c r="AE7" i="959" s="1"/>
  <c r="AC7" i="959"/>
  <c r="BE6" i="959" a="1"/>
  <c r="BE6" i="959" s="1"/>
  <c r="AY6" i="959" a="1"/>
  <c r="AY6" i="959" s="1"/>
  <c r="AF6" i="959" a="1"/>
  <c r="AF6" i="959" s="1"/>
  <c r="AE6" i="959" a="1"/>
  <c r="AE6" i="959" s="1"/>
  <c r="AD6" i="959"/>
  <c r="AB6" i="959"/>
  <c r="AA6" i="959"/>
  <c r="W6" i="959"/>
  <c r="V6" i="959"/>
  <c r="U6" i="959"/>
  <c r="T6" i="959"/>
  <c r="S6" i="959"/>
  <c r="R6" i="959"/>
  <c r="Q6" i="959"/>
  <c r="P6" i="959"/>
  <c r="BE5" i="959" a="1"/>
  <c r="BE5" i="959" s="1"/>
  <c r="AY5" i="959" a="1"/>
  <c r="AY5" i="959" s="1"/>
  <c r="AF5" i="959" a="1"/>
  <c r="AF5" i="959" s="1"/>
  <c r="AE5" i="959" a="1"/>
  <c r="AE5" i="959" s="1"/>
  <c r="AF83" i="959" s="1"/>
  <c r="I353" i="959" s="1"/>
  <c r="AD5" i="959"/>
  <c r="AB5" i="959" s="1"/>
  <c r="AA5" i="959"/>
  <c r="P13" i="959" s="1"/>
  <c r="Q5" i="959"/>
  <c r="O5" i="959"/>
  <c r="AA4" i="959"/>
  <c r="Z4" i="959"/>
  <c r="S147" i="959" s="1"/>
  <c r="AB3" i="959"/>
  <c r="Z3" i="959"/>
  <c r="J2" i="959"/>
  <c r="G1323" i="958"/>
  <c r="H1322" i="958"/>
  <c r="G1318" i="958"/>
  <c r="H1163" i="958"/>
  <c r="H1162" i="958"/>
  <c r="H1161" i="958"/>
  <c r="H1160" i="958"/>
  <c r="H1159" i="958"/>
  <c r="H1158" i="958"/>
  <c r="H1157" i="958"/>
  <c r="H1156" i="958"/>
  <c r="H1155" i="958"/>
  <c r="H1154" i="958"/>
  <c r="H1153" i="958"/>
  <c r="H1152" i="958"/>
  <c r="H1151" i="958"/>
  <c r="H1150" i="958"/>
  <c r="H1149" i="958"/>
  <c r="H1141" i="958"/>
  <c r="I1119" i="958"/>
  <c r="I1118" i="958"/>
  <c r="I1117" i="958"/>
  <c r="I1116" i="958"/>
  <c r="I1115" i="958"/>
  <c r="I1114" i="958"/>
  <c r="I1113" i="958"/>
  <c r="I1111" i="958"/>
  <c r="I1110" i="958"/>
  <c r="I1108" i="958"/>
  <c r="I1107" i="958"/>
  <c r="I1106" i="958"/>
  <c r="I1105" i="958"/>
  <c r="I1104" i="958"/>
  <c r="I1103" i="958"/>
  <c r="I1102" i="958"/>
  <c r="I1101" i="958"/>
  <c r="I1100" i="958"/>
  <c r="I1099" i="958"/>
  <c r="I1098" i="958"/>
  <c r="I1097" i="958"/>
  <c r="I1095" i="958"/>
  <c r="I1094" i="958"/>
  <c r="I1093" i="958"/>
  <c r="I1092" i="958"/>
  <c r="I1091" i="958"/>
  <c r="I1090" i="958"/>
  <c r="I1088" i="958"/>
  <c r="I1087" i="958"/>
  <c r="I1086" i="958"/>
  <c r="I1085" i="958"/>
  <c r="I1084" i="958"/>
  <c r="I1083" i="958"/>
  <c r="I1081" i="958"/>
  <c r="I1080" i="958"/>
  <c r="I1079" i="958"/>
  <c r="G1059" i="958"/>
  <c r="G1058" i="958"/>
  <c r="G1057" i="958"/>
  <c r="G1056" i="958"/>
  <c r="G1055" i="958"/>
  <c r="G1054" i="958"/>
  <c r="G1053" i="958"/>
  <c r="G1052" i="958"/>
  <c r="G1051" i="958"/>
  <c r="G1050" i="958"/>
  <c r="G1049" i="958"/>
  <c r="G1048" i="958"/>
  <c r="I1046" i="958"/>
  <c r="I1045" i="958"/>
  <c r="I1044" i="958"/>
  <c r="I1043" i="958"/>
  <c r="I1037" i="958"/>
  <c r="G1036" i="958"/>
  <c r="G1035" i="958"/>
  <c r="G1034" i="958"/>
  <c r="G1033" i="958"/>
  <c r="G1032" i="958"/>
  <c r="G1031" i="958"/>
  <c r="G1030" i="958"/>
  <c r="G1029" i="958"/>
  <c r="G1028" i="958"/>
  <c r="G1027" i="958"/>
  <c r="I1026" i="958"/>
  <c r="I1025" i="958"/>
  <c r="I1017" i="958"/>
  <c r="I1016" i="958"/>
  <c r="I1015" i="958"/>
  <c r="I1012" i="958"/>
  <c r="I1011" i="958"/>
  <c r="I1010" i="958"/>
  <c r="I1009" i="958"/>
  <c r="I1008" i="958"/>
  <c r="I1007" i="958"/>
  <c r="I1006" i="958"/>
  <c r="I1005" i="958"/>
  <c r="I1004" i="958"/>
  <c r="I1003" i="958"/>
  <c r="I1002" i="958"/>
  <c r="I1001" i="958"/>
  <c r="I1000" i="958"/>
  <c r="I999" i="958"/>
  <c r="I998" i="958"/>
  <c r="I997" i="958"/>
  <c r="I996" i="958"/>
  <c r="I995" i="958"/>
  <c r="I994" i="958"/>
  <c r="I993" i="958"/>
  <c r="I992" i="958"/>
  <c r="I991" i="958"/>
  <c r="I990" i="958"/>
  <c r="I983" i="958"/>
  <c r="I982" i="958"/>
  <c r="I981" i="958"/>
  <c r="G981" i="958"/>
  <c r="I980" i="958"/>
  <c r="G980" i="958"/>
  <c r="I978" i="958"/>
  <c r="I977" i="958"/>
  <c r="I976" i="958"/>
  <c r="I975" i="958"/>
  <c r="I971" i="958"/>
  <c r="I979" i="958" s="1"/>
  <c r="C971" i="958"/>
  <c r="I970" i="958"/>
  <c r="I968" i="958"/>
  <c r="G935" i="958"/>
  <c r="G933" i="958"/>
  <c r="G932" i="958"/>
  <c r="G931" i="958"/>
  <c r="G930" i="958"/>
  <c r="G929" i="958"/>
  <c r="G928" i="958"/>
  <c r="I926" i="958"/>
  <c r="I925" i="958"/>
  <c r="I924" i="958"/>
  <c r="I923" i="958"/>
  <c r="I917" i="958"/>
  <c r="E917" i="958"/>
  <c r="C917" i="958"/>
  <c r="G916" i="958"/>
  <c r="G915" i="958"/>
  <c r="G914" i="958"/>
  <c r="G913" i="958"/>
  <c r="G912" i="958"/>
  <c r="G911" i="958"/>
  <c r="G910" i="958"/>
  <c r="G909" i="958"/>
  <c r="G908" i="958"/>
  <c r="I888" i="958"/>
  <c r="I887" i="958"/>
  <c r="I885" i="958"/>
  <c r="I884" i="958"/>
  <c r="I883" i="958"/>
  <c r="I882" i="958"/>
  <c r="G882" i="958"/>
  <c r="I881" i="958"/>
  <c r="I879" i="958"/>
  <c r="I878" i="958"/>
  <c r="I877" i="958"/>
  <c r="I876" i="958"/>
  <c r="I875" i="958"/>
  <c r="I874" i="958"/>
  <c r="I873" i="958"/>
  <c r="I872" i="958"/>
  <c r="I871" i="958"/>
  <c r="I870" i="958"/>
  <c r="I869" i="958"/>
  <c r="I867" i="958"/>
  <c r="I866" i="958"/>
  <c r="I865" i="958"/>
  <c r="I864" i="958"/>
  <c r="I863" i="958"/>
  <c r="C863" i="958"/>
  <c r="I862" i="958"/>
  <c r="I868" i="958" s="1"/>
  <c r="C862" i="958"/>
  <c r="I861" i="958"/>
  <c r="I860" i="958"/>
  <c r="I859" i="958"/>
  <c r="I854" i="958"/>
  <c r="I853" i="958"/>
  <c r="I852" i="958"/>
  <c r="I851" i="958"/>
  <c r="I850" i="958"/>
  <c r="I849" i="958"/>
  <c r="I848" i="958"/>
  <c r="I847" i="958"/>
  <c r="I846" i="958"/>
  <c r="I845" i="958"/>
  <c r="I844" i="958"/>
  <c r="I843" i="958"/>
  <c r="I841" i="958"/>
  <c r="I840" i="958"/>
  <c r="I839" i="958"/>
  <c r="I838" i="958"/>
  <c r="I837" i="958"/>
  <c r="I835" i="958"/>
  <c r="I834" i="958"/>
  <c r="I833" i="958"/>
  <c r="I832" i="958"/>
  <c r="I831" i="958"/>
  <c r="I830" i="958"/>
  <c r="I829" i="958"/>
  <c r="I828" i="958"/>
  <c r="I827" i="958"/>
  <c r="I819" i="958"/>
  <c r="I818" i="958"/>
  <c r="I817" i="958"/>
  <c r="I816" i="958"/>
  <c r="I815" i="958"/>
  <c r="I814" i="958"/>
  <c r="I813" i="958"/>
  <c r="I812" i="958"/>
  <c r="H811" i="958"/>
  <c r="I811" i="958" s="1"/>
  <c r="H810" i="958"/>
  <c r="I810" i="958" s="1"/>
  <c r="I809" i="958"/>
  <c r="I808" i="958"/>
  <c r="I807" i="958"/>
  <c r="N790" i="958"/>
  <c r="N789" i="958"/>
  <c r="N788" i="958"/>
  <c r="L788" i="958"/>
  <c r="N787" i="958"/>
  <c r="L787" i="958"/>
  <c r="N786" i="958"/>
  <c r="L786" i="958"/>
  <c r="N785" i="958"/>
  <c r="L785" i="958"/>
  <c r="I784" i="958"/>
  <c r="L784" i="958" s="1"/>
  <c r="G784" i="958"/>
  <c r="I783" i="958"/>
  <c r="L783" i="958" s="1"/>
  <c r="G783" i="958"/>
  <c r="I782" i="958"/>
  <c r="L782" i="958" s="1"/>
  <c r="G782" i="958"/>
  <c r="I781" i="958"/>
  <c r="G781" i="958"/>
  <c r="I780" i="958"/>
  <c r="G780" i="958"/>
  <c r="I779" i="958"/>
  <c r="N779" i="958" s="1"/>
  <c r="G779" i="958"/>
  <c r="I778" i="958"/>
  <c r="L778" i="958" s="1"/>
  <c r="G778" i="958"/>
  <c r="I777" i="958"/>
  <c r="N777" i="958" s="1"/>
  <c r="G777" i="958"/>
  <c r="I776" i="958"/>
  <c r="G776" i="958"/>
  <c r="N775" i="958"/>
  <c r="L775" i="958"/>
  <c r="N773" i="958"/>
  <c r="L773" i="958"/>
  <c r="N772" i="958"/>
  <c r="L772" i="958"/>
  <c r="N771" i="958"/>
  <c r="L771" i="958"/>
  <c r="N770" i="958"/>
  <c r="L770" i="958"/>
  <c r="N769" i="958"/>
  <c r="L769" i="958"/>
  <c r="G768" i="958"/>
  <c r="N767" i="958"/>
  <c r="L767" i="958"/>
  <c r="N766" i="958"/>
  <c r="L766" i="958"/>
  <c r="N765" i="958"/>
  <c r="L765" i="958"/>
  <c r="N764" i="958"/>
  <c r="L764" i="958"/>
  <c r="N763" i="958"/>
  <c r="L763" i="958"/>
  <c r="N762" i="958"/>
  <c r="L762" i="958"/>
  <c r="N761" i="958"/>
  <c r="L761" i="958"/>
  <c r="N760" i="958"/>
  <c r="L760" i="958"/>
  <c r="C759" i="958"/>
  <c r="F758" i="958"/>
  <c r="C758" i="958"/>
  <c r="I757" i="958"/>
  <c r="L757" i="958" s="1"/>
  <c r="H757" i="958"/>
  <c r="F757" i="958"/>
  <c r="N756" i="958"/>
  <c r="L756" i="958"/>
  <c r="I755" i="958"/>
  <c r="N755" i="958" s="1"/>
  <c r="H755" i="958"/>
  <c r="F755" i="958"/>
  <c r="G754" i="958"/>
  <c r="G753" i="958"/>
  <c r="G752" i="958"/>
  <c r="G751" i="958"/>
  <c r="G750" i="958"/>
  <c r="G749" i="958"/>
  <c r="G748" i="958"/>
  <c r="N747" i="958"/>
  <c r="L747" i="958"/>
  <c r="G746" i="958"/>
  <c r="N745" i="958"/>
  <c r="L745" i="958"/>
  <c r="C744" i="958"/>
  <c r="F743" i="958"/>
  <c r="C743" i="958"/>
  <c r="I742" i="958"/>
  <c r="H742" i="958"/>
  <c r="F742" i="958"/>
  <c r="N741" i="958"/>
  <c r="L741" i="958"/>
  <c r="I740" i="958"/>
  <c r="L740" i="958" s="1"/>
  <c r="H740" i="958"/>
  <c r="F740" i="958"/>
  <c r="G739" i="958"/>
  <c r="G738" i="958"/>
  <c r="G737" i="958"/>
  <c r="G736" i="958"/>
  <c r="G735" i="958"/>
  <c r="G734" i="958"/>
  <c r="G733" i="958"/>
  <c r="N732" i="958"/>
  <c r="L732" i="958"/>
  <c r="G731" i="958"/>
  <c r="N730" i="958"/>
  <c r="L730" i="958"/>
  <c r="C729" i="958"/>
  <c r="F728" i="958"/>
  <c r="C728" i="958"/>
  <c r="I727" i="958"/>
  <c r="N727" i="958" s="1"/>
  <c r="H727" i="958"/>
  <c r="F727" i="958"/>
  <c r="N726" i="958"/>
  <c r="L726" i="958"/>
  <c r="I725" i="958"/>
  <c r="N725" i="958" s="1"/>
  <c r="H725" i="958"/>
  <c r="F725" i="958"/>
  <c r="G724" i="958"/>
  <c r="G723" i="958"/>
  <c r="G722" i="958"/>
  <c r="G721" i="958"/>
  <c r="G720" i="958"/>
  <c r="G719" i="958"/>
  <c r="G718" i="958"/>
  <c r="N717" i="958"/>
  <c r="L717" i="958"/>
  <c r="G716" i="958"/>
  <c r="N715" i="958"/>
  <c r="L715" i="958"/>
  <c r="C714" i="958"/>
  <c r="F713" i="958"/>
  <c r="C713" i="958"/>
  <c r="I712" i="958"/>
  <c r="L712" i="958" s="1"/>
  <c r="H712" i="958"/>
  <c r="F712" i="958"/>
  <c r="N711" i="958"/>
  <c r="L711" i="958"/>
  <c r="I710" i="958"/>
  <c r="H710" i="958"/>
  <c r="F710" i="958"/>
  <c r="G709" i="958"/>
  <c r="G708" i="958"/>
  <c r="G707" i="958"/>
  <c r="G706" i="958"/>
  <c r="G705" i="958"/>
  <c r="G704" i="958"/>
  <c r="G703" i="958"/>
  <c r="N702" i="958"/>
  <c r="L702" i="958"/>
  <c r="G701" i="958"/>
  <c r="N700" i="958"/>
  <c r="L700" i="958"/>
  <c r="C699" i="958"/>
  <c r="F698" i="958"/>
  <c r="C698" i="958"/>
  <c r="I697" i="958"/>
  <c r="L697" i="958" s="1"/>
  <c r="H697" i="958"/>
  <c r="F697" i="958"/>
  <c r="I696" i="958"/>
  <c r="H696" i="958"/>
  <c r="F696" i="958"/>
  <c r="I695" i="958"/>
  <c r="H695" i="958"/>
  <c r="F695" i="958"/>
  <c r="G694" i="958"/>
  <c r="G693" i="958"/>
  <c r="N692" i="958"/>
  <c r="L692" i="958"/>
  <c r="G691" i="958"/>
  <c r="N690" i="958"/>
  <c r="L690" i="958"/>
  <c r="N689" i="958"/>
  <c r="L689" i="958"/>
  <c r="N688" i="958"/>
  <c r="L688" i="958"/>
  <c r="N687" i="958"/>
  <c r="L687" i="958"/>
  <c r="N686" i="958"/>
  <c r="L686" i="958"/>
  <c r="N685" i="958"/>
  <c r="L685" i="958"/>
  <c r="C684" i="958"/>
  <c r="F683" i="958"/>
  <c r="C683" i="958"/>
  <c r="I682" i="958"/>
  <c r="H682" i="958"/>
  <c r="F682" i="958"/>
  <c r="I681" i="958"/>
  <c r="L681" i="958" s="1"/>
  <c r="H681" i="958"/>
  <c r="F681" i="958"/>
  <c r="I680" i="958"/>
  <c r="N680" i="958" s="1"/>
  <c r="H680" i="958"/>
  <c r="F680" i="958"/>
  <c r="G679" i="958"/>
  <c r="G678" i="958"/>
  <c r="N677" i="958"/>
  <c r="L677" i="958"/>
  <c r="G676" i="958"/>
  <c r="N675" i="958"/>
  <c r="L675" i="958"/>
  <c r="N674" i="958"/>
  <c r="L674" i="958"/>
  <c r="N673" i="958"/>
  <c r="L673" i="958"/>
  <c r="N672" i="958"/>
  <c r="L672" i="958"/>
  <c r="N671" i="958"/>
  <c r="L671" i="958"/>
  <c r="N670" i="958"/>
  <c r="L670" i="958"/>
  <c r="C669" i="958"/>
  <c r="F668" i="958"/>
  <c r="C668" i="958"/>
  <c r="I667" i="958"/>
  <c r="L667" i="958" s="1"/>
  <c r="H667" i="958"/>
  <c r="F667" i="958"/>
  <c r="I666" i="958"/>
  <c r="H666" i="958"/>
  <c r="F666" i="958"/>
  <c r="I665" i="958"/>
  <c r="L665" i="958" s="1"/>
  <c r="H665" i="958"/>
  <c r="F665" i="958"/>
  <c r="G664" i="958"/>
  <c r="G663" i="958"/>
  <c r="N662" i="958"/>
  <c r="L662" i="958"/>
  <c r="G661" i="958"/>
  <c r="N660" i="958"/>
  <c r="L660" i="958"/>
  <c r="N659" i="958"/>
  <c r="L659" i="958"/>
  <c r="N658" i="958"/>
  <c r="L658" i="958"/>
  <c r="N657" i="958"/>
  <c r="L657" i="958"/>
  <c r="N656" i="958"/>
  <c r="L656" i="958"/>
  <c r="N655" i="958"/>
  <c r="L655" i="958"/>
  <c r="C654" i="958"/>
  <c r="F653" i="958"/>
  <c r="C653" i="958"/>
  <c r="I652" i="958"/>
  <c r="H652" i="958"/>
  <c r="F652" i="958"/>
  <c r="I651" i="958"/>
  <c r="N651" i="958" s="1"/>
  <c r="H651" i="958"/>
  <c r="F651" i="958"/>
  <c r="I650" i="958"/>
  <c r="N650" i="958" s="1"/>
  <c r="H650" i="958"/>
  <c r="F650" i="958"/>
  <c r="G649" i="958"/>
  <c r="G648" i="958"/>
  <c r="N647" i="958"/>
  <c r="L647" i="958"/>
  <c r="G646" i="958"/>
  <c r="N645" i="958"/>
  <c r="L645" i="958"/>
  <c r="N644" i="958"/>
  <c r="L644" i="958"/>
  <c r="N643" i="958"/>
  <c r="L643" i="958"/>
  <c r="N642" i="958"/>
  <c r="L642" i="958"/>
  <c r="N641" i="958"/>
  <c r="L641" i="958"/>
  <c r="N640" i="958"/>
  <c r="L640" i="958"/>
  <c r="C639" i="958"/>
  <c r="F638" i="958"/>
  <c r="C638" i="958"/>
  <c r="I637" i="958"/>
  <c r="H637" i="958"/>
  <c r="F637" i="958"/>
  <c r="I636" i="958"/>
  <c r="H636" i="958"/>
  <c r="F636" i="958"/>
  <c r="I635" i="958"/>
  <c r="H635" i="958"/>
  <c r="F635" i="958"/>
  <c r="G634" i="958"/>
  <c r="G633" i="958"/>
  <c r="N632" i="958"/>
  <c r="L632" i="958"/>
  <c r="G631" i="958"/>
  <c r="N630" i="958"/>
  <c r="L630" i="958"/>
  <c r="N629" i="958"/>
  <c r="L629" i="958"/>
  <c r="N628" i="958"/>
  <c r="L628" i="958"/>
  <c r="N627" i="958"/>
  <c r="L627" i="958"/>
  <c r="N626" i="958"/>
  <c r="L626" i="958"/>
  <c r="N625" i="958"/>
  <c r="L625" i="958"/>
  <c r="C624" i="958"/>
  <c r="F623" i="958"/>
  <c r="C623" i="958"/>
  <c r="I622" i="958"/>
  <c r="H622" i="958"/>
  <c r="F622" i="958"/>
  <c r="I621" i="958"/>
  <c r="N621" i="958" s="1"/>
  <c r="H621" i="958"/>
  <c r="F621" i="958"/>
  <c r="I620" i="958"/>
  <c r="H620" i="958"/>
  <c r="F620" i="958"/>
  <c r="G619" i="958"/>
  <c r="G618" i="958"/>
  <c r="N617" i="958"/>
  <c r="L617" i="958"/>
  <c r="G616" i="958"/>
  <c r="G615" i="958"/>
  <c r="G614" i="958"/>
  <c r="G613" i="958"/>
  <c r="I612" i="958"/>
  <c r="G612" i="958"/>
  <c r="N611" i="958"/>
  <c r="L611" i="958"/>
  <c r="N610" i="958"/>
  <c r="L610" i="958"/>
  <c r="C609" i="958"/>
  <c r="F608" i="958"/>
  <c r="C608" i="958"/>
  <c r="I607" i="958"/>
  <c r="N607" i="958" s="1"/>
  <c r="H607" i="958"/>
  <c r="F607" i="958"/>
  <c r="I606" i="958"/>
  <c r="H606" i="958"/>
  <c r="F606" i="958"/>
  <c r="I605" i="958"/>
  <c r="N605" i="958" s="1"/>
  <c r="H605" i="958"/>
  <c r="F605" i="958"/>
  <c r="G604" i="958"/>
  <c r="G603" i="958"/>
  <c r="N602" i="958"/>
  <c r="L602" i="958"/>
  <c r="G601" i="958"/>
  <c r="G600" i="958"/>
  <c r="G599" i="958"/>
  <c r="G598" i="958"/>
  <c r="I597" i="958"/>
  <c r="N597" i="958" s="1"/>
  <c r="G597" i="958"/>
  <c r="N596" i="958"/>
  <c r="L596" i="958"/>
  <c r="N595" i="958"/>
  <c r="L595" i="958"/>
  <c r="C594" i="958"/>
  <c r="F593" i="958"/>
  <c r="C593" i="958"/>
  <c r="I592" i="958"/>
  <c r="H592" i="958"/>
  <c r="F592" i="958"/>
  <c r="I591" i="958"/>
  <c r="N591" i="958" s="1"/>
  <c r="H591" i="958"/>
  <c r="F591" i="958"/>
  <c r="I590" i="958"/>
  <c r="L590" i="958" s="1"/>
  <c r="H590" i="958"/>
  <c r="F590" i="958"/>
  <c r="G589" i="958"/>
  <c r="G588" i="958"/>
  <c r="N587" i="958"/>
  <c r="L587" i="958"/>
  <c r="G586" i="958"/>
  <c r="G585" i="958"/>
  <c r="G584" i="958"/>
  <c r="G583" i="958"/>
  <c r="I582" i="958"/>
  <c r="N582" i="958" s="1"/>
  <c r="G582" i="958"/>
  <c r="N581" i="958"/>
  <c r="L581" i="958"/>
  <c r="N580" i="958"/>
  <c r="L580" i="958"/>
  <c r="C579" i="958"/>
  <c r="F578" i="958"/>
  <c r="C578" i="958"/>
  <c r="I577" i="958"/>
  <c r="H577" i="958"/>
  <c r="F577" i="958"/>
  <c r="I576" i="958"/>
  <c r="L576" i="958" s="1"/>
  <c r="H576" i="958"/>
  <c r="F576" i="958"/>
  <c r="I575" i="958"/>
  <c r="L575" i="958" s="1"/>
  <c r="H575" i="958"/>
  <c r="F575" i="958"/>
  <c r="G574" i="958"/>
  <c r="G573" i="958"/>
  <c r="N572" i="958"/>
  <c r="L572" i="958"/>
  <c r="G571" i="958"/>
  <c r="G570" i="958"/>
  <c r="G569" i="958"/>
  <c r="G568" i="958"/>
  <c r="I567" i="958"/>
  <c r="L567" i="958" s="1"/>
  <c r="G567" i="958"/>
  <c r="N566" i="958"/>
  <c r="L566" i="958"/>
  <c r="N565" i="958"/>
  <c r="L565" i="958"/>
  <c r="C564" i="958"/>
  <c r="F563" i="958"/>
  <c r="C563" i="958"/>
  <c r="I562" i="958"/>
  <c r="H562" i="958"/>
  <c r="F562" i="958"/>
  <c r="I561" i="958"/>
  <c r="L561" i="958" s="1"/>
  <c r="H561" i="958"/>
  <c r="F561" i="958"/>
  <c r="I560" i="958"/>
  <c r="H560" i="958"/>
  <c r="F560" i="958"/>
  <c r="G559" i="958"/>
  <c r="G558" i="958"/>
  <c r="N557" i="958"/>
  <c r="L557" i="958"/>
  <c r="G556" i="958"/>
  <c r="G555" i="958"/>
  <c r="G554" i="958"/>
  <c r="G553" i="958"/>
  <c r="I552" i="958"/>
  <c r="N552" i="958" s="1"/>
  <c r="G552" i="958"/>
  <c r="N551" i="958"/>
  <c r="L551" i="958"/>
  <c r="N550" i="958"/>
  <c r="L550" i="958"/>
  <c r="C549" i="958"/>
  <c r="N548" i="958"/>
  <c r="L548" i="958"/>
  <c r="N547" i="958"/>
  <c r="L547" i="958"/>
  <c r="N546" i="958"/>
  <c r="L546" i="958"/>
  <c r="N545" i="958"/>
  <c r="L545" i="958"/>
  <c r="I544" i="958"/>
  <c r="L544" i="958" s="1"/>
  <c r="G544" i="958"/>
  <c r="F543" i="958"/>
  <c r="I543" i="958" s="1"/>
  <c r="I542" i="958"/>
  <c r="N542" i="958" s="1"/>
  <c r="G542" i="958"/>
  <c r="I541" i="958"/>
  <c r="G541" i="958"/>
  <c r="I540" i="958"/>
  <c r="G540" i="958"/>
  <c r="I539" i="958"/>
  <c r="N539" i="958" s="1"/>
  <c r="G539" i="958"/>
  <c r="I538" i="958"/>
  <c r="L538" i="958" s="1"/>
  <c r="G538" i="958"/>
  <c r="I537" i="958"/>
  <c r="L537" i="958" s="1"/>
  <c r="G537" i="958"/>
  <c r="C537" i="958"/>
  <c r="I536" i="958"/>
  <c r="G536" i="958"/>
  <c r="C536" i="958"/>
  <c r="I535" i="958"/>
  <c r="N535" i="958" s="1"/>
  <c r="G535" i="958"/>
  <c r="N533" i="958"/>
  <c r="L533" i="958"/>
  <c r="N532" i="958"/>
  <c r="L532" i="958"/>
  <c r="N531" i="958"/>
  <c r="L531" i="958"/>
  <c r="N530" i="958"/>
  <c r="L530" i="958"/>
  <c r="G529" i="958"/>
  <c r="F528" i="958"/>
  <c r="I528" i="958" s="1"/>
  <c r="N527" i="958"/>
  <c r="L527" i="958"/>
  <c r="N526" i="958"/>
  <c r="L526" i="958"/>
  <c r="G525" i="958"/>
  <c r="G524" i="958"/>
  <c r="G523" i="958"/>
  <c r="N522" i="958"/>
  <c r="L522" i="958"/>
  <c r="N521" i="958"/>
  <c r="L521" i="958"/>
  <c r="G520" i="958"/>
  <c r="C519" i="958"/>
  <c r="F518" i="958"/>
  <c r="C518" i="958"/>
  <c r="H517" i="958"/>
  <c r="N516" i="958"/>
  <c r="L516" i="958"/>
  <c r="H516" i="958"/>
  <c r="H515" i="958"/>
  <c r="G514" i="958"/>
  <c r="N513" i="958"/>
  <c r="L513" i="958"/>
  <c r="G512" i="958"/>
  <c r="G511" i="958"/>
  <c r="G510" i="958"/>
  <c r="G509" i="958"/>
  <c r="G508" i="958"/>
  <c r="G507" i="958"/>
  <c r="C507" i="958"/>
  <c r="G506" i="958"/>
  <c r="C506" i="958"/>
  <c r="N505" i="958"/>
  <c r="L505" i="958"/>
  <c r="C504" i="958"/>
  <c r="F503" i="958"/>
  <c r="C503" i="958"/>
  <c r="H502" i="958"/>
  <c r="N501" i="958"/>
  <c r="L501" i="958"/>
  <c r="H501" i="958"/>
  <c r="H500" i="958"/>
  <c r="G499" i="958"/>
  <c r="N498" i="958"/>
  <c r="L498" i="958"/>
  <c r="G497" i="958"/>
  <c r="G496" i="958"/>
  <c r="G495" i="958"/>
  <c r="G494" i="958"/>
  <c r="G493" i="958"/>
  <c r="G492" i="958"/>
  <c r="C492" i="958"/>
  <c r="G491" i="958"/>
  <c r="C491" i="958"/>
  <c r="N490" i="958"/>
  <c r="L490" i="958"/>
  <c r="C489" i="958"/>
  <c r="F488" i="958"/>
  <c r="C488" i="958"/>
  <c r="H487" i="958"/>
  <c r="N486" i="958"/>
  <c r="L486" i="958"/>
  <c r="H486" i="958"/>
  <c r="H485" i="958"/>
  <c r="G484" i="958"/>
  <c r="N483" i="958"/>
  <c r="L483" i="958"/>
  <c r="G482" i="958"/>
  <c r="G481" i="958"/>
  <c r="G480" i="958"/>
  <c r="G479" i="958"/>
  <c r="G478" i="958"/>
  <c r="G477" i="958"/>
  <c r="C477" i="958"/>
  <c r="G476" i="958"/>
  <c r="C476" i="958"/>
  <c r="N475" i="958"/>
  <c r="L475" i="958"/>
  <c r="C474" i="958"/>
  <c r="F473" i="958"/>
  <c r="C473" i="958"/>
  <c r="H472" i="958"/>
  <c r="N471" i="958"/>
  <c r="L471" i="958"/>
  <c r="H471" i="958"/>
  <c r="H470" i="958"/>
  <c r="G469" i="958"/>
  <c r="N468" i="958"/>
  <c r="L468" i="958"/>
  <c r="G467" i="958"/>
  <c r="G466" i="958"/>
  <c r="G465" i="958"/>
  <c r="G464" i="958"/>
  <c r="G463" i="958"/>
  <c r="G462" i="958"/>
  <c r="C462" i="958"/>
  <c r="G461" i="958"/>
  <c r="C461" i="958"/>
  <c r="N460" i="958"/>
  <c r="L460" i="958"/>
  <c r="C459" i="958"/>
  <c r="F458" i="958"/>
  <c r="C458" i="958"/>
  <c r="H457" i="958"/>
  <c r="N456" i="958"/>
  <c r="L456" i="958"/>
  <c r="H456" i="958"/>
  <c r="H455" i="958"/>
  <c r="G454" i="958"/>
  <c r="N453" i="958"/>
  <c r="L453" i="958"/>
  <c r="N452" i="958"/>
  <c r="L452" i="958"/>
  <c r="G451" i="958"/>
  <c r="G450" i="958"/>
  <c r="G449" i="958"/>
  <c r="G448" i="958"/>
  <c r="G447" i="958"/>
  <c r="C447" i="958"/>
  <c r="N446" i="958"/>
  <c r="L446" i="958"/>
  <c r="G445" i="958"/>
  <c r="C444" i="958"/>
  <c r="F443" i="958"/>
  <c r="C443" i="958"/>
  <c r="H442" i="958"/>
  <c r="N441" i="958"/>
  <c r="L441" i="958"/>
  <c r="H441" i="958"/>
  <c r="H440" i="958"/>
  <c r="G439" i="958"/>
  <c r="N438" i="958"/>
  <c r="L438" i="958"/>
  <c r="N437" i="958"/>
  <c r="L437" i="958"/>
  <c r="G436" i="958"/>
  <c r="G435" i="958"/>
  <c r="G434" i="958"/>
  <c r="G433" i="958"/>
  <c r="G432" i="958"/>
  <c r="C432" i="958"/>
  <c r="AQ431" i="958"/>
  <c r="AP431" i="958"/>
  <c r="N431" i="958"/>
  <c r="L431" i="958"/>
  <c r="AQ430" i="958"/>
  <c r="AP430" i="958"/>
  <c r="G430" i="958"/>
  <c r="AQ429" i="958"/>
  <c r="AP429" i="958"/>
  <c r="C429" i="958"/>
  <c r="AQ428" i="958"/>
  <c r="AP428" i="958"/>
  <c r="F428" i="958"/>
  <c r="C428" i="958"/>
  <c r="AQ427" i="958"/>
  <c r="AP427" i="958"/>
  <c r="H427" i="958"/>
  <c r="AQ426" i="958"/>
  <c r="AP426" i="958"/>
  <c r="N426" i="958"/>
  <c r="L426" i="958"/>
  <c r="H426" i="958"/>
  <c r="AQ425" i="958"/>
  <c r="AP425" i="958"/>
  <c r="H425" i="958"/>
  <c r="AQ424" i="958"/>
  <c r="AP424" i="958"/>
  <c r="G424" i="958"/>
  <c r="AQ423" i="958"/>
  <c r="AP423" i="958"/>
  <c r="N423" i="958"/>
  <c r="L423" i="958"/>
  <c r="AQ422" i="958"/>
  <c r="AP422" i="958"/>
  <c r="N422" i="958"/>
  <c r="L422" i="958"/>
  <c r="AQ421" i="958"/>
  <c r="AP421" i="958"/>
  <c r="G421" i="958"/>
  <c r="AQ420" i="958"/>
  <c r="AP420" i="958"/>
  <c r="G420" i="958"/>
  <c r="AQ419" i="958"/>
  <c r="AP419" i="958"/>
  <c r="G419" i="958"/>
  <c r="AQ418" i="958"/>
  <c r="AP418" i="958"/>
  <c r="G418" i="958"/>
  <c r="AQ417" i="958"/>
  <c r="AP417" i="958"/>
  <c r="G417" i="958"/>
  <c r="C417" i="958"/>
  <c r="AQ416" i="958"/>
  <c r="AP416" i="958"/>
  <c r="N416" i="958"/>
  <c r="L416" i="958"/>
  <c r="AQ415" i="958"/>
  <c r="AP415" i="958"/>
  <c r="G415" i="958"/>
  <c r="AQ414" i="958"/>
  <c r="AP414" i="958"/>
  <c r="C414" i="958"/>
  <c r="AQ413" i="958"/>
  <c r="AP413" i="958"/>
  <c r="F413" i="958"/>
  <c r="C413" i="958"/>
  <c r="AQ412" i="958"/>
  <c r="AP412" i="958"/>
  <c r="H412" i="958"/>
  <c r="AQ411" i="958"/>
  <c r="AP411" i="958"/>
  <c r="N411" i="958"/>
  <c r="L411" i="958"/>
  <c r="H411" i="958"/>
  <c r="AQ410" i="958"/>
  <c r="AP410" i="958"/>
  <c r="H410" i="958"/>
  <c r="AQ409" i="958"/>
  <c r="AP409" i="958"/>
  <c r="G409" i="958"/>
  <c r="AQ408" i="958"/>
  <c r="AP408" i="958"/>
  <c r="N408" i="958"/>
  <c r="L408" i="958"/>
  <c r="AQ407" i="958"/>
  <c r="AP407" i="958"/>
  <c r="N407" i="958"/>
  <c r="L407" i="958"/>
  <c r="AQ406" i="958"/>
  <c r="AP406" i="958"/>
  <c r="G406" i="958"/>
  <c r="AQ405" i="958"/>
  <c r="AP405" i="958"/>
  <c r="G405" i="958"/>
  <c r="AQ404" i="958"/>
  <c r="AP404" i="958"/>
  <c r="G404" i="958"/>
  <c r="AQ403" i="958"/>
  <c r="AP403" i="958"/>
  <c r="G403" i="958"/>
  <c r="AQ402" i="958"/>
  <c r="AP402" i="958"/>
  <c r="G402" i="958"/>
  <c r="C402" i="958"/>
  <c r="AQ401" i="958"/>
  <c r="AP401" i="958"/>
  <c r="N401" i="958"/>
  <c r="L401" i="958"/>
  <c r="AQ400" i="958"/>
  <c r="AP400" i="958"/>
  <c r="G400" i="958"/>
  <c r="AQ399" i="958"/>
  <c r="AP399" i="958"/>
  <c r="C399" i="958"/>
  <c r="AQ398" i="958"/>
  <c r="AP398" i="958"/>
  <c r="F398" i="958"/>
  <c r="C398" i="958"/>
  <c r="AQ397" i="958"/>
  <c r="AP397" i="958"/>
  <c r="H397" i="958"/>
  <c r="AQ396" i="958"/>
  <c r="AP396" i="958"/>
  <c r="N396" i="958"/>
  <c r="L396" i="958"/>
  <c r="H396" i="958"/>
  <c r="AQ395" i="958"/>
  <c r="AP395" i="958"/>
  <c r="H395" i="958"/>
  <c r="AQ394" i="958"/>
  <c r="AP394" i="958"/>
  <c r="G394" i="958"/>
  <c r="AQ393" i="958"/>
  <c r="AP393" i="958"/>
  <c r="N393" i="958"/>
  <c r="L393" i="958"/>
  <c r="AQ392" i="958"/>
  <c r="AP392" i="958"/>
  <c r="N392" i="958"/>
  <c r="L392" i="958"/>
  <c r="AQ391" i="958"/>
  <c r="AP391" i="958"/>
  <c r="G391" i="958"/>
  <c r="AQ390" i="958"/>
  <c r="AP390" i="958"/>
  <c r="G390" i="958"/>
  <c r="AQ389" i="958"/>
  <c r="AP389" i="958"/>
  <c r="G389" i="958"/>
  <c r="AQ388" i="958"/>
  <c r="AP388" i="958"/>
  <c r="G388" i="958"/>
  <c r="AQ387" i="958"/>
  <c r="AP387" i="958"/>
  <c r="G387" i="958"/>
  <c r="C387" i="958"/>
  <c r="N386" i="958"/>
  <c r="L386" i="958"/>
  <c r="G385" i="958"/>
  <c r="C384" i="958"/>
  <c r="F383" i="958"/>
  <c r="C383" i="958"/>
  <c r="H382" i="958"/>
  <c r="H381" i="958"/>
  <c r="H380" i="958"/>
  <c r="G379" i="958"/>
  <c r="N378" i="958"/>
  <c r="L378" i="958"/>
  <c r="N377" i="958"/>
  <c r="L377" i="958"/>
  <c r="G376" i="958"/>
  <c r="G375" i="958"/>
  <c r="G374" i="958"/>
  <c r="G373" i="958"/>
  <c r="G372" i="958"/>
  <c r="C372" i="958"/>
  <c r="N371" i="958"/>
  <c r="L371" i="958"/>
  <c r="G370" i="958"/>
  <c r="C369" i="958"/>
  <c r="F368" i="958"/>
  <c r="C368" i="958"/>
  <c r="H367" i="958"/>
  <c r="H366" i="958"/>
  <c r="H365" i="958"/>
  <c r="G364" i="958"/>
  <c r="N363" i="958"/>
  <c r="L363" i="958"/>
  <c r="N362" i="958"/>
  <c r="L362" i="958"/>
  <c r="G361" i="958"/>
  <c r="G360" i="958"/>
  <c r="G359" i="958"/>
  <c r="G358" i="958"/>
  <c r="G357" i="958"/>
  <c r="C357" i="958"/>
  <c r="N356" i="958"/>
  <c r="L356" i="958"/>
  <c r="G355" i="958"/>
  <c r="C354" i="958"/>
  <c r="F353" i="958"/>
  <c r="C353" i="958"/>
  <c r="H352" i="958"/>
  <c r="H351" i="958"/>
  <c r="H350" i="958"/>
  <c r="G349" i="958"/>
  <c r="N348" i="958"/>
  <c r="L348" i="958"/>
  <c r="N347" i="958"/>
  <c r="L347" i="958"/>
  <c r="G346" i="958"/>
  <c r="G345" i="958"/>
  <c r="G344" i="958"/>
  <c r="G343" i="958"/>
  <c r="G342" i="958"/>
  <c r="C342" i="958"/>
  <c r="N341" i="958"/>
  <c r="L341" i="958"/>
  <c r="G340" i="958"/>
  <c r="C339" i="958"/>
  <c r="F338" i="958"/>
  <c r="C338" i="958"/>
  <c r="H337" i="958"/>
  <c r="H336" i="958"/>
  <c r="H335" i="958"/>
  <c r="G334" i="958"/>
  <c r="N333" i="958"/>
  <c r="L333" i="958"/>
  <c r="N332" i="958"/>
  <c r="L332" i="958"/>
  <c r="G331" i="958"/>
  <c r="G330" i="958"/>
  <c r="G329" i="958"/>
  <c r="G328" i="958"/>
  <c r="G327" i="958"/>
  <c r="C327" i="958"/>
  <c r="N326" i="958"/>
  <c r="L326" i="958"/>
  <c r="G325" i="958"/>
  <c r="C324" i="958"/>
  <c r="F323" i="958"/>
  <c r="C323" i="958"/>
  <c r="H322" i="958"/>
  <c r="H321" i="958"/>
  <c r="H320" i="958"/>
  <c r="G319" i="958"/>
  <c r="N318" i="958"/>
  <c r="L318" i="958"/>
  <c r="N317" i="958"/>
  <c r="L317" i="958"/>
  <c r="G316" i="958"/>
  <c r="G315" i="958"/>
  <c r="G314" i="958"/>
  <c r="G313" i="958"/>
  <c r="G312" i="958"/>
  <c r="C312" i="958"/>
  <c r="N311" i="958"/>
  <c r="L311" i="958"/>
  <c r="G310" i="958"/>
  <c r="C309" i="958"/>
  <c r="N308" i="958"/>
  <c r="N307" i="958"/>
  <c r="N306" i="958"/>
  <c r="N305" i="958"/>
  <c r="N304" i="958"/>
  <c r="N303" i="958"/>
  <c r="N302" i="958"/>
  <c r="N301" i="958"/>
  <c r="N300" i="958"/>
  <c r="N299" i="958"/>
  <c r="E295" i="958"/>
  <c r="D295" i="958"/>
  <c r="C295" i="958"/>
  <c r="E294" i="958"/>
  <c r="D294" i="958"/>
  <c r="C294" i="958"/>
  <c r="E293" i="958"/>
  <c r="D293" i="958"/>
  <c r="C293" i="958"/>
  <c r="E292" i="958"/>
  <c r="D292" i="958"/>
  <c r="C292" i="958"/>
  <c r="E291" i="958"/>
  <c r="D291" i="958"/>
  <c r="C291" i="958"/>
  <c r="E290" i="958"/>
  <c r="D290" i="958"/>
  <c r="C290" i="958"/>
  <c r="E289" i="958"/>
  <c r="D289" i="958"/>
  <c r="C289" i="958"/>
  <c r="E288" i="958"/>
  <c r="D288" i="958"/>
  <c r="C288" i="958"/>
  <c r="E287" i="958"/>
  <c r="D287" i="958"/>
  <c r="C287" i="958"/>
  <c r="E286" i="958"/>
  <c r="D286" i="958"/>
  <c r="C286" i="958"/>
  <c r="AC285" i="958"/>
  <c r="AA285" i="958"/>
  <c r="Y285" i="958"/>
  <c r="E285" i="958"/>
  <c r="D285" i="958"/>
  <c r="C285" i="958"/>
  <c r="AC284" i="958"/>
  <c r="AA284" i="958"/>
  <c r="Y284" i="958"/>
  <c r="E284" i="958"/>
  <c r="D284" i="958"/>
  <c r="C284" i="958"/>
  <c r="AC283" i="958"/>
  <c r="AA283" i="958"/>
  <c r="Y283" i="958"/>
  <c r="E283" i="958"/>
  <c r="D283" i="958"/>
  <c r="C283" i="958"/>
  <c r="AC282" i="958"/>
  <c r="AA282" i="958"/>
  <c r="Y282" i="958"/>
  <c r="E282" i="958"/>
  <c r="D282" i="958"/>
  <c r="C282" i="958"/>
  <c r="AC281" i="958"/>
  <c r="AA281" i="958"/>
  <c r="Y281" i="958"/>
  <c r="E281" i="958"/>
  <c r="D281" i="958"/>
  <c r="C281" i="958"/>
  <c r="AC280" i="958"/>
  <c r="AA280" i="958"/>
  <c r="Y280" i="958"/>
  <c r="E280" i="958"/>
  <c r="D280" i="958"/>
  <c r="C280" i="958"/>
  <c r="AC279" i="958"/>
  <c r="AA279" i="958"/>
  <c r="Y279" i="958"/>
  <c r="E279" i="958"/>
  <c r="D279" i="958"/>
  <c r="C279" i="958"/>
  <c r="AC278" i="958"/>
  <c r="AA278" i="958"/>
  <c r="Y278" i="958"/>
  <c r="E278" i="958"/>
  <c r="D278" i="958"/>
  <c r="C278" i="958"/>
  <c r="AC277" i="958"/>
  <c r="AA277" i="958"/>
  <c r="Y277" i="958"/>
  <c r="E277" i="958"/>
  <c r="D277" i="958"/>
  <c r="C277" i="958"/>
  <c r="AC276" i="958"/>
  <c r="AA276" i="958"/>
  <c r="Y276" i="958"/>
  <c r="E276" i="958"/>
  <c r="D276" i="958"/>
  <c r="C276" i="958"/>
  <c r="AC275" i="958"/>
  <c r="AA275" i="958"/>
  <c r="Y275" i="958"/>
  <c r="E275" i="958"/>
  <c r="D275" i="958"/>
  <c r="C275" i="958"/>
  <c r="AC274" i="958"/>
  <c r="AA274" i="958"/>
  <c r="Y274" i="958"/>
  <c r="E274" i="958"/>
  <c r="D274" i="958"/>
  <c r="C274" i="958"/>
  <c r="AC273" i="958"/>
  <c r="AA273" i="958"/>
  <c r="Y273" i="958"/>
  <c r="E273" i="958"/>
  <c r="D273" i="958"/>
  <c r="C273" i="958"/>
  <c r="AC272" i="958"/>
  <c r="AA272" i="958"/>
  <c r="Y272" i="958"/>
  <c r="E272" i="958"/>
  <c r="D272" i="958"/>
  <c r="C272" i="958"/>
  <c r="AC271" i="958"/>
  <c r="AA271" i="958"/>
  <c r="Y271" i="958"/>
  <c r="E271" i="958"/>
  <c r="D271" i="958"/>
  <c r="C271" i="958"/>
  <c r="AC270" i="958"/>
  <c r="AA270" i="958"/>
  <c r="Y270" i="958"/>
  <c r="E270" i="958"/>
  <c r="D270" i="958"/>
  <c r="C270" i="958"/>
  <c r="AC269" i="958"/>
  <c r="AA269" i="958"/>
  <c r="Y269" i="958"/>
  <c r="E269" i="958"/>
  <c r="D269" i="958"/>
  <c r="C269" i="958"/>
  <c r="AC268" i="958"/>
  <c r="AA268" i="958"/>
  <c r="Y268" i="958"/>
  <c r="E268" i="958"/>
  <c r="D268" i="958"/>
  <c r="C268" i="958"/>
  <c r="AC267" i="958"/>
  <c r="AA267" i="958"/>
  <c r="Y267" i="958"/>
  <c r="E267" i="958"/>
  <c r="D267" i="958"/>
  <c r="C267" i="958"/>
  <c r="AC266" i="958"/>
  <c r="AA266" i="958"/>
  <c r="Y266" i="958"/>
  <c r="E266" i="958"/>
  <c r="D266" i="958"/>
  <c r="C266" i="958"/>
  <c r="AC265" i="958"/>
  <c r="AA265" i="958"/>
  <c r="Y265" i="958"/>
  <c r="E265" i="958"/>
  <c r="D265" i="958"/>
  <c r="C265" i="958"/>
  <c r="AC264" i="958"/>
  <c r="AA264" i="958"/>
  <c r="Y264" i="958"/>
  <c r="E264" i="958"/>
  <c r="D264" i="958"/>
  <c r="C264" i="958"/>
  <c r="AC263" i="958"/>
  <c r="AA263" i="958"/>
  <c r="Y263" i="958"/>
  <c r="E263" i="958"/>
  <c r="D263" i="958"/>
  <c r="C263" i="958"/>
  <c r="AC262" i="958"/>
  <c r="AA262" i="958"/>
  <c r="Y262" i="958"/>
  <c r="E262" i="958"/>
  <c r="D262" i="958"/>
  <c r="C262" i="958"/>
  <c r="AC261" i="958"/>
  <c r="AA261" i="958"/>
  <c r="Y261" i="958"/>
  <c r="E261" i="958"/>
  <c r="D261" i="958"/>
  <c r="C261" i="958"/>
  <c r="AC260" i="958"/>
  <c r="AA260" i="958"/>
  <c r="Y260" i="958"/>
  <c r="E260" i="958"/>
  <c r="D260" i="958"/>
  <c r="C260" i="958"/>
  <c r="AC259" i="958"/>
  <c r="AA259" i="958"/>
  <c r="Y259" i="958"/>
  <c r="E259" i="958"/>
  <c r="D259" i="958"/>
  <c r="C259" i="958"/>
  <c r="AC258" i="958"/>
  <c r="AA258" i="958"/>
  <c r="Y258" i="958"/>
  <c r="E258" i="958"/>
  <c r="D258" i="958"/>
  <c r="C258" i="958"/>
  <c r="AC257" i="958"/>
  <c r="AA257" i="958"/>
  <c r="Y257" i="958"/>
  <c r="E257" i="958"/>
  <c r="D257" i="958"/>
  <c r="C257" i="958"/>
  <c r="AC256" i="958"/>
  <c r="AA256" i="958"/>
  <c r="Y256" i="958"/>
  <c r="E256" i="958"/>
  <c r="D256" i="958"/>
  <c r="C256" i="958"/>
  <c r="AC255" i="958"/>
  <c r="AA255" i="958"/>
  <c r="Y255" i="958"/>
  <c r="E255" i="958"/>
  <c r="D255" i="958"/>
  <c r="C255" i="958"/>
  <c r="AC254" i="958"/>
  <c r="AA254" i="958"/>
  <c r="Y254" i="958"/>
  <c r="E254" i="958"/>
  <c r="D254" i="958"/>
  <c r="C254" i="958"/>
  <c r="AC253" i="958"/>
  <c r="AA253" i="958"/>
  <c r="Y253" i="958"/>
  <c r="E253" i="958"/>
  <c r="D253" i="958"/>
  <c r="C253" i="958"/>
  <c r="AC252" i="958"/>
  <c r="AA252" i="958"/>
  <c r="Y252" i="958"/>
  <c r="E252" i="958"/>
  <c r="D252" i="958"/>
  <c r="C252" i="958"/>
  <c r="AC251" i="958"/>
  <c r="AA251" i="958"/>
  <c r="Y251" i="958"/>
  <c r="E251" i="958"/>
  <c r="D251" i="958"/>
  <c r="C251" i="958"/>
  <c r="AC250" i="958"/>
  <c r="AA250" i="958"/>
  <c r="Y250" i="958"/>
  <c r="E250" i="958"/>
  <c r="D250" i="958"/>
  <c r="C250" i="958"/>
  <c r="AC249" i="958"/>
  <c r="AA249" i="958"/>
  <c r="Y249" i="958"/>
  <c r="E249" i="958"/>
  <c r="D249" i="958"/>
  <c r="C249" i="958"/>
  <c r="AC248" i="958"/>
  <c r="AA248" i="958"/>
  <c r="Y248" i="958"/>
  <c r="E248" i="958"/>
  <c r="D248" i="958"/>
  <c r="C248" i="958"/>
  <c r="AC247" i="958"/>
  <c r="AA247" i="958"/>
  <c r="Y247" i="958"/>
  <c r="E247" i="958"/>
  <c r="D247" i="958"/>
  <c r="C247" i="958"/>
  <c r="AC246" i="958"/>
  <c r="AA246" i="958"/>
  <c r="Y246" i="958"/>
  <c r="E246" i="958"/>
  <c r="D246" i="958"/>
  <c r="C246" i="958"/>
  <c r="AC245" i="958"/>
  <c r="AA245" i="958"/>
  <c r="Y245" i="958"/>
  <c r="E245" i="958"/>
  <c r="D245" i="958"/>
  <c r="C245" i="958"/>
  <c r="AC244" i="958"/>
  <c r="AA244" i="958"/>
  <c r="Y244" i="958"/>
  <c r="E244" i="958"/>
  <c r="D244" i="958"/>
  <c r="C244" i="958"/>
  <c r="AC243" i="958"/>
  <c r="AA243" i="958"/>
  <c r="Y243" i="958"/>
  <c r="E243" i="958"/>
  <c r="D243" i="958"/>
  <c r="C243" i="958"/>
  <c r="AC242" i="958"/>
  <c r="AA242" i="958"/>
  <c r="Y242" i="958"/>
  <c r="E242" i="958"/>
  <c r="D242" i="958"/>
  <c r="C242" i="958"/>
  <c r="AC241" i="958"/>
  <c r="AA241" i="958"/>
  <c r="Y241" i="958"/>
  <c r="E241" i="958"/>
  <c r="D241" i="958"/>
  <c r="C241" i="958"/>
  <c r="AC240" i="958"/>
  <c r="AA240" i="958"/>
  <c r="Y240" i="958"/>
  <c r="E240" i="958"/>
  <c r="D240" i="958"/>
  <c r="C240" i="958"/>
  <c r="AC239" i="958"/>
  <c r="AA239" i="958"/>
  <c r="Y239" i="958"/>
  <c r="E239" i="958"/>
  <c r="D239" i="958"/>
  <c r="C239" i="958"/>
  <c r="AC238" i="958"/>
  <c r="AA238" i="958"/>
  <c r="Y238" i="958"/>
  <c r="E238" i="958"/>
  <c r="D238" i="958"/>
  <c r="C238" i="958"/>
  <c r="AC237" i="958"/>
  <c r="AA237" i="958"/>
  <c r="Y237" i="958"/>
  <c r="V237" i="958"/>
  <c r="S237" i="958"/>
  <c r="P237" i="958"/>
  <c r="E237" i="958"/>
  <c r="D237" i="958"/>
  <c r="C237" i="958"/>
  <c r="AC236" i="958"/>
  <c r="AA236" i="958"/>
  <c r="Y236" i="958"/>
  <c r="V236" i="958"/>
  <c r="S236" i="958"/>
  <c r="P236" i="958"/>
  <c r="E236" i="958"/>
  <c r="D236" i="958"/>
  <c r="C236" i="958"/>
  <c r="AC235" i="958"/>
  <c r="AA235" i="958"/>
  <c r="Y235" i="958"/>
  <c r="V235" i="958"/>
  <c r="S235" i="958"/>
  <c r="P235" i="958"/>
  <c r="E235" i="958"/>
  <c r="D235" i="958"/>
  <c r="C235" i="958"/>
  <c r="AC234" i="958"/>
  <c r="AA234" i="958"/>
  <c r="Y234" i="958"/>
  <c r="V234" i="958"/>
  <c r="S234" i="958"/>
  <c r="P234" i="958"/>
  <c r="E234" i="958"/>
  <c r="D234" i="958"/>
  <c r="C234" i="958"/>
  <c r="AC233" i="958"/>
  <c r="AA233" i="958"/>
  <c r="Y233" i="958"/>
  <c r="E233" i="958"/>
  <c r="D233" i="958"/>
  <c r="C233" i="958"/>
  <c r="W232" i="958"/>
  <c r="V232" i="958"/>
  <c r="T232" i="958"/>
  <c r="S232" i="958"/>
  <c r="Q232" i="958"/>
  <c r="P232" i="958"/>
  <c r="E232" i="958"/>
  <c r="D232" i="958"/>
  <c r="C232" i="958"/>
  <c r="E231" i="958"/>
  <c r="D231" i="958"/>
  <c r="C231" i="958"/>
  <c r="AC230" i="958"/>
  <c r="AD251" i="958" s="1"/>
  <c r="AA230" i="958"/>
  <c r="AB238" i="958" s="1"/>
  <c r="Y230" i="958"/>
  <c r="Z238" i="958" s="1"/>
  <c r="E230" i="958"/>
  <c r="D230" i="958"/>
  <c r="C230" i="958"/>
  <c r="E229" i="958"/>
  <c r="D229" i="958"/>
  <c r="C229" i="958"/>
  <c r="E228" i="958"/>
  <c r="D228" i="958"/>
  <c r="C228" i="958"/>
  <c r="E227" i="958"/>
  <c r="D227" i="958"/>
  <c r="C227" i="958"/>
  <c r="E226" i="958"/>
  <c r="D226" i="958"/>
  <c r="C226" i="958"/>
  <c r="I225" i="958"/>
  <c r="N225" i="958" s="1"/>
  <c r="E225" i="958"/>
  <c r="D225" i="958"/>
  <c r="C225" i="958"/>
  <c r="N224" i="958"/>
  <c r="Y223" i="958"/>
  <c r="N223" i="958"/>
  <c r="Y222" i="958"/>
  <c r="N222" i="958"/>
  <c r="N221" i="958"/>
  <c r="N220" i="958"/>
  <c r="N219" i="958"/>
  <c r="N218" i="958"/>
  <c r="N217" i="958"/>
  <c r="J216" i="958"/>
  <c r="I216" i="958"/>
  <c r="N216" i="958" s="1"/>
  <c r="E216" i="958"/>
  <c r="D216" i="958"/>
  <c r="C216" i="958"/>
  <c r="J215" i="958"/>
  <c r="I215" i="958"/>
  <c r="E215" i="958"/>
  <c r="D215" i="958"/>
  <c r="C215" i="958"/>
  <c r="J214" i="958"/>
  <c r="I214" i="958"/>
  <c r="N214" i="958" s="1"/>
  <c r="E214" i="958"/>
  <c r="D214" i="958"/>
  <c r="C214" i="958"/>
  <c r="J213" i="958"/>
  <c r="I213" i="958"/>
  <c r="N213" i="958" s="1"/>
  <c r="E213" i="958"/>
  <c r="D213" i="958"/>
  <c r="C213" i="958"/>
  <c r="J212" i="958"/>
  <c r="I212" i="958"/>
  <c r="N212" i="958" s="1"/>
  <c r="E212" i="958"/>
  <c r="D212" i="958"/>
  <c r="C212" i="958"/>
  <c r="J211" i="958"/>
  <c r="I211" i="958"/>
  <c r="N211" i="958" s="1"/>
  <c r="E211" i="958"/>
  <c r="D211" i="958"/>
  <c r="C211" i="958"/>
  <c r="J210" i="958"/>
  <c r="I210" i="958"/>
  <c r="N210" i="958" s="1"/>
  <c r="E210" i="958"/>
  <c r="D210" i="958"/>
  <c r="C210" i="958"/>
  <c r="J209" i="958"/>
  <c r="I209" i="958"/>
  <c r="N209" i="958" s="1"/>
  <c r="E209" i="958"/>
  <c r="D209" i="958"/>
  <c r="C209" i="958"/>
  <c r="J208" i="958"/>
  <c r="I208" i="958"/>
  <c r="N208" i="958" s="1"/>
  <c r="E208" i="958"/>
  <c r="D208" i="958"/>
  <c r="C208" i="958"/>
  <c r="J207" i="958"/>
  <c r="I207" i="958"/>
  <c r="N207" i="958" s="1"/>
  <c r="E207" i="958"/>
  <c r="D207" i="958"/>
  <c r="C207" i="958"/>
  <c r="J206" i="958"/>
  <c r="I206" i="958"/>
  <c r="N206" i="958" s="1"/>
  <c r="E206" i="958"/>
  <c r="D206" i="958"/>
  <c r="C206" i="958"/>
  <c r="J205" i="958"/>
  <c r="I205" i="958"/>
  <c r="N205" i="958" s="1"/>
  <c r="E205" i="958"/>
  <c r="D205" i="958"/>
  <c r="C205" i="958"/>
  <c r="J204" i="958"/>
  <c r="I204" i="958"/>
  <c r="N204" i="958" s="1"/>
  <c r="E204" i="958"/>
  <c r="D204" i="958"/>
  <c r="C204" i="958"/>
  <c r="J203" i="958"/>
  <c r="I203" i="958"/>
  <c r="N203" i="958" s="1"/>
  <c r="E203" i="958"/>
  <c r="D203" i="958"/>
  <c r="C203" i="958"/>
  <c r="J202" i="958"/>
  <c r="I202" i="958"/>
  <c r="N202" i="958" s="1"/>
  <c r="E202" i="958"/>
  <c r="D202" i="958"/>
  <c r="C202" i="958"/>
  <c r="J201" i="958"/>
  <c r="I201" i="958"/>
  <c r="N201" i="958" s="1"/>
  <c r="E201" i="958"/>
  <c r="D201" i="958"/>
  <c r="C201" i="958"/>
  <c r="J200" i="958"/>
  <c r="I200" i="958"/>
  <c r="N200" i="958" s="1"/>
  <c r="E200" i="958"/>
  <c r="D200" i="958"/>
  <c r="C200" i="958"/>
  <c r="J199" i="958"/>
  <c r="I199" i="958"/>
  <c r="N199" i="958" s="1"/>
  <c r="E199" i="958"/>
  <c r="D199" i="958"/>
  <c r="C199" i="958"/>
  <c r="J198" i="958"/>
  <c r="I198" i="958"/>
  <c r="N198" i="958" s="1"/>
  <c r="E198" i="958"/>
  <c r="D198" i="958"/>
  <c r="C198" i="958"/>
  <c r="J197" i="958"/>
  <c r="I197" i="958"/>
  <c r="N197" i="958" s="1"/>
  <c r="E197" i="958"/>
  <c r="D197" i="958"/>
  <c r="C197" i="958"/>
  <c r="J196" i="958"/>
  <c r="I196" i="958"/>
  <c r="N196" i="958" s="1"/>
  <c r="E196" i="958"/>
  <c r="D196" i="958"/>
  <c r="C196" i="958"/>
  <c r="J195" i="958"/>
  <c r="I195" i="958"/>
  <c r="N195" i="958" s="1"/>
  <c r="E195" i="958"/>
  <c r="D195" i="958"/>
  <c r="C195" i="958"/>
  <c r="J194" i="958"/>
  <c r="I194" i="958"/>
  <c r="N194" i="958" s="1"/>
  <c r="E194" i="958"/>
  <c r="D194" i="958"/>
  <c r="C194" i="958"/>
  <c r="J193" i="958"/>
  <c r="I193" i="958"/>
  <c r="N193" i="958" s="1"/>
  <c r="E193" i="958"/>
  <c r="D193" i="958"/>
  <c r="C193" i="958"/>
  <c r="J192" i="958"/>
  <c r="I192" i="958"/>
  <c r="N192" i="958" s="1"/>
  <c r="E192" i="958"/>
  <c r="D192" i="958"/>
  <c r="C192" i="958"/>
  <c r="J191" i="958"/>
  <c r="I191" i="958"/>
  <c r="N191" i="958" s="1"/>
  <c r="E191" i="958"/>
  <c r="D191" i="958"/>
  <c r="C191" i="958"/>
  <c r="J190" i="958"/>
  <c r="I190" i="958"/>
  <c r="N190" i="958" s="1"/>
  <c r="E190" i="958"/>
  <c r="D190" i="958"/>
  <c r="C190" i="958"/>
  <c r="J189" i="958"/>
  <c r="I189" i="958"/>
  <c r="N189" i="958" s="1"/>
  <c r="E189" i="958"/>
  <c r="D189" i="958"/>
  <c r="C189" i="958"/>
  <c r="J188" i="958"/>
  <c r="I188" i="958"/>
  <c r="N188" i="958" s="1"/>
  <c r="E188" i="958"/>
  <c r="D188" i="958"/>
  <c r="C188" i="958"/>
  <c r="J187" i="958"/>
  <c r="I187" i="958"/>
  <c r="N187" i="958" s="1"/>
  <c r="E187" i="958"/>
  <c r="D187" i="958"/>
  <c r="C187" i="958"/>
  <c r="AD186" i="958"/>
  <c r="AC186" i="958"/>
  <c r="I974" i="958" s="1"/>
  <c r="J186" i="958"/>
  <c r="I186" i="958"/>
  <c r="N186" i="958" s="1"/>
  <c r="E186" i="958"/>
  <c r="D186" i="958"/>
  <c r="C186" i="958"/>
  <c r="J185" i="958"/>
  <c r="I185" i="958"/>
  <c r="N185" i="958" s="1"/>
  <c r="E185" i="958"/>
  <c r="D185" i="958"/>
  <c r="C185" i="958"/>
  <c r="J184" i="958"/>
  <c r="I184" i="958"/>
  <c r="N184" i="958" s="1"/>
  <c r="E184" i="958"/>
  <c r="D184" i="958"/>
  <c r="C184" i="958"/>
  <c r="J183" i="958"/>
  <c r="I183" i="958"/>
  <c r="N183" i="958" s="1"/>
  <c r="E183" i="958"/>
  <c r="D183" i="958"/>
  <c r="C183" i="958"/>
  <c r="J182" i="958"/>
  <c r="I182" i="958"/>
  <c r="N182" i="958" s="1"/>
  <c r="E182" i="958"/>
  <c r="D182" i="958"/>
  <c r="C182" i="958"/>
  <c r="J181" i="958"/>
  <c r="I181" i="958"/>
  <c r="N181" i="958" s="1"/>
  <c r="E181" i="958"/>
  <c r="D181" i="958"/>
  <c r="C181" i="958"/>
  <c r="J180" i="958"/>
  <c r="I180" i="958"/>
  <c r="N180" i="958" s="1"/>
  <c r="E180" i="958"/>
  <c r="D180" i="958"/>
  <c r="C180" i="958"/>
  <c r="J179" i="958"/>
  <c r="I179" i="958"/>
  <c r="N179" i="958" s="1"/>
  <c r="E179" i="958"/>
  <c r="D179" i="958"/>
  <c r="C179" i="958"/>
  <c r="J178" i="958"/>
  <c r="I178" i="958"/>
  <c r="N178" i="958" s="1"/>
  <c r="E178" i="958"/>
  <c r="D178" i="958"/>
  <c r="C178" i="958"/>
  <c r="J177" i="958"/>
  <c r="I177" i="958"/>
  <c r="N177" i="958" s="1"/>
  <c r="E177" i="958"/>
  <c r="D177" i="958"/>
  <c r="C177" i="958"/>
  <c r="V176" i="958"/>
  <c r="S176" i="958"/>
  <c r="J176" i="958"/>
  <c r="I176" i="958"/>
  <c r="N176" i="958" s="1"/>
  <c r="E176" i="958"/>
  <c r="D176" i="958"/>
  <c r="C176" i="958"/>
  <c r="V175" i="958"/>
  <c r="S175" i="958"/>
  <c r="J175" i="958"/>
  <c r="I175" i="958"/>
  <c r="N175" i="958" s="1"/>
  <c r="E175" i="958"/>
  <c r="D175" i="958"/>
  <c r="C175" i="958"/>
  <c r="V174" i="958"/>
  <c r="S174" i="958"/>
  <c r="J174" i="958"/>
  <c r="I174" i="958"/>
  <c r="N174" i="958" s="1"/>
  <c r="E174" i="958"/>
  <c r="D174" i="958"/>
  <c r="C174" i="958"/>
  <c r="V173" i="958"/>
  <c r="S173" i="958"/>
  <c r="J173" i="958"/>
  <c r="I173" i="958"/>
  <c r="N173" i="958" s="1"/>
  <c r="E173" i="958"/>
  <c r="D173" i="958"/>
  <c r="C173" i="958"/>
  <c r="V172" i="958"/>
  <c r="S172" i="958"/>
  <c r="J172" i="958"/>
  <c r="I172" i="958"/>
  <c r="N172" i="958" s="1"/>
  <c r="E172" i="958"/>
  <c r="D172" i="958"/>
  <c r="C172" i="958"/>
  <c r="J171" i="958"/>
  <c r="I171" i="958"/>
  <c r="N171" i="958" s="1"/>
  <c r="E171" i="958"/>
  <c r="D171" i="958"/>
  <c r="C171" i="958"/>
  <c r="R170" i="958"/>
  <c r="T170" i="958" s="1"/>
  <c r="J170" i="958"/>
  <c r="I170" i="958"/>
  <c r="N170" i="958" s="1"/>
  <c r="E170" i="958"/>
  <c r="D170" i="958"/>
  <c r="C170" i="958"/>
  <c r="J169" i="958"/>
  <c r="I169" i="958"/>
  <c r="N169" i="958" s="1"/>
  <c r="E169" i="958"/>
  <c r="D169" i="958"/>
  <c r="C169" i="958"/>
  <c r="J168" i="958"/>
  <c r="I168" i="958"/>
  <c r="N168" i="958" s="1"/>
  <c r="E168" i="958"/>
  <c r="D168" i="958"/>
  <c r="C168" i="958"/>
  <c r="J167" i="958"/>
  <c r="I167" i="958"/>
  <c r="N167" i="958" s="1"/>
  <c r="E167" i="958"/>
  <c r="D167" i="958"/>
  <c r="C167" i="958"/>
  <c r="J166" i="958"/>
  <c r="I166" i="958"/>
  <c r="N166" i="958" s="1"/>
  <c r="E166" i="958"/>
  <c r="D166" i="958"/>
  <c r="C166" i="958"/>
  <c r="J165" i="958"/>
  <c r="I165" i="958"/>
  <c r="N165" i="958" s="1"/>
  <c r="E165" i="958"/>
  <c r="D165" i="958"/>
  <c r="C165" i="958"/>
  <c r="J164" i="958"/>
  <c r="I164" i="958"/>
  <c r="N164" i="958" s="1"/>
  <c r="E164" i="958"/>
  <c r="D164" i="958"/>
  <c r="C164" i="958"/>
  <c r="R163" i="958"/>
  <c r="P163" i="958"/>
  <c r="J163" i="958"/>
  <c r="I163" i="958"/>
  <c r="N163" i="958" s="1"/>
  <c r="E163" i="958"/>
  <c r="D163" i="958"/>
  <c r="C163" i="958"/>
  <c r="R162" i="958"/>
  <c r="P162" i="958"/>
  <c r="J162" i="958"/>
  <c r="I162" i="958"/>
  <c r="N162" i="958" s="1"/>
  <c r="E162" i="958"/>
  <c r="D162" i="958"/>
  <c r="C162" i="958"/>
  <c r="T161" i="958"/>
  <c r="R161" i="958"/>
  <c r="P161" i="958"/>
  <c r="J161" i="958"/>
  <c r="I161" i="958"/>
  <c r="N161" i="958" s="1"/>
  <c r="E161" i="958"/>
  <c r="D161" i="958"/>
  <c r="C161" i="958"/>
  <c r="P160" i="958"/>
  <c r="C774" i="958" s="1"/>
  <c r="J160" i="958"/>
  <c r="I160" i="958"/>
  <c r="N160" i="958" s="1"/>
  <c r="E160" i="958"/>
  <c r="D160" i="958"/>
  <c r="C160" i="958"/>
  <c r="J159" i="958"/>
  <c r="I159" i="958"/>
  <c r="N159" i="958" s="1"/>
  <c r="E159" i="958"/>
  <c r="D159" i="958"/>
  <c r="C159" i="958"/>
  <c r="J158" i="958"/>
  <c r="I158" i="958"/>
  <c r="N158" i="958" s="1"/>
  <c r="E158" i="958"/>
  <c r="D158" i="958"/>
  <c r="C158" i="958"/>
  <c r="J157" i="958"/>
  <c r="I157" i="958"/>
  <c r="N157" i="958" s="1"/>
  <c r="E157" i="958"/>
  <c r="D157" i="958"/>
  <c r="C157" i="958"/>
  <c r="Z156" i="958"/>
  <c r="I768" i="958" s="1"/>
  <c r="S156" i="958"/>
  <c r="J156" i="958"/>
  <c r="I156" i="958"/>
  <c r="N156" i="958" s="1"/>
  <c r="E156" i="958"/>
  <c r="D156" i="958"/>
  <c r="C156" i="958"/>
  <c r="J155" i="958"/>
  <c r="I155" i="958"/>
  <c r="N155" i="958" s="1"/>
  <c r="E155" i="958"/>
  <c r="D155" i="958"/>
  <c r="C155" i="958"/>
  <c r="T154" i="958"/>
  <c r="S154" i="958"/>
  <c r="J154" i="958"/>
  <c r="I154" i="958"/>
  <c r="N154" i="958" s="1"/>
  <c r="E154" i="958"/>
  <c r="D154" i="958"/>
  <c r="C154" i="958"/>
  <c r="R153" i="958"/>
  <c r="J153" i="958"/>
  <c r="I153" i="958"/>
  <c r="N153" i="958" s="1"/>
  <c r="E153" i="958"/>
  <c r="D153" i="958"/>
  <c r="C153" i="958"/>
  <c r="AN152" i="958"/>
  <c r="AD152" i="958"/>
  <c r="I749" i="958" s="1"/>
  <c r="AC152" i="958"/>
  <c r="I750" i="958" s="1"/>
  <c r="AB152" i="958"/>
  <c r="I748" i="958" s="1"/>
  <c r="AA152" i="958"/>
  <c r="Z152" i="958"/>
  <c r="I753" i="958" s="1"/>
  <c r="Y152" i="958"/>
  <c r="I754" i="958" s="1"/>
  <c r="J152" i="958"/>
  <c r="I152" i="958"/>
  <c r="N152" i="958" s="1"/>
  <c r="E152" i="958"/>
  <c r="D152" i="958"/>
  <c r="C152" i="958"/>
  <c r="AN151" i="958"/>
  <c r="AD151" i="958"/>
  <c r="I734" i="958" s="1"/>
  <c r="AC151" i="958"/>
  <c r="I735" i="958" s="1"/>
  <c r="AB151" i="958"/>
  <c r="I733" i="958" s="1"/>
  <c r="AA151" i="958"/>
  <c r="Z151" i="958"/>
  <c r="I738" i="958" s="1"/>
  <c r="Y151" i="958"/>
  <c r="I739" i="958" s="1"/>
  <c r="J151" i="958"/>
  <c r="I151" i="958"/>
  <c r="N151" i="958" s="1"/>
  <c r="E151" i="958"/>
  <c r="D151" i="958"/>
  <c r="C151" i="958"/>
  <c r="AN150" i="958"/>
  <c r="AD150" i="958"/>
  <c r="I719" i="958" s="1"/>
  <c r="AC150" i="958"/>
  <c r="I720" i="958" s="1"/>
  <c r="AB150" i="958"/>
  <c r="I718" i="958" s="1"/>
  <c r="AA150" i="958"/>
  <c r="Z150" i="958"/>
  <c r="I723" i="958" s="1"/>
  <c r="Y150" i="958"/>
  <c r="I724" i="958" s="1"/>
  <c r="J150" i="958"/>
  <c r="I150" i="958"/>
  <c r="N150" i="958" s="1"/>
  <c r="E150" i="958"/>
  <c r="D150" i="958"/>
  <c r="C150" i="958"/>
  <c r="AN149" i="958"/>
  <c r="AD149" i="958"/>
  <c r="I704" i="958" s="1"/>
  <c r="AC149" i="958"/>
  <c r="I705" i="958" s="1"/>
  <c r="AB149" i="958"/>
  <c r="I703" i="958" s="1"/>
  <c r="AA149" i="958"/>
  <c r="Z149" i="958"/>
  <c r="I708" i="958" s="1"/>
  <c r="Y149" i="958"/>
  <c r="J149" i="958"/>
  <c r="I149" i="958"/>
  <c r="N149" i="958" s="1"/>
  <c r="E149" i="958"/>
  <c r="D149" i="958"/>
  <c r="C149" i="958"/>
  <c r="J148" i="958"/>
  <c r="I148" i="958"/>
  <c r="E148" i="958"/>
  <c r="D148" i="958"/>
  <c r="C148" i="958"/>
  <c r="T147" i="958"/>
  <c r="Q147" i="958"/>
  <c r="J147" i="958"/>
  <c r="I147" i="958"/>
  <c r="N147" i="958" s="1"/>
  <c r="E147" i="958"/>
  <c r="D147" i="958"/>
  <c r="C147" i="958"/>
  <c r="Q146" i="958"/>
  <c r="J146" i="958"/>
  <c r="I146" i="958"/>
  <c r="N146" i="958" s="1"/>
  <c r="E146" i="958"/>
  <c r="D146" i="958"/>
  <c r="C146" i="958"/>
  <c r="AN145" i="958"/>
  <c r="Z145" i="958"/>
  <c r="I693" i="958" s="1"/>
  <c r="Y145" i="958"/>
  <c r="J145" i="958"/>
  <c r="I145" i="958"/>
  <c r="N145" i="958" s="1"/>
  <c r="E145" i="958"/>
  <c r="D145" i="958"/>
  <c r="C145" i="958"/>
  <c r="AN144" i="958"/>
  <c r="Z144" i="958"/>
  <c r="I678" i="958" s="1"/>
  <c r="Y144" i="958"/>
  <c r="I679" i="958" s="1"/>
  <c r="J144" i="958"/>
  <c r="I144" i="958"/>
  <c r="N144" i="958" s="1"/>
  <c r="E144" i="958"/>
  <c r="D144" i="958"/>
  <c r="C144" i="958"/>
  <c r="AN143" i="958"/>
  <c r="Z143" i="958"/>
  <c r="I663" i="958" s="1"/>
  <c r="Y143" i="958"/>
  <c r="I664" i="958" s="1"/>
  <c r="J143" i="958"/>
  <c r="I143" i="958"/>
  <c r="E143" i="958"/>
  <c r="D143" i="958"/>
  <c r="C143" i="958"/>
  <c r="AN142" i="958"/>
  <c r="Z142" i="958"/>
  <c r="I648" i="958" s="1"/>
  <c r="Y142" i="958"/>
  <c r="I649" i="958" s="1"/>
  <c r="J142" i="958"/>
  <c r="I142" i="958"/>
  <c r="N142" i="958" s="1"/>
  <c r="E142" i="958"/>
  <c r="D142" i="958"/>
  <c r="C142" i="958"/>
  <c r="AN141" i="958"/>
  <c r="Z141" i="958"/>
  <c r="I633" i="958" s="1"/>
  <c r="Y141" i="958"/>
  <c r="J141" i="958"/>
  <c r="I141" i="958"/>
  <c r="N141" i="958" s="1"/>
  <c r="E141" i="958"/>
  <c r="D141" i="958"/>
  <c r="C141" i="958"/>
  <c r="J140" i="958"/>
  <c r="I140" i="958"/>
  <c r="E140" i="958"/>
  <c r="D140" i="958"/>
  <c r="C140" i="958"/>
  <c r="T139" i="958"/>
  <c r="S139" i="958"/>
  <c r="R139" i="958"/>
  <c r="Q139" i="958"/>
  <c r="J139" i="958"/>
  <c r="I139" i="958"/>
  <c r="N139" i="958" s="1"/>
  <c r="E139" i="958"/>
  <c r="D139" i="958"/>
  <c r="C139" i="958"/>
  <c r="P138" i="958"/>
  <c r="J138" i="958"/>
  <c r="I138" i="958"/>
  <c r="E138" i="958"/>
  <c r="D138" i="958"/>
  <c r="C138" i="958"/>
  <c r="AN137" i="958"/>
  <c r="AD137" i="958"/>
  <c r="I614" i="958" s="1"/>
  <c r="AC137" i="958"/>
  <c r="I615" i="958" s="1"/>
  <c r="AB137" i="958"/>
  <c r="I613" i="958" s="1"/>
  <c r="Z137" i="958"/>
  <c r="I618" i="958" s="1"/>
  <c r="Y137" i="958"/>
  <c r="I619" i="958" s="1"/>
  <c r="J137" i="958"/>
  <c r="I137" i="958"/>
  <c r="C137" i="958"/>
  <c r="AN136" i="958"/>
  <c r="AD136" i="958"/>
  <c r="I599" i="958" s="1"/>
  <c r="AC136" i="958"/>
  <c r="I600" i="958" s="1"/>
  <c r="AB136" i="958"/>
  <c r="I598" i="958" s="1"/>
  <c r="Z136" i="958"/>
  <c r="I603" i="958" s="1"/>
  <c r="Y136" i="958"/>
  <c r="N136" i="958"/>
  <c r="AN135" i="958"/>
  <c r="AD135" i="958"/>
  <c r="I584" i="958" s="1"/>
  <c r="AC135" i="958"/>
  <c r="I585" i="958" s="1"/>
  <c r="AB135" i="958"/>
  <c r="I583" i="958" s="1"/>
  <c r="Z135" i="958"/>
  <c r="I588" i="958" s="1"/>
  <c r="Y135" i="958"/>
  <c r="N135" i="958"/>
  <c r="AN134" i="958"/>
  <c r="AD134" i="958"/>
  <c r="I569" i="958" s="1"/>
  <c r="AC134" i="958"/>
  <c r="I570" i="958" s="1"/>
  <c r="AB134" i="958"/>
  <c r="I568" i="958" s="1"/>
  <c r="Z134" i="958"/>
  <c r="I573" i="958" s="1"/>
  <c r="Y134" i="958"/>
  <c r="I574" i="958" s="1"/>
  <c r="N134" i="958"/>
  <c r="AN133" i="958"/>
  <c r="AD133" i="958"/>
  <c r="I554" i="958" s="1"/>
  <c r="AC133" i="958"/>
  <c r="I555" i="958" s="1"/>
  <c r="AB133" i="958"/>
  <c r="I553" i="958" s="1"/>
  <c r="Z133" i="958"/>
  <c r="I558" i="958" s="1"/>
  <c r="Y133" i="958"/>
  <c r="N133" i="958"/>
  <c r="N132" i="958"/>
  <c r="T131" i="958"/>
  <c r="S131" i="958"/>
  <c r="R131" i="958"/>
  <c r="Q131" i="958"/>
  <c r="N131" i="958"/>
  <c r="P130" i="958"/>
  <c r="N130" i="958"/>
  <c r="N129" i="958"/>
  <c r="C126" i="958"/>
  <c r="C123" i="958"/>
  <c r="N123" i="958" s="1"/>
  <c r="C120" i="958"/>
  <c r="N122" i="958" s="1"/>
  <c r="N119" i="958"/>
  <c r="N118" i="958"/>
  <c r="N117" i="958"/>
  <c r="N116" i="958"/>
  <c r="F116" i="958"/>
  <c r="G116" i="958" s="1"/>
  <c r="U111" i="958"/>
  <c r="U110" i="958"/>
  <c r="T106" i="958"/>
  <c r="R106" i="958"/>
  <c r="P106" i="958"/>
  <c r="C106" i="958"/>
  <c r="T105" i="958"/>
  <c r="R105" i="958"/>
  <c r="P105" i="958"/>
  <c r="C105" i="958"/>
  <c r="T104" i="958"/>
  <c r="R104" i="958"/>
  <c r="P104" i="958"/>
  <c r="C104" i="958"/>
  <c r="P103" i="958"/>
  <c r="C534" i="958" s="1"/>
  <c r="C103" i="958"/>
  <c r="F103" i="958" s="1"/>
  <c r="C102" i="958"/>
  <c r="F102" i="958" s="1"/>
  <c r="AN101" i="958"/>
  <c r="AC101" i="958"/>
  <c r="I524" i="958" s="1"/>
  <c r="AB101" i="958"/>
  <c r="I525" i="958" s="1"/>
  <c r="AA101" i="958"/>
  <c r="I523" i="958" s="1"/>
  <c r="Z101" i="958"/>
  <c r="I520" i="958" s="1"/>
  <c r="Y101" i="958"/>
  <c r="I529" i="958" s="1"/>
  <c r="S100" i="958"/>
  <c r="R100" i="958"/>
  <c r="Q99" i="958"/>
  <c r="AN98" i="958"/>
  <c r="AK98" i="958"/>
  <c r="F516" i="958" s="1"/>
  <c r="AI98" i="958"/>
  <c r="F517" i="958" s="1"/>
  <c r="AG98" i="958"/>
  <c r="F515" i="958" s="1"/>
  <c r="AE98" i="958"/>
  <c r="I509" i="958" s="1"/>
  <c r="AD98" i="958"/>
  <c r="I510" i="958" s="1"/>
  <c r="AC98" i="958"/>
  <c r="I508" i="958" s="1"/>
  <c r="AB98" i="958"/>
  <c r="I511" i="958" s="1"/>
  <c r="AA98" i="958"/>
  <c r="Z98" i="958"/>
  <c r="I507" i="958" s="1"/>
  <c r="Y98" i="958"/>
  <c r="I514" i="958" s="1"/>
  <c r="AN97" i="958"/>
  <c r="AK97" i="958"/>
  <c r="F501" i="958" s="1"/>
  <c r="AI97" i="958"/>
  <c r="F502" i="958" s="1"/>
  <c r="AG97" i="958"/>
  <c r="AE97" i="958"/>
  <c r="I494" i="958" s="1"/>
  <c r="AD97" i="958"/>
  <c r="I495" i="958" s="1"/>
  <c r="AC97" i="958"/>
  <c r="I493" i="958" s="1"/>
  <c r="AB97" i="958"/>
  <c r="I496" i="958" s="1"/>
  <c r="AA97" i="958"/>
  <c r="Z97" i="958"/>
  <c r="I492" i="958" s="1"/>
  <c r="Y97" i="958"/>
  <c r="I499" i="958" s="1"/>
  <c r="AN96" i="958"/>
  <c r="AK96" i="958"/>
  <c r="F486" i="958" s="1"/>
  <c r="AI96" i="958"/>
  <c r="F487" i="958" s="1"/>
  <c r="AG96" i="958"/>
  <c r="F485" i="958" s="1"/>
  <c r="AE96" i="958"/>
  <c r="I479" i="958" s="1"/>
  <c r="AD96" i="958"/>
  <c r="I480" i="958" s="1"/>
  <c r="AC96" i="958"/>
  <c r="I478" i="958" s="1"/>
  <c r="AB96" i="958"/>
  <c r="I481" i="958" s="1"/>
  <c r="AA96" i="958"/>
  <c r="Z96" i="958"/>
  <c r="I477" i="958" s="1"/>
  <c r="Y96" i="958"/>
  <c r="I484" i="958" s="1"/>
  <c r="AN95" i="958"/>
  <c r="AK95" i="958"/>
  <c r="F471" i="958" s="1"/>
  <c r="AI95" i="958"/>
  <c r="F472" i="958" s="1"/>
  <c r="AG95" i="958"/>
  <c r="F470" i="958" s="1"/>
  <c r="AE95" i="958"/>
  <c r="I464" i="958" s="1"/>
  <c r="AD95" i="958"/>
  <c r="I465" i="958" s="1"/>
  <c r="AC95" i="958"/>
  <c r="I463" i="958" s="1"/>
  <c r="AB95" i="958"/>
  <c r="I466" i="958" s="1"/>
  <c r="AA95" i="958"/>
  <c r="Z95" i="958"/>
  <c r="I462" i="958" s="1"/>
  <c r="Y95" i="958"/>
  <c r="I469" i="958" s="1"/>
  <c r="T94" i="958"/>
  <c r="S94" i="958"/>
  <c r="R94" i="958"/>
  <c r="Q93" i="958"/>
  <c r="AN92" i="958"/>
  <c r="AK92" i="958"/>
  <c r="F456" i="958" s="1"/>
  <c r="AI92" i="958"/>
  <c r="F457" i="958" s="1"/>
  <c r="AG92" i="958"/>
  <c r="F455" i="958" s="1"/>
  <c r="AE92" i="958"/>
  <c r="I449" i="958" s="1"/>
  <c r="AD92" i="958"/>
  <c r="I450" i="958" s="1"/>
  <c r="AC92" i="958"/>
  <c r="I448" i="958" s="1"/>
  <c r="AB92" i="958"/>
  <c r="I451" i="958" s="1"/>
  <c r="AA92" i="958"/>
  <c r="I445" i="958" s="1"/>
  <c r="Z92" i="958"/>
  <c r="I447" i="958" s="1"/>
  <c r="Y92" i="958"/>
  <c r="I454" i="958" s="1"/>
  <c r="AN91" i="958"/>
  <c r="AK91" i="958"/>
  <c r="F441" i="958" s="1"/>
  <c r="AI91" i="958"/>
  <c r="F442" i="958" s="1"/>
  <c r="AG91" i="958"/>
  <c r="F440" i="958" s="1"/>
  <c r="AE91" i="958"/>
  <c r="I434" i="958" s="1"/>
  <c r="AD91" i="958"/>
  <c r="I435" i="958" s="1"/>
  <c r="AC91" i="958"/>
  <c r="I433" i="958" s="1"/>
  <c r="AB91" i="958"/>
  <c r="I436" i="958" s="1"/>
  <c r="AA91" i="958"/>
  <c r="I430" i="958" s="1"/>
  <c r="Z91" i="958"/>
  <c r="I432" i="958" s="1"/>
  <c r="Y91" i="958"/>
  <c r="I439" i="958" s="1"/>
  <c r="AN90" i="958"/>
  <c r="AK90" i="958"/>
  <c r="F426" i="958" s="1"/>
  <c r="AI90" i="958"/>
  <c r="F427" i="958" s="1"/>
  <c r="AG90" i="958"/>
  <c r="AE90" i="958"/>
  <c r="I419" i="958" s="1"/>
  <c r="AD90" i="958"/>
  <c r="I420" i="958" s="1"/>
  <c r="AC90" i="958"/>
  <c r="I418" i="958" s="1"/>
  <c r="AB90" i="958"/>
  <c r="I421" i="958" s="1"/>
  <c r="AA90" i="958"/>
  <c r="I415" i="958" s="1"/>
  <c r="Z90" i="958"/>
  <c r="I417" i="958" s="1"/>
  <c r="Y90" i="958"/>
  <c r="I424" i="958" s="1"/>
  <c r="AN89" i="958"/>
  <c r="AK89" i="958"/>
  <c r="F411" i="958" s="1"/>
  <c r="AI89" i="958"/>
  <c r="F412" i="958" s="1"/>
  <c r="AG89" i="958"/>
  <c r="AE89" i="958"/>
  <c r="I404" i="958" s="1"/>
  <c r="AD89" i="958"/>
  <c r="I405" i="958" s="1"/>
  <c r="AC89" i="958"/>
  <c r="I403" i="958" s="1"/>
  <c r="AB89" i="958"/>
  <c r="I406" i="958" s="1"/>
  <c r="AA89" i="958"/>
  <c r="I400" i="958" s="1"/>
  <c r="Z89" i="958"/>
  <c r="I402" i="958" s="1"/>
  <c r="Y89" i="958"/>
  <c r="I409" i="958" s="1"/>
  <c r="AN88" i="958"/>
  <c r="AK88" i="958"/>
  <c r="F396" i="958" s="1"/>
  <c r="AI88" i="958"/>
  <c r="F397" i="958" s="1"/>
  <c r="AG88" i="958"/>
  <c r="F395" i="958" s="1"/>
  <c r="AE88" i="958"/>
  <c r="I389" i="958" s="1"/>
  <c r="AD88" i="958"/>
  <c r="I390" i="958" s="1"/>
  <c r="AC88" i="958"/>
  <c r="I388" i="958" s="1"/>
  <c r="AB88" i="958"/>
  <c r="I391" i="958" s="1"/>
  <c r="AA88" i="958"/>
  <c r="I385" i="958" s="1"/>
  <c r="Z88" i="958"/>
  <c r="I387" i="958" s="1"/>
  <c r="Y88" i="958"/>
  <c r="I394" i="958" s="1"/>
  <c r="T87" i="958"/>
  <c r="S87" i="958"/>
  <c r="R87" i="958"/>
  <c r="Q87" i="958"/>
  <c r="P86" i="958"/>
  <c r="AN85" i="958"/>
  <c r="AK85" i="958"/>
  <c r="AI85" i="958"/>
  <c r="F382" i="958" s="1"/>
  <c r="AG85" i="958"/>
  <c r="F380" i="958" s="1"/>
  <c r="AE85" i="958"/>
  <c r="I374" i="958" s="1"/>
  <c r="AD85" i="958"/>
  <c r="I375" i="958" s="1"/>
  <c r="AC85" i="958"/>
  <c r="I373" i="958" s="1"/>
  <c r="AB85" i="958"/>
  <c r="I376" i="958" s="1"/>
  <c r="AA85" i="958"/>
  <c r="I370" i="958" s="1"/>
  <c r="Z85" i="958"/>
  <c r="I372" i="958" s="1"/>
  <c r="Y85" i="958"/>
  <c r="I379" i="958" s="1"/>
  <c r="AN84" i="958"/>
  <c r="AK84" i="958"/>
  <c r="F366" i="958" s="1"/>
  <c r="AI84" i="958"/>
  <c r="F367" i="958" s="1"/>
  <c r="AG84" i="958"/>
  <c r="F365" i="958" s="1"/>
  <c r="AE84" i="958"/>
  <c r="I359" i="958" s="1"/>
  <c r="AD84" i="958"/>
  <c r="I360" i="958" s="1"/>
  <c r="AC84" i="958"/>
  <c r="I358" i="958" s="1"/>
  <c r="AB84" i="958"/>
  <c r="I361" i="958" s="1"/>
  <c r="AA84" i="958"/>
  <c r="I355" i="958" s="1"/>
  <c r="Z84" i="958"/>
  <c r="I357" i="958" s="1"/>
  <c r="Y84" i="958"/>
  <c r="I364" i="958" s="1"/>
  <c r="AN83" i="958"/>
  <c r="AK83" i="958"/>
  <c r="F351" i="958" s="1"/>
  <c r="AI83" i="958"/>
  <c r="F352" i="958" s="1"/>
  <c r="AG83" i="958"/>
  <c r="AE83" i="958"/>
  <c r="I344" i="958" s="1"/>
  <c r="AD83" i="958"/>
  <c r="I345" i="958" s="1"/>
  <c r="AC83" i="958"/>
  <c r="I343" i="958" s="1"/>
  <c r="AB83" i="958"/>
  <c r="I346" i="958" s="1"/>
  <c r="AA83" i="958"/>
  <c r="I340" i="958" s="1"/>
  <c r="Z83" i="958"/>
  <c r="I342" i="958" s="1"/>
  <c r="Y83" i="958"/>
  <c r="I349" i="958" s="1"/>
  <c r="C83" i="958"/>
  <c r="AN82" i="958"/>
  <c r="AK82" i="958"/>
  <c r="AI82" i="958"/>
  <c r="F337" i="958" s="1"/>
  <c r="AG82" i="958"/>
  <c r="F335" i="958" s="1"/>
  <c r="AE82" i="958"/>
  <c r="I329" i="958" s="1"/>
  <c r="AD82" i="958"/>
  <c r="I330" i="958" s="1"/>
  <c r="AC82" i="958"/>
  <c r="I328" i="958" s="1"/>
  <c r="AB82" i="958"/>
  <c r="I331" i="958" s="1"/>
  <c r="AA82" i="958"/>
  <c r="I325" i="958" s="1"/>
  <c r="Z82" i="958"/>
  <c r="I327" i="958" s="1"/>
  <c r="Y82" i="958"/>
  <c r="I334" i="958" s="1"/>
  <c r="AN81" i="958"/>
  <c r="AK81" i="958"/>
  <c r="F321" i="958" s="1"/>
  <c r="AI81" i="958"/>
  <c r="AG81" i="958"/>
  <c r="AH81" i="958" s="1"/>
  <c r="I320" i="958" s="1"/>
  <c r="AE81" i="958"/>
  <c r="I314" i="958" s="1"/>
  <c r="AD81" i="958"/>
  <c r="I315" i="958" s="1"/>
  <c r="AC81" i="958"/>
  <c r="I313" i="958" s="1"/>
  <c r="AB81" i="958"/>
  <c r="I316" i="958" s="1"/>
  <c r="AA81" i="958"/>
  <c r="I310" i="958" s="1"/>
  <c r="Z81" i="958"/>
  <c r="I312" i="958" s="1"/>
  <c r="Y81" i="958"/>
  <c r="I319" i="958" s="1"/>
  <c r="N81" i="958"/>
  <c r="T80" i="958"/>
  <c r="S80" i="958"/>
  <c r="R80" i="958"/>
  <c r="Q80" i="958"/>
  <c r="N80" i="958"/>
  <c r="P79" i="958"/>
  <c r="N79" i="958"/>
  <c r="T78" i="958"/>
  <c r="S78" i="958"/>
  <c r="Q78" i="958"/>
  <c r="P78" i="958"/>
  <c r="N78" i="958"/>
  <c r="T77" i="958"/>
  <c r="S77" i="958"/>
  <c r="Q77" i="958"/>
  <c r="P77" i="958"/>
  <c r="N77" i="958"/>
  <c r="Q76" i="958"/>
  <c r="P76" i="958"/>
  <c r="N76" i="958"/>
  <c r="AB75" i="958"/>
  <c r="I916" i="958" s="1"/>
  <c r="AA75" i="958"/>
  <c r="Z75" i="958"/>
  <c r="Y75" i="958"/>
  <c r="V75" i="958"/>
  <c r="I1033" i="958" s="1"/>
  <c r="U75" i="958"/>
  <c r="I1027" i="958" s="1"/>
  <c r="T75" i="958"/>
  <c r="S75" i="958"/>
  <c r="R75" i="958"/>
  <c r="Q75" i="958"/>
  <c r="P75" i="958"/>
  <c r="N75" i="958"/>
  <c r="R74" i="958"/>
  <c r="Q74" i="958"/>
  <c r="N74" i="958"/>
  <c r="V73" i="958"/>
  <c r="U73" i="958"/>
  <c r="T73" i="958"/>
  <c r="S73" i="958"/>
  <c r="Q73" i="958"/>
  <c r="P73" i="958"/>
  <c r="N73" i="958"/>
  <c r="P72" i="958"/>
  <c r="N72" i="958"/>
  <c r="N71" i="958"/>
  <c r="N70" i="958"/>
  <c r="C70" i="958"/>
  <c r="J69" i="958"/>
  <c r="I69" i="958"/>
  <c r="L69" i="958" s="1"/>
  <c r="C69" i="958"/>
  <c r="J68" i="958"/>
  <c r="I68" i="958"/>
  <c r="L68" i="958" s="1"/>
  <c r="C68" i="958"/>
  <c r="J67" i="958"/>
  <c r="I67" i="958"/>
  <c r="L67" i="958" s="1"/>
  <c r="C67" i="958"/>
  <c r="J66" i="958"/>
  <c r="I66" i="958"/>
  <c r="L66" i="958" s="1"/>
  <c r="C66" i="958"/>
  <c r="J65" i="958"/>
  <c r="I65" i="958"/>
  <c r="C65" i="958"/>
  <c r="J64" i="958"/>
  <c r="I64" i="958"/>
  <c r="N64" i="958" s="1"/>
  <c r="C64" i="958"/>
  <c r="J63" i="958"/>
  <c r="I63" i="958"/>
  <c r="N63" i="958" s="1"/>
  <c r="C63" i="958"/>
  <c r="N61" i="958"/>
  <c r="L61" i="958"/>
  <c r="B61" i="958"/>
  <c r="N60" i="958"/>
  <c r="L60" i="958"/>
  <c r="B60" i="958"/>
  <c r="N59" i="958"/>
  <c r="L59" i="958"/>
  <c r="B59" i="958"/>
  <c r="N58" i="958"/>
  <c r="L58" i="958"/>
  <c r="B58" i="958"/>
  <c r="N57" i="958"/>
  <c r="L57" i="958"/>
  <c r="B57" i="958"/>
  <c r="N56" i="958"/>
  <c r="L56" i="958"/>
  <c r="B56" i="958"/>
  <c r="N55" i="958"/>
  <c r="L55" i="958"/>
  <c r="B55" i="958"/>
  <c r="N54" i="958"/>
  <c r="L54" i="958"/>
  <c r="B54" i="958"/>
  <c r="N53" i="958"/>
  <c r="L53" i="958"/>
  <c r="B53" i="958"/>
  <c r="N52" i="958"/>
  <c r="L52" i="958"/>
  <c r="B52" i="958"/>
  <c r="N51" i="958"/>
  <c r="L51" i="958"/>
  <c r="B51" i="958"/>
  <c r="N50" i="958"/>
  <c r="L50" i="958"/>
  <c r="B50" i="958"/>
  <c r="N49" i="958"/>
  <c r="L49" i="958"/>
  <c r="B49" i="958"/>
  <c r="N48" i="958"/>
  <c r="L48" i="958"/>
  <c r="B48" i="958"/>
  <c r="N47" i="958"/>
  <c r="L47" i="958"/>
  <c r="B47" i="958"/>
  <c r="N46" i="958"/>
  <c r="L46" i="958"/>
  <c r="B46" i="958"/>
  <c r="N45" i="958"/>
  <c r="L45" i="958"/>
  <c r="B45" i="958"/>
  <c r="N44" i="958"/>
  <c r="L44" i="958"/>
  <c r="B44" i="958"/>
  <c r="AY43" i="958" a="1"/>
  <c r="AY43" i="958" s="1"/>
  <c r="N43" i="958"/>
  <c r="L43" i="958"/>
  <c r="B43" i="958"/>
  <c r="AY42" i="958" a="1"/>
  <c r="AY42" i="958" s="1"/>
  <c r="N42" i="958"/>
  <c r="L42" i="958"/>
  <c r="B42" i="958"/>
  <c r="AY41" i="958" a="1"/>
  <c r="AY41" i="958" s="1"/>
  <c r="N41" i="958"/>
  <c r="L41" i="958"/>
  <c r="B41" i="958"/>
  <c r="AY40" i="958" a="1"/>
  <c r="AY40" i="958" s="1"/>
  <c r="N40" i="958"/>
  <c r="L40" i="958"/>
  <c r="B40" i="958"/>
  <c r="AY39" i="958" a="1"/>
  <c r="AY39" i="958" s="1"/>
  <c r="N39" i="958"/>
  <c r="L39" i="958"/>
  <c r="B39" i="958"/>
  <c r="AY38" i="958" a="1"/>
  <c r="AY38" i="958" s="1"/>
  <c r="N38" i="958"/>
  <c r="L38" i="958"/>
  <c r="B38" i="958"/>
  <c r="AY37" i="958" a="1"/>
  <c r="AY37" i="958" s="1"/>
  <c r="N37" i="958"/>
  <c r="L37" i="958"/>
  <c r="B37" i="958"/>
  <c r="AY36" i="958" a="1"/>
  <c r="AY36" i="958" s="1"/>
  <c r="N36" i="958"/>
  <c r="AY35" i="958" a="1"/>
  <c r="AY35" i="958" s="1"/>
  <c r="N35" i="958"/>
  <c r="L35" i="958"/>
  <c r="B35" i="958"/>
  <c r="AY34" i="958" a="1"/>
  <c r="AY34" i="958" s="1"/>
  <c r="N34" i="958"/>
  <c r="L34" i="958"/>
  <c r="B34" i="958"/>
  <c r="AY33" i="958" a="1"/>
  <c r="AY33" i="958" s="1"/>
  <c r="N33" i="958"/>
  <c r="L33" i="958"/>
  <c r="B33" i="958"/>
  <c r="AY32" i="958" a="1"/>
  <c r="AY32" i="958" s="1"/>
  <c r="N32" i="958"/>
  <c r="L32" i="958"/>
  <c r="B32" i="958"/>
  <c r="AY31" i="958" a="1"/>
  <c r="AY31" i="958" s="1"/>
  <c r="N31" i="958"/>
  <c r="L31" i="958"/>
  <c r="B31" i="958"/>
  <c r="AY30" i="958" a="1"/>
  <c r="AY30" i="958" s="1"/>
  <c r="N30" i="958"/>
  <c r="L30" i="958"/>
  <c r="B30" i="958"/>
  <c r="AY29" i="958" a="1"/>
  <c r="AY29" i="958" s="1"/>
  <c r="N29" i="958"/>
  <c r="L29" i="958"/>
  <c r="B29" i="958"/>
  <c r="AY28" i="958" a="1"/>
  <c r="AY28" i="958" s="1"/>
  <c r="N28" i="958"/>
  <c r="L28" i="958"/>
  <c r="B28" i="958"/>
  <c r="AY27" i="958" a="1"/>
  <c r="AY27" i="958" s="1"/>
  <c r="N27" i="958"/>
  <c r="L27" i="958"/>
  <c r="B27" i="958"/>
  <c r="AY26" i="958" a="1"/>
  <c r="AY26" i="958" s="1"/>
  <c r="N26" i="958"/>
  <c r="L26" i="958"/>
  <c r="B26" i="958"/>
  <c r="AY25" i="958" a="1"/>
  <c r="AY25" i="958" s="1"/>
  <c r="N25" i="958"/>
  <c r="L25" i="958"/>
  <c r="B25" i="958"/>
  <c r="AY24" i="958" a="1"/>
  <c r="AY24" i="958" s="1"/>
  <c r="AK24" i="958"/>
  <c r="AK25" i="958" s="1"/>
  <c r="N24" i="958"/>
  <c r="L24" i="958"/>
  <c r="B24" i="958"/>
  <c r="AY23" i="958" a="1"/>
  <c r="AY23" i="958" s="1"/>
  <c r="N23" i="958"/>
  <c r="L23" i="958"/>
  <c r="B23" i="958"/>
  <c r="N22" i="958"/>
  <c r="AH21" i="958"/>
  <c r="AG21" i="958"/>
  <c r="AF21" i="958" s="1"/>
  <c r="AD21" i="958"/>
  <c r="AC21" i="958"/>
  <c r="AB21" i="958"/>
  <c r="N21" i="958"/>
  <c r="L21" i="958"/>
  <c r="B21" i="958"/>
  <c r="AJ20" i="958"/>
  <c r="AC20" i="958"/>
  <c r="T20" i="958"/>
  <c r="S20" i="958"/>
  <c r="N20" i="958"/>
  <c r="L20" i="958"/>
  <c r="B20" i="958"/>
  <c r="AC19" i="958"/>
  <c r="AE19" i="958" s="1"/>
  <c r="S19" i="958"/>
  <c r="N19" i="958"/>
  <c r="L19" i="958"/>
  <c r="B19" i="958"/>
  <c r="AC18" i="958"/>
  <c r="AE18" i="958" s="1"/>
  <c r="N18" i="958"/>
  <c r="L18" i="958"/>
  <c r="B18" i="958"/>
  <c r="AC17" i="958"/>
  <c r="AF17" i="958" s="1"/>
  <c r="N17" i="958"/>
  <c r="L17" i="958"/>
  <c r="B17" i="958"/>
  <c r="AC16" i="958"/>
  <c r="AF16" i="958" s="1"/>
  <c r="W16" i="958"/>
  <c r="V16" i="958"/>
  <c r="U16" i="958"/>
  <c r="S16" i="958"/>
  <c r="N16" i="958"/>
  <c r="L16" i="958"/>
  <c r="B16" i="958"/>
  <c r="AD15" i="958"/>
  <c r="N15" i="958"/>
  <c r="W14" i="958"/>
  <c r="V14" i="958"/>
  <c r="U14" i="958"/>
  <c r="S14" i="958"/>
  <c r="N14" i="958"/>
  <c r="L14" i="958"/>
  <c r="B14" i="958"/>
  <c r="AF13" i="958"/>
  <c r="AF12" i="958" s="1"/>
  <c r="AE13" i="958"/>
  <c r="N13" i="958"/>
  <c r="L13" i="958"/>
  <c r="B13" i="958"/>
  <c r="AY12" i="958" a="1"/>
  <c r="AY12" i="958" s="1"/>
  <c r="AE12" i="958"/>
  <c r="S12" i="958"/>
  <c r="N12" i="958"/>
  <c r="BE11" i="958" a="1"/>
  <c r="BE11" i="958" s="1"/>
  <c r="AY11" i="958" a="1"/>
  <c r="AY11" i="958" s="1"/>
  <c r="BE10" i="958" a="1"/>
  <c r="BE10" i="958" s="1"/>
  <c r="AY10" i="958" a="1"/>
  <c r="AY10" i="958" s="1"/>
  <c r="AC10" i="958"/>
  <c r="W10" i="958"/>
  <c r="T10" i="958"/>
  <c r="S10" i="958"/>
  <c r="P10" i="958"/>
  <c r="BE9" i="958" a="1"/>
  <c r="BE9" i="958" s="1"/>
  <c r="AY9" i="958" a="1"/>
  <c r="AY9" i="958" s="1"/>
  <c r="AC9" i="958"/>
  <c r="W9" i="958"/>
  <c r="T9" i="958"/>
  <c r="S9" i="958"/>
  <c r="P9" i="958"/>
  <c r="BE8" i="958" a="1"/>
  <c r="BE8" i="958" s="1"/>
  <c r="AY8" i="958" a="1"/>
  <c r="AY8" i="958" s="1"/>
  <c r="AC8" i="958"/>
  <c r="W8" i="958"/>
  <c r="T8" i="958"/>
  <c r="S8" i="958"/>
  <c r="P8" i="958"/>
  <c r="BE7" i="958" a="1"/>
  <c r="BE7" i="958" s="1"/>
  <c r="AY7" i="958" a="1"/>
  <c r="AY7" i="958" s="1"/>
  <c r="AF7" i="958" a="1"/>
  <c r="AF7" i="958" s="1"/>
  <c r="AE7" i="958" a="1"/>
  <c r="AE7" i="958" s="1"/>
  <c r="AF97" i="958" s="1"/>
  <c r="I503" i="958" s="1"/>
  <c r="AC7" i="958"/>
  <c r="BE6" i="958" a="1"/>
  <c r="BE6" i="958" s="1"/>
  <c r="AY6" i="958" a="1"/>
  <c r="AY6" i="958" s="1"/>
  <c r="AF6" i="958" a="1"/>
  <c r="AF6" i="958" s="1"/>
  <c r="AE6" i="958" a="1"/>
  <c r="AE6" i="958" s="1"/>
  <c r="AD6" i="958"/>
  <c r="AB6" i="958"/>
  <c r="AA6" i="958"/>
  <c r="W6" i="958"/>
  <c r="V6" i="958"/>
  <c r="U6" i="958"/>
  <c r="T6" i="958"/>
  <c r="S6" i="958"/>
  <c r="R6" i="958"/>
  <c r="Q6" i="958"/>
  <c r="P6" i="958"/>
  <c r="BE5" i="958" a="1"/>
  <c r="BE5" i="958" s="1"/>
  <c r="AY5" i="958" a="1"/>
  <c r="AY5" i="958" s="1"/>
  <c r="AF5" i="958" a="1"/>
  <c r="AF5" i="958" s="1"/>
  <c r="AF137" i="958" s="1"/>
  <c r="I623" i="958" s="1"/>
  <c r="AE5" i="958" a="1"/>
  <c r="AE5" i="958" s="1"/>
  <c r="AD5" i="958"/>
  <c r="AB5" i="958" s="1"/>
  <c r="AA5" i="958"/>
  <c r="Q5" i="958"/>
  <c r="O5" i="958"/>
  <c r="AA4" i="958"/>
  <c r="Z4" i="958"/>
  <c r="S147" i="958" s="1"/>
  <c r="AB3" i="958"/>
  <c r="Z3" i="958"/>
  <c r="J2" i="958"/>
  <c r="G1323" i="957"/>
  <c r="H1322" i="957"/>
  <c r="G1318" i="957"/>
  <c r="H1163" i="957"/>
  <c r="H1162" i="957"/>
  <c r="H1161" i="957"/>
  <c r="H1160" i="957"/>
  <c r="H1159" i="957"/>
  <c r="H1158" i="957"/>
  <c r="H1157" i="957"/>
  <c r="H1156" i="957"/>
  <c r="H1155" i="957"/>
  <c r="H1154" i="957"/>
  <c r="H1153" i="957"/>
  <c r="H1152" i="957"/>
  <c r="H1151" i="957"/>
  <c r="H1150" i="957"/>
  <c r="H1149" i="957"/>
  <c r="H1141" i="957"/>
  <c r="I1119" i="957"/>
  <c r="I1118" i="957"/>
  <c r="I1117" i="957"/>
  <c r="I1116" i="957"/>
  <c r="I1115" i="957"/>
  <c r="I1114" i="957"/>
  <c r="I1113" i="957"/>
  <c r="I1111" i="957"/>
  <c r="I1110" i="957"/>
  <c r="I1108" i="957"/>
  <c r="I1107" i="957"/>
  <c r="I1106" i="957"/>
  <c r="I1105" i="957"/>
  <c r="I1104" i="957"/>
  <c r="I1103" i="957"/>
  <c r="I1102" i="957"/>
  <c r="I1101" i="957"/>
  <c r="I1100" i="957"/>
  <c r="I1099" i="957"/>
  <c r="I1098" i="957"/>
  <c r="I1097" i="957"/>
  <c r="I1095" i="957"/>
  <c r="I1094" i="957"/>
  <c r="I1093" i="957"/>
  <c r="I1092" i="957"/>
  <c r="I1091" i="957"/>
  <c r="I1090" i="957"/>
  <c r="I1088" i="957"/>
  <c r="I1087" i="957"/>
  <c r="I1086" i="957"/>
  <c r="I1085" i="957"/>
  <c r="I1084" i="957"/>
  <c r="I1083" i="957"/>
  <c r="I1081" i="957"/>
  <c r="I1080" i="957"/>
  <c r="I1079" i="957"/>
  <c r="G1059" i="957"/>
  <c r="G1058" i="957"/>
  <c r="G1057" i="957"/>
  <c r="G1056" i="957"/>
  <c r="G1055" i="957"/>
  <c r="G1054" i="957"/>
  <c r="G1053" i="957"/>
  <c r="G1052" i="957"/>
  <c r="G1051" i="957"/>
  <c r="G1050" i="957"/>
  <c r="G1049" i="957"/>
  <c r="G1048" i="957"/>
  <c r="I1046" i="957"/>
  <c r="I1045" i="957"/>
  <c r="I1044" i="957"/>
  <c r="I1043" i="957"/>
  <c r="I1037" i="957"/>
  <c r="G1036" i="957"/>
  <c r="G1035" i="957"/>
  <c r="G1034" i="957"/>
  <c r="G1033" i="957"/>
  <c r="G1032" i="957"/>
  <c r="G1031" i="957"/>
  <c r="G1030" i="957"/>
  <c r="G1029" i="957"/>
  <c r="G1028" i="957"/>
  <c r="G1027" i="957"/>
  <c r="I1026" i="957"/>
  <c r="I1025" i="957"/>
  <c r="I1017" i="957"/>
  <c r="I1016" i="957"/>
  <c r="I1015" i="957"/>
  <c r="I1012" i="957"/>
  <c r="I1011" i="957"/>
  <c r="I1010" i="957"/>
  <c r="I1009" i="957"/>
  <c r="I1008" i="957"/>
  <c r="I1007" i="957"/>
  <c r="I1006" i="957"/>
  <c r="I1005" i="957"/>
  <c r="I1004" i="957"/>
  <c r="I1003" i="957"/>
  <c r="I1002" i="957"/>
  <c r="I1001" i="957"/>
  <c r="I1000" i="957"/>
  <c r="I999" i="957"/>
  <c r="I998" i="957"/>
  <c r="I997" i="957"/>
  <c r="I996" i="957"/>
  <c r="I995" i="957"/>
  <c r="I994" i="957"/>
  <c r="I993" i="957"/>
  <c r="I992" i="957"/>
  <c r="I991" i="957"/>
  <c r="I990" i="957"/>
  <c r="I983" i="957"/>
  <c r="I982" i="957"/>
  <c r="I981" i="957"/>
  <c r="G981" i="957"/>
  <c r="I980" i="957"/>
  <c r="G980" i="957"/>
  <c r="I978" i="957"/>
  <c r="I977" i="957"/>
  <c r="I976" i="957"/>
  <c r="I975" i="957"/>
  <c r="I971" i="957"/>
  <c r="I979" i="957" s="1"/>
  <c r="C971" i="957"/>
  <c r="I970" i="957"/>
  <c r="I968" i="957"/>
  <c r="G935" i="957"/>
  <c r="G933" i="957"/>
  <c r="G932" i="957"/>
  <c r="G931" i="957"/>
  <c r="G930" i="957"/>
  <c r="G929" i="957"/>
  <c r="G928" i="957"/>
  <c r="I926" i="957"/>
  <c r="I925" i="957"/>
  <c r="I924" i="957"/>
  <c r="I923" i="957"/>
  <c r="I917" i="957"/>
  <c r="E917" i="957"/>
  <c r="C917" i="957"/>
  <c r="G917" i="957" s="1"/>
  <c r="G916" i="957"/>
  <c r="G915" i="957"/>
  <c r="G914" i="957"/>
  <c r="G913" i="957"/>
  <c r="G912" i="957"/>
  <c r="G911" i="957"/>
  <c r="G910" i="957"/>
  <c r="G909" i="957"/>
  <c r="G908" i="957"/>
  <c r="I888" i="957"/>
  <c r="I887" i="957"/>
  <c r="I885" i="957"/>
  <c r="I884" i="957"/>
  <c r="I883" i="957"/>
  <c r="I882" i="957"/>
  <c r="G882" i="957"/>
  <c r="I881" i="957"/>
  <c r="I879" i="957"/>
  <c r="I878" i="957"/>
  <c r="I877" i="957"/>
  <c r="I876" i="957"/>
  <c r="I875" i="957"/>
  <c r="I874" i="957"/>
  <c r="I873" i="957"/>
  <c r="I872" i="957"/>
  <c r="I871" i="957"/>
  <c r="I870" i="957"/>
  <c r="I869" i="957"/>
  <c r="I867" i="957"/>
  <c r="I866" i="957"/>
  <c r="I865" i="957"/>
  <c r="I864" i="957"/>
  <c r="I863" i="957"/>
  <c r="C863" i="957"/>
  <c r="I862" i="957"/>
  <c r="I868" i="957" s="1"/>
  <c r="C862" i="957"/>
  <c r="I861" i="957"/>
  <c r="I860" i="957"/>
  <c r="I859" i="957"/>
  <c r="I854" i="957"/>
  <c r="I853" i="957"/>
  <c r="I852" i="957"/>
  <c r="I851" i="957"/>
  <c r="I850" i="957"/>
  <c r="I849" i="957"/>
  <c r="I848" i="957"/>
  <c r="I847" i="957"/>
  <c r="I846" i="957"/>
  <c r="I845" i="957"/>
  <c r="I844" i="957"/>
  <c r="I843" i="957"/>
  <c r="I841" i="957"/>
  <c r="I840" i="957"/>
  <c r="I839" i="957"/>
  <c r="I838" i="957"/>
  <c r="I837" i="957"/>
  <c r="I835" i="957"/>
  <c r="I834" i="957"/>
  <c r="I833" i="957"/>
  <c r="I832" i="957"/>
  <c r="I831" i="957"/>
  <c r="I830" i="957"/>
  <c r="I829" i="957"/>
  <c r="I828" i="957"/>
  <c r="I827" i="957"/>
  <c r="I819" i="957"/>
  <c r="I818" i="957"/>
  <c r="I817" i="957"/>
  <c r="I816" i="957"/>
  <c r="I815" i="957"/>
  <c r="I814" i="957"/>
  <c r="I813" i="957"/>
  <c r="I812" i="957"/>
  <c r="H811" i="957"/>
  <c r="I811" i="957" s="1"/>
  <c r="H810" i="957"/>
  <c r="I810" i="957" s="1"/>
  <c r="I809" i="957"/>
  <c r="I808" i="957"/>
  <c r="I807" i="957"/>
  <c r="N790" i="957"/>
  <c r="N789" i="957"/>
  <c r="N788" i="957"/>
  <c r="L788" i="957"/>
  <c r="N787" i="957"/>
  <c r="L787" i="957"/>
  <c r="N786" i="957"/>
  <c r="L786" i="957"/>
  <c r="N785" i="957"/>
  <c r="L785" i="957"/>
  <c r="I784" i="957"/>
  <c r="L784" i="957" s="1"/>
  <c r="G784" i="957"/>
  <c r="I783" i="957"/>
  <c r="G783" i="957"/>
  <c r="I782" i="957"/>
  <c r="L782" i="957" s="1"/>
  <c r="G782" i="957"/>
  <c r="I781" i="957"/>
  <c r="N781" i="957" s="1"/>
  <c r="G781" i="957"/>
  <c r="I780" i="957"/>
  <c r="G780" i="957"/>
  <c r="I779" i="957"/>
  <c r="N779" i="957" s="1"/>
  <c r="G779" i="957"/>
  <c r="I778" i="957"/>
  <c r="L778" i="957" s="1"/>
  <c r="G778" i="957"/>
  <c r="I777" i="957"/>
  <c r="N777" i="957" s="1"/>
  <c r="G777" i="957"/>
  <c r="I776" i="957"/>
  <c r="G776" i="957"/>
  <c r="N775" i="957"/>
  <c r="L775" i="957"/>
  <c r="N773" i="957"/>
  <c r="L773" i="957"/>
  <c r="N772" i="957"/>
  <c r="L772" i="957"/>
  <c r="N771" i="957"/>
  <c r="L771" i="957"/>
  <c r="N770" i="957"/>
  <c r="L770" i="957"/>
  <c r="N769" i="957"/>
  <c r="L769" i="957"/>
  <c r="G768" i="957"/>
  <c r="N767" i="957"/>
  <c r="L767" i="957"/>
  <c r="N766" i="957"/>
  <c r="L766" i="957"/>
  <c r="N765" i="957"/>
  <c r="L765" i="957"/>
  <c r="N764" i="957"/>
  <c r="L764" i="957"/>
  <c r="N763" i="957"/>
  <c r="L763" i="957"/>
  <c r="N762" i="957"/>
  <c r="L762" i="957"/>
  <c r="N761" i="957"/>
  <c r="L761" i="957"/>
  <c r="N760" i="957"/>
  <c r="L760" i="957"/>
  <c r="C759" i="957"/>
  <c r="F758" i="957"/>
  <c r="C758" i="957"/>
  <c r="I757" i="957"/>
  <c r="N757" i="957" s="1"/>
  <c r="H757" i="957"/>
  <c r="F757" i="957"/>
  <c r="N756" i="957"/>
  <c r="L756" i="957"/>
  <c r="I755" i="957"/>
  <c r="H755" i="957"/>
  <c r="F755" i="957"/>
  <c r="G754" i="957"/>
  <c r="G753" i="957"/>
  <c r="G752" i="957"/>
  <c r="G751" i="957"/>
  <c r="G750" i="957"/>
  <c r="G749" i="957"/>
  <c r="G748" i="957"/>
  <c r="N747" i="957"/>
  <c r="L747" i="957"/>
  <c r="G746" i="957"/>
  <c r="N745" i="957"/>
  <c r="L745" i="957"/>
  <c r="C744" i="957"/>
  <c r="F743" i="957"/>
  <c r="C743" i="957"/>
  <c r="I742" i="957"/>
  <c r="L742" i="957" s="1"/>
  <c r="H742" i="957"/>
  <c r="F742" i="957"/>
  <c r="N741" i="957"/>
  <c r="L741" i="957"/>
  <c r="I740" i="957"/>
  <c r="L740" i="957" s="1"/>
  <c r="H740" i="957"/>
  <c r="F740" i="957"/>
  <c r="G739" i="957"/>
  <c r="G738" i="957"/>
  <c r="G737" i="957"/>
  <c r="G736" i="957"/>
  <c r="G735" i="957"/>
  <c r="G734" i="957"/>
  <c r="G733" i="957"/>
  <c r="N732" i="957"/>
  <c r="L732" i="957"/>
  <c r="G731" i="957"/>
  <c r="N730" i="957"/>
  <c r="L730" i="957"/>
  <c r="C729" i="957"/>
  <c r="F728" i="957"/>
  <c r="C728" i="957"/>
  <c r="I727" i="957"/>
  <c r="N727" i="957" s="1"/>
  <c r="H727" i="957"/>
  <c r="F727" i="957"/>
  <c r="N726" i="957"/>
  <c r="L726" i="957"/>
  <c r="I725" i="957"/>
  <c r="H725" i="957"/>
  <c r="F725" i="957"/>
  <c r="G724" i="957"/>
  <c r="G723" i="957"/>
  <c r="G722" i="957"/>
  <c r="G721" i="957"/>
  <c r="G720" i="957"/>
  <c r="G719" i="957"/>
  <c r="G718" i="957"/>
  <c r="N717" i="957"/>
  <c r="L717" i="957"/>
  <c r="G716" i="957"/>
  <c r="N715" i="957"/>
  <c r="L715" i="957"/>
  <c r="C714" i="957"/>
  <c r="F713" i="957"/>
  <c r="C713" i="957"/>
  <c r="I712" i="957"/>
  <c r="L712" i="957" s="1"/>
  <c r="H712" i="957"/>
  <c r="F712" i="957"/>
  <c r="N711" i="957"/>
  <c r="L711" i="957"/>
  <c r="I710" i="957"/>
  <c r="L710" i="957" s="1"/>
  <c r="H710" i="957"/>
  <c r="F710" i="957"/>
  <c r="G709" i="957"/>
  <c r="G708" i="957"/>
  <c r="G707" i="957"/>
  <c r="G706" i="957"/>
  <c r="G705" i="957"/>
  <c r="G704" i="957"/>
  <c r="G703" i="957"/>
  <c r="N702" i="957"/>
  <c r="L702" i="957"/>
  <c r="G701" i="957"/>
  <c r="N700" i="957"/>
  <c r="L700" i="957"/>
  <c r="C699" i="957"/>
  <c r="F698" i="957"/>
  <c r="C698" i="957"/>
  <c r="I697" i="957"/>
  <c r="H697" i="957"/>
  <c r="F697" i="957"/>
  <c r="I696" i="957"/>
  <c r="L696" i="957" s="1"/>
  <c r="H696" i="957"/>
  <c r="F696" i="957"/>
  <c r="I695" i="957"/>
  <c r="N695" i="957" s="1"/>
  <c r="H695" i="957"/>
  <c r="F695" i="957"/>
  <c r="G694" i="957"/>
  <c r="G693" i="957"/>
  <c r="N692" i="957"/>
  <c r="L692" i="957"/>
  <c r="G691" i="957"/>
  <c r="N690" i="957"/>
  <c r="L690" i="957"/>
  <c r="N689" i="957"/>
  <c r="L689" i="957"/>
  <c r="N688" i="957"/>
  <c r="L688" i="957"/>
  <c r="N687" i="957"/>
  <c r="L687" i="957"/>
  <c r="N686" i="957"/>
  <c r="L686" i="957"/>
  <c r="N685" i="957"/>
  <c r="L685" i="957"/>
  <c r="C684" i="957"/>
  <c r="F683" i="957"/>
  <c r="C683" i="957"/>
  <c r="I682" i="957"/>
  <c r="N682" i="957" s="1"/>
  <c r="H682" i="957"/>
  <c r="F682" i="957"/>
  <c r="I681" i="957"/>
  <c r="H681" i="957"/>
  <c r="F681" i="957"/>
  <c r="I680" i="957"/>
  <c r="L680" i="957" s="1"/>
  <c r="H680" i="957"/>
  <c r="F680" i="957"/>
  <c r="G679" i="957"/>
  <c r="G678" i="957"/>
  <c r="N677" i="957"/>
  <c r="L677" i="957"/>
  <c r="G676" i="957"/>
  <c r="N675" i="957"/>
  <c r="L675" i="957"/>
  <c r="N674" i="957"/>
  <c r="L674" i="957"/>
  <c r="N673" i="957"/>
  <c r="L673" i="957"/>
  <c r="N672" i="957"/>
  <c r="L672" i="957"/>
  <c r="N671" i="957"/>
  <c r="L671" i="957"/>
  <c r="N670" i="957"/>
  <c r="L670" i="957"/>
  <c r="C669" i="957"/>
  <c r="F668" i="957"/>
  <c r="C668" i="957"/>
  <c r="I667" i="957"/>
  <c r="H667" i="957"/>
  <c r="F667" i="957"/>
  <c r="I666" i="957"/>
  <c r="N666" i="957" s="1"/>
  <c r="H666" i="957"/>
  <c r="F666" i="957"/>
  <c r="I665" i="957"/>
  <c r="N665" i="957" s="1"/>
  <c r="H665" i="957"/>
  <c r="F665" i="957"/>
  <c r="G664" i="957"/>
  <c r="G663" i="957"/>
  <c r="N662" i="957"/>
  <c r="L662" i="957"/>
  <c r="G661" i="957"/>
  <c r="N660" i="957"/>
  <c r="L660" i="957"/>
  <c r="N659" i="957"/>
  <c r="L659" i="957"/>
  <c r="N658" i="957"/>
  <c r="L658" i="957"/>
  <c r="N657" i="957"/>
  <c r="L657" i="957"/>
  <c r="N656" i="957"/>
  <c r="L656" i="957"/>
  <c r="N655" i="957"/>
  <c r="L655" i="957"/>
  <c r="C654" i="957"/>
  <c r="F653" i="957"/>
  <c r="C653" i="957"/>
  <c r="I652" i="957"/>
  <c r="H652" i="957"/>
  <c r="F652" i="957"/>
  <c r="I651" i="957"/>
  <c r="H651" i="957"/>
  <c r="F651" i="957"/>
  <c r="I650" i="957"/>
  <c r="H650" i="957"/>
  <c r="F650" i="957"/>
  <c r="G649" i="957"/>
  <c r="G648" i="957"/>
  <c r="N647" i="957"/>
  <c r="L647" i="957"/>
  <c r="G646" i="957"/>
  <c r="N645" i="957"/>
  <c r="L645" i="957"/>
  <c r="N644" i="957"/>
  <c r="L644" i="957"/>
  <c r="N643" i="957"/>
  <c r="L643" i="957"/>
  <c r="N642" i="957"/>
  <c r="L642" i="957"/>
  <c r="N641" i="957"/>
  <c r="L641" i="957"/>
  <c r="N640" i="957"/>
  <c r="L640" i="957"/>
  <c r="C639" i="957"/>
  <c r="F638" i="957"/>
  <c r="C638" i="957"/>
  <c r="I637" i="957"/>
  <c r="H637" i="957"/>
  <c r="F637" i="957"/>
  <c r="I636" i="957"/>
  <c r="N636" i="957" s="1"/>
  <c r="H636" i="957"/>
  <c r="F636" i="957"/>
  <c r="I635" i="957"/>
  <c r="H635" i="957"/>
  <c r="F635" i="957"/>
  <c r="G634" i="957"/>
  <c r="G633" i="957"/>
  <c r="N632" i="957"/>
  <c r="L632" i="957"/>
  <c r="G631" i="957"/>
  <c r="N630" i="957"/>
  <c r="L630" i="957"/>
  <c r="N629" i="957"/>
  <c r="L629" i="957"/>
  <c r="N628" i="957"/>
  <c r="L628" i="957"/>
  <c r="N627" i="957"/>
  <c r="L627" i="957"/>
  <c r="N626" i="957"/>
  <c r="L626" i="957"/>
  <c r="N625" i="957"/>
  <c r="L625" i="957"/>
  <c r="C624" i="957"/>
  <c r="F623" i="957"/>
  <c r="C623" i="957"/>
  <c r="I622" i="957"/>
  <c r="H622" i="957"/>
  <c r="F622" i="957"/>
  <c r="I621" i="957"/>
  <c r="H621" i="957"/>
  <c r="F621" i="957"/>
  <c r="I620" i="957"/>
  <c r="N620" i="957" s="1"/>
  <c r="H620" i="957"/>
  <c r="F620" i="957"/>
  <c r="G619" i="957"/>
  <c r="G618" i="957"/>
  <c r="N617" i="957"/>
  <c r="L617" i="957"/>
  <c r="G616" i="957"/>
  <c r="G615" i="957"/>
  <c r="G614" i="957"/>
  <c r="G613" i="957"/>
  <c r="I612" i="957"/>
  <c r="G612" i="957"/>
  <c r="N611" i="957"/>
  <c r="L611" i="957"/>
  <c r="N610" i="957"/>
  <c r="L610" i="957"/>
  <c r="C609" i="957"/>
  <c r="F608" i="957"/>
  <c r="C608" i="957"/>
  <c r="I607" i="957"/>
  <c r="H607" i="957"/>
  <c r="F607" i="957"/>
  <c r="I606" i="957"/>
  <c r="N606" i="957" s="1"/>
  <c r="H606" i="957"/>
  <c r="F606" i="957"/>
  <c r="I605" i="957"/>
  <c r="H605" i="957"/>
  <c r="F605" i="957"/>
  <c r="G604" i="957"/>
  <c r="G603" i="957"/>
  <c r="N602" i="957"/>
  <c r="L602" i="957"/>
  <c r="G601" i="957"/>
  <c r="G600" i="957"/>
  <c r="G599" i="957"/>
  <c r="G598" i="957"/>
  <c r="I597" i="957"/>
  <c r="N597" i="957" s="1"/>
  <c r="G597" i="957"/>
  <c r="N596" i="957"/>
  <c r="L596" i="957"/>
  <c r="N595" i="957"/>
  <c r="L595" i="957"/>
  <c r="C594" i="957"/>
  <c r="F593" i="957"/>
  <c r="C593" i="957"/>
  <c r="I592" i="957"/>
  <c r="N592" i="957" s="1"/>
  <c r="H592" i="957"/>
  <c r="F592" i="957"/>
  <c r="I591" i="957"/>
  <c r="N591" i="957" s="1"/>
  <c r="H591" i="957"/>
  <c r="F591" i="957"/>
  <c r="I590" i="957"/>
  <c r="N590" i="957" s="1"/>
  <c r="H590" i="957"/>
  <c r="F590" i="957"/>
  <c r="G589" i="957"/>
  <c r="G588" i="957"/>
  <c r="N587" i="957"/>
  <c r="L587" i="957"/>
  <c r="G586" i="957"/>
  <c r="G585" i="957"/>
  <c r="G584" i="957"/>
  <c r="G583" i="957"/>
  <c r="I582" i="957"/>
  <c r="N582" i="957" s="1"/>
  <c r="G582" i="957"/>
  <c r="N581" i="957"/>
  <c r="L581" i="957"/>
  <c r="N580" i="957"/>
  <c r="L580" i="957"/>
  <c r="C579" i="957"/>
  <c r="F578" i="957"/>
  <c r="C578" i="957"/>
  <c r="I577" i="957"/>
  <c r="N577" i="957" s="1"/>
  <c r="H577" i="957"/>
  <c r="F577" i="957"/>
  <c r="I576" i="957"/>
  <c r="N576" i="957" s="1"/>
  <c r="H576" i="957"/>
  <c r="F576" i="957"/>
  <c r="I575" i="957"/>
  <c r="H575" i="957"/>
  <c r="F575" i="957"/>
  <c r="G574" i="957"/>
  <c r="G573" i="957"/>
  <c r="N572" i="957"/>
  <c r="L572" i="957"/>
  <c r="G571" i="957"/>
  <c r="G570" i="957"/>
  <c r="G569" i="957"/>
  <c r="G568" i="957"/>
  <c r="I567" i="957"/>
  <c r="L567" i="957" s="1"/>
  <c r="G567" i="957"/>
  <c r="N566" i="957"/>
  <c r="L566" i="957"/>
  <c r="N565" i="957"/>
  <c r="L565" i="957"/>
  <c r="C564" i="957"/>
  <c r="F563" i="957"/>
  <c r="C563" i="957"/>
  <c r="I562" i="957"/>
  <c r="N562" i="957" s="1"/>
  <c r="H562" i="957"/>
  <c r="F562" i="957"/>
  <c r="I561" i="957"/>
  <c r="H561" i="957"/>
  <c r="F561" i="957"/>
  <c r="I560" i="957"/>
  <c r="H560" i="957"/>
  <c r="F560" i="957"/>
  <c r="G559" i="957"/>
  <c r="G558" i="957"/>
  <c r="N557" i="957"/>
  <c r="L557" i="957"/>
  <c r="G556" i="957"/>
  <c r="G555" i="957"/>
  <c r="G554" i="957"/>
  <c r="G553" i="957"/>
  <c r="I552" i="957"/>
  <c r="G552" i="957"/>
  <c r="N551" i="957"/>
  <c r="L551" i="957"/>
  <c r="N550" i="957"/>
  <c r="L550" i="957"/>
  <c r="C549" i="957"/>
  <c r="N548" i="957"/>
  <c r="L548" i="957"/>
  <c r="N547" i="957"/>
  <c r="L547" i="957"/>
  <c r="N546" i="957"/>
  <c r="L546" i="957"/>
  <c r="N545" i="957"/>
  <c r="L545" i="957"/>
  <c r="I544" i="957"/>
  <c r="N544" i="957" s="1"/>
  <c r="G544" i="957"/>
  <c r="F543" i="957"/>
  <c r="I543" i="957" s="1"/>
  <c r="N543" i="957" s="1"/>
  <c r="I542" i="957"/>
  <c r="G542" i="957"/>
  <c r="I541" i="957"/>
  <c r="N541" i="957" s="1"/>
  <c r="G541" i="957"/>
  <c r="I540" i="957"/>
  <c r="L540" i="957" s="1"/>
  <c r="G540" i="957"/>
  <c r="I539" i="957"/>
  <c r="N539" i="957" s="1"/>
  <c r="G539" i="957"/>
  <c r="I538" i="957"/>
  <c r="L538" i="957" s="1"/>
  <c r="G538" i="957"/>
  <c r="I537" i="957"/>
  <c r="N537" i="957" s="1"/>
  <c r="G537" i="957"/>
  <c r="C537" i="957"/>
  <c r="I536" i="957"/>
  <c r="G536" i="957"/>
  <c r="C536" i="957"/>
  <c r="I535" i="957"/>
  <c r="G535" i="957"/>
  <c r="N533" i="957"/>
  <c r="L533" i="957"/>
  <c r="N532" i="957"/>
  <c r="L532" i="957"/>
  <c r="N531" i="957"/>
  <c r="L531" i="957"/>
  <c r="N530" i="957"/>
  <c r="L530" i="957"/>
  <c r="G529" i="957"/>
  <c r="F528" i="957"/>
  <c r="I528" i="957" s="1"/>
  <c r="N528" i="957" s="1"/>
  <c r="N527" i="957"/>
  <c r="L527" i="957"/>
  <c r="N526" i="957"/>
  <c r="L526" i="957"/>
  <c r="G525" i="957"/>
  <c r="G524" i="957"/>
  <c r="G523" i="957"/>
  <c r="N522" i="957"/>
  <c r="L522" i="957"/>
  <c r="N521" i="957"/>
  <c r="L521" i="957"/>
  <c r="G520" i="957"/>
  <c r="C519" i="957"/>
  <c r="F518" i="957"/>
  <c r="C518" i="957"/>
  <c r="H517" i="957"/>
  <c r="N516" i="957"/>
  <c r="L516" i="957"/>
  <c r="H516" i="957"/>
  <c r="H515" i="957"/>
  <c r="G514" i="957"/>
  <c r="N513" i="957"/>
  <c r="L513" i="957"/>
  <c r="G512" i="957"/>
  <c r="G511" i="957"/>
  <c r="G510" i="957"/>
  <c r="G509" i="957"/>
  <c r="G508" i="957"/>
  <c r="G507" i="957"/>
  <c r="C507" i="957"/>
  <c r="G506" i="957"/>
  <c r="C506" i="957"/>
  <c r="N505" i="957"/>
  <c r="L505" i="957"/>
  <c r="C504" i="957"/>
  <c r="F503" i="957"/>
  <c r="C503" i="957"/>
  <c r="H502" i="957"/>
  <c r="N501" i="957"/>
  <c r="L501" i="957"/>
  <c r="H501" i="957"/>
  <c r="H500" i="957"/>
  <c r="G499" i="957"/>
  <c r="N498" i="957"/>
  <c r="L498" i="957"/>
  <c r="G497" i="957"/>
  <c r="G496" i="957"/>
  <c r="G495" i="957"/>
  <c r="G494" i="957"/>
  <c r="G493" i="957"/>
  <c r="G492" i="957"/>
  <c r="C492" i="957"/>
  <c r="G491" i="957"/>
  <c r="C491" i="957"/>
  <c r="N490" i="957"/>
  <c r="L490" i="957"/>
  <c r="C489" i="957"/>
  <c r="F488" i="957"/>
  <c r="C488" i="957"/>
  <c r="H487" i="957"/>
  <c r="N486" i="957"/>
  <c r="L486" i="957"/>
  <c r="H486" i="957"/>
  <c r="H485" i="957"/>
  <c r="G484" i="957"/>
  <c r="N483" i="957"/>
  <c r="L483" i="957"/>
  <c r="G482" i="957"/>
  <c r="G481" i="957"/>
  <c r="G480" i="957"/>
  <c r="G479" i="957"/>
  <c r="G478" i="957"/>
  <c r="G477" i="957"/>
  <c r="C477" i="957"/>
  <c r="G476" i="957"/>
  <c r="C476" i="957"/>
  <c r="N475" i="957"/>
  <c r="L475" i="957"/>
  <c r="C474" i="957"/>
  <c r="F473" i="957"/>
  <c r="C473" i="957"/>
  <c r="H472" i="957"/>
  <c r="N471" i="957"/>
  <c r="L471" i="957"/>
  <c r="H471" i="957"/>
  <c r="H470" i="957"/>
  <c r="G469" i="957"/>
  <c r="N468" i="957"/>
  <c r="L468" i="957"/>
  <c r="G467" i="957"/>
  <c r="G466" i="957"/>
  <c r="G465" i="957"/>
  <c r="G464" i="957"/>
  <c r="G463" i="957"/>
  <c r="G462" i="957"/>
  <c r="C462" i="957"/>
  <c r="G461" i="957"/>
  <c r="C461" i="957"/>
  <c r="N460" i="957"/>
  <c r="L460" i="957"/>
  <c r="C459" i="957"/>
  <c r="F458" i="957"/>
  <c r="C458" i="957"/>
  <c r="H457" i="957"/>
  <c r="N456" i="957"/>
  <c r="L456" i="957"/>
  <c r="H456" i="957"/>
  <c r="H455" i="957"/>
  <c r="G454" i="957"/>
  <c r="N453" i="957"/>
  <c r="L453" i="957"/>
  <c r="N452" i="957"/>
  <c r="L452" i="957"/>
  <c r="G451" i="957"/>
  <c r="G450" i="957"/>
  <c r="G449" i="957"/>
  <c r="G448" i="957"/>
  <c r="G447" i="957"/>
  <c r="C447" i="957"/>
  <c r="N446" i="957"/>
  <c r="L446" i="957"/>
  <c r="G445" i="957"/>
  <c r="C444" i="957"/>
  <c r="F443" i="957"/>
  <c r="C443" i="957"/>
  <c r="H442" i="957"/>
  <c r="N441" i="957"/>
  <c r="L441" i="957"/>
  <c r="H441" i="957"/>
  <c r="H440" i="957"/>
  <c r="G439" i="957"/>
  <c r="N438" i="957"/>
  <c r="L438" i="957"/>
  <c r="N437" i="957"/>
  <c r="L437" i="957"/>
  <c r="G436" i="957"/>
  <c r="G435" i="957"/>
  <c r="G434" i="957"/>
  <c r="G433" i="957"/>
  <c r="G432" i="957"/>
  <c r="C432" i="957"/>
  <c r="AQ431" i="957"/>
  <c r="AP431" i="957"/>
  <c r="N431" i="957"/>
  <c r="L431" i="957"/>
  <c r="AQ430" i="957"/>
  <c r="AP430" i="957"/>
  <c r="G430" i="957"/>
  <c r="AQ429" i="957"/>
  <c r="AP429" i="957"/>
  <c r="C429" i="957"/>
  <c r="AQ428" i="957"/>
  <c r="AP428" i="957"/>
  <c r="F428" i="957"/>
  <c r="C428" i="957"/>
  <c r="AQ427" i="957"/>
  <c r="AP427" i="957"/>
  <c r="H427" i="957"/>
  <c r="AQ426" i="957"/>
  <c r="AP426" i="957"/>
  <c r="N426" i="957"/>
  <c r="L426" i="957"/>
  <c r="H426" i="957"/>
  <c r="AQ425" i="957"/>
  <c r="AP425" i="957"/>
  <c r="H425" i="957"/>
  <c r="AQ424" i="957"/>
  <c r="AP424" i="957"/>
  <c r="G424" i="957"/>
  <c r="AQ423" i="957"/>
  <c r="AP423" i="957"/>
  <c r="N423" i="957"/>
  <c r="L423" i="957"/>
  <c r="AQ422" i="957"/>
  <c r="AP422" i="957"/>
  <c r="N422" i="957"/>
  <c r="L422" i="957"/>
  <c r="AQ421" i="957"/>
  <c r="AP421" i="957"/>
  <c r="G421" i="957"/>
  <c r="AQ420" i="957"/>
  <c r="AP420" i="957"/>
  <c r="G420" i="957"/>
  <c r="AQ419" i="957"/>
  <c r="AP419" i="957"/>
  <c r="G419" i="957"/>
  <c r="AQ418" i="957"/>
  <c r="AP418" i="957"/>
  <c r="G418" i="957"/>
  <c r="AQ417" i="957"/>
  <c r="AP417" i="957"/>
  <c r="G417" i="957"/>
  <c r="C417" i="957"/>
  <c r="AQ416" i="957"/>
  <c r="AP416" i="957"/>
  <c r="N416" i="957"/>
  <c r="L416" i="957"/>
  <c r="AQ415" i="957"/>
  <c r="AP415" i="957"/>
  <c r="G415" i="957"/>
  <c r="AQ414" i="957"/>
  <c r="AP414" i="957"/>
  <c r="C414" i="957"/>
  <c r="AQ413" i="957"/>
  <c r="AP413" i="957"/>
  <c r="F413" i="957"/>
  <c r="C413" i="957"/>
  <c r="AQ412" i="957"/>
  <c r="AP412" i="957"/>
  <c r="H412" i="957"/>
  <c r="AQ411" i="957"/>
  <c r="AP411" i="957"/>
  <c r="N411" i="957"/>
  <c r="L411" i="957"/>
  <c r="H411" i="957"/>
  <c r="AQ410" i="957"/>
  <c r="AP410" i="957"/>
  <c r="H410" i="957"/>
  <c r="AQ409" i="957"/>
  <c r="AP409" i="957"/>
  <c r="G409" i="957"/>
  <c r="AQ408" i="957"/>
  <c r="AP408" i="957"/>
  <c r="N408" i="957"/>
  <c r="L408" i="957"/>
  <c r="AQ407" i="957"/>
  <c r="AP407" i="957"/>
  <c r="N407" i="957"/>
  <c r="L407" i="957"/>
  <c r="AQ406" i="957"/>
  <c r="AP406" i="957"/>
  <c r="G406" i="957"/>
  <c r="AQ405" i="957"/>
  <c r="AP405" i="957"/>
  <c r="G405" i="957"/>
  <c r="AQ404" i="957"/>
  <c r="AP404" i="957"/>
  <c r="G404" i="957"/>
  <c r="AQ403" i="957"/>
  <c r="AP403" i="957"/>
  <c r="G403" i="957"/>
  <c r="AQ402" i="957"/>
  <c r="AP402" i="957"/>
  <c r="G402" i="957"/>
  <c r="C402" i="957"/>
  <c r="AQ401" i="957"/>
  <c r="AP401" i="957"/>
  <c r="N401" i="957"/>
  <c r="L401" i="957"/>
  <c r="AQ400" i="957"/>
  <c r="AP400" i="957"/>
  <c r="G400" i="957"/>
  <c r="AQ399" i="957"/>
  <c r="AP399" i="957"/>
  <c r="C399" i="957"/>
  <c r="AQ398" i="957"/>
  <c r="AP398" i="957"/>
  <c r="F398" i="957"/>
  <c r="C398" i="957"/>
  <c r="AQ397" i="957"/>
  <c r="AP397" i="957"/>
  <c r="H397" i="957"/>
  <c r="AQ396" i="957"/>
  <c r="AP396" i="957"/>
  <c r="N396" i="957"/>
  <c r="L396" i="957"/>
  <c r="H396" i="957"/>
  <c r="AQ395" i="957"/>
  <c r="AP395" i="957"/>
  <c r="H395" i="957"/>
  <c r="AQ394" i="957"/>
  <c r="AP394" i="957"/>
  <c r="G394" i="957"/>
  <c r="AQ393" i="957"/>
  <c r="AP393" i="957"/>
  <c r="N393" i="957"/>
  <c r="L393" i="957"/>
  <c r="AQ392" i="957"/>
  <c r="AP392" i="957"/>
  <c r="N392" i="957"/>
  <c r="L392" i="957"/>
  <c r="AQ391" i="957"/>
  <c r="AP391" i="957"/>
  <c r="G391" i="957"/>
  <c r="AQ390" i="957"/>
  <c r="AP390" i="957"/>
  <c r="G390" i="957"/>
  <c r="AQ389" i="957"/>
  <c r="AP389" i="957"/>
  <c r="G389" i="957"/>
  <c r="AQ388" i="957"/>
  <c r="AP388" i="957"/>
  <c r="G388" i="957"/>
  <c r="AQ387" i="957"/>
  <c r="AP387" i="957"/>
  <c r="G387" i="957"/>
  <c r="C387" i="957"/>
  <c r="N386" i="957"/>
  <c r="L386" i="957"/>
  <c r="G385" i="957"/>
  <c r="C384" i="957"/>
  <c r="F383" i="957"/>
  <c r="C383" i="957"/>
  <c r="H382" i="957"/>
  <c r="H381" i="957"/>
  <c r="H380" i="957"/>
  <c r="G379" i="957"/>
  <c r="N378" i="957"/>
  <c r="L378" i="957"/>
  <c r="N377" i="957"/>
  <c r="L377" i="957"/>
  <c r="G376" i="957"/>
  <c r="G375" i="957"/>
  <c r="G374" i="957"/>
  <c r="G373" i="957"/>
  <c r="G372" i="957"/>
  <c r="C372" i="957"/>
  <c r="N371" i="957"/>
  <c r="L371" i="957"/>
  <c r="G370" i="957"/>
  <c r="C369" i="957"/>
  <c r="F368" i="957"/>
  <c r="C368" i="957"/>
  <c r="H367" i="957"/>
  <c r="H366" i="957"/>
  <c r="H365" i="957"/>
  <c r="G364" i="957"/>
  <c r="N363" i="957"/>
  <c r="L363" i="957"/>
  <c r="N362" i="957"/>
  <c r="L362" i="957"/>
  <c r="G361" i="957"/>
  <c r="G360" i="957"/>
  <c r="G359" i="957"/>
  <c r="G358" i="957"/>
  <c r="G357" i="957"/>
  <c r="C357" i="957"/>
  <c r="N356" i="957"/>
  <c r="L356" i="957"/>
  <c r="G355" i="957"/>
  <c r="C354" i="957"/>
  <c r="F353" i="957"/>
  <c r="C353" i="957"/>
  <c r="H352" i="957"/>
  <c r="H351" i="957"/>
  <c r="H350" i="957"/>
  <c r="G349" i="957"/>
  <c r="N348" i="957"/>
  <c r="L348" i="957"/>
  <c r="N347" i="957"/>
  <c r="L347" i="957"/>
  <c r="G346" i="957"/>
  <c r="G345" i="957"/>
  <c r="G344" i="957"/>
  <c r="G343" i="957"/>
  <c r="G342" i="957"/>
  <c r="C342" i="957"/>
  <c r="N341" i="957"/>
  <c r="L341" i="957"/>
  <c r="G340" i="957"/>
  <c r="C339" i="957"/>
  <c r="F338" i="957"/>
  <c r="C338" i="957"/>
  <c r="H337" i="957"/>
  <c r="H336" i="957"/>
  <c r="H335" i="957"/>
  <c r="G334" i="957"/>
  <c r="N333" i="957"/>
  <c r="L333" i="957"/>
  <c r="N332" i="957"/>
  <c r="L332" i="957"/>
  <c r="G331" i="957"/>
  <c r="G330" i="957"/>
  <c r="G329" i="957"/>
  <c r="G328" i="957"/>
  <c r="G327" i="957"/>
  <c r="C327" i="957"/>
  <c r="N326" i="957"/>
  <c r="L326" i="957"/>
  <c r="G325" i="957"/>
  <c r="C324" i="957"/>
  <c r="F323" i="957"/>
  <c r="C323" i="957"/>
  <c r="H322" i="957"/>
  <c r="H321" i="957"/>
  <c r="H320" i="957"/>
  <c r="G319" i="957"/>
  <c r="N318" i="957"/>
  <c r="L318" i="957"/>
  <c r="N317" i="957"/>
  <c r="L317" i="957"/>
  <c r="G316" i="957"/>
  <c r="G315" i="957"/>
  <c r="G314" i="957"/>
  <c r="G313" i="957"/>
  <c r="G312" i="957"/>
  <c r="C312" i="957"/>
  <c r="N311" i="957"/>
  <c r="L311" i="957"/>
  <c r="G310" i="957"/>
  <c r="C309" i="957"/>
  <c r="N308" i="957"/>
  <c r="N307" i="957"/>
  <c r="N306" i="957"/>
  <c r="N305" i="957"/>
  <c r="N304" i="957"/>
  <c r="N303" i="957"/>
  <c r="N302" i="957"/>
  <c r="N301" i="957"/>
  <c r="N300" i="957"/>
  <c r="N299" i="957"/>
  <c r="E295" i="957"/>
  <c r="D295" i="957"/>
  <c r="C295" i="957"/>
  <c r="E294" i="957"/>
  <c r="D294" i="957"/>
  <c r="C294" i="957"/>
  <c r="E293" i="957"/>
  <c r="D293" i="957"/>
  <c r="C293" i="957"/>
  <c r="E292" i="957"/>
  <c r="D292" i="957"/>
  <c r="C292" i="957"/>
  <c r="E291" i="957"/>
  <c r="D291" i="957"/>
  <c r="C291" i="957"/>
  <c r="E290" i="957"/>
  <c r="D290" i="957"/>
  <c r="C290" i="957"/>
  <c r="E289" i="957"/>
  <c r="D289" i="957"/>
  <c r="C289" i="957"/>
  <c r="E288" i="957"/>
  <c r="D288" i="957"/>
  <c r="C288" i="957"/>
  <c r="E287" i="957"/>
  <c r="D287" i="957"/>
  <c r="C287" i="957"/>
  <c r="E286" i="957"/>
  <c r="D286" i="957"/>
  <c r="C286" i="957"/>
  <c r="AC285" i="957"/>
  <c r="AA285" i="957"/>
  <c r="Y285" i="957"/>
  <c r="E285" i="957"/>
  <c r="D285" i="957"/>
  <c r="C285" i="957"/>
  <c r="AC284" i="957"/>
  <c r="AA284" i="957"/>
  <c r="Y284" i="957"/>
  <c r="E284" i="957"/>
  <c r="D284" i="957"/>
  <c r="C284" i="957"/>
  <c r="AC283" i="957"/>
  <c r="AA283" i="957"/>
  <c r="Y283" i="957"/>
  <c r="E283" i="957"/>
  <c r="D283" i="957"/>
  <c r="C283" i="957"/>
  <c r="AC282" i="957"/>
  <c r="AA282" i="957"/>
  <c r="Y282" i="957"/>
  <c r="E282" i="957"/>
  <c r="D282" i="957"/>
  <c r="C282" i="957"/>
  <c r="AC281" i="957"/>
  <c r="AA281" i="957"/>
  <c r="Y281" i="957"/>
  <c r="E281" i="957"/>
  <c r="D281" i="957"/>
  <c r="C281" i="957"/>
  <c r="AC280" i="957"/>
  <c r="AA280" i="957"/>
  <c r="Y280" i="957"/>
  <c r="E280" i="957"/>
  <c r="D280" i="957"/>
  <c r="C280" i="957"/>
  <c r="AC279" i="957"/>
  <c r="AA279" i="957"/>
  <c r="Y279" i="957"/>
  <c r="E279" i="957"/>
  <c r="D279" i="957"/>
  <c r="C279" i="957"/>
  <c r="AC278" i="957"/>
  <c r="AA278" i="957"/>
  <c r="Y278" i="957"/>
  <c r="E278" i="957"/>
  <c r="D278" i="957"/>
  <c r="C278" i="957"/>
  <c r="AC277" i="957"/>
  <c r="AA277" i="957"/>
  <c r="Y277" i="957"/>
  <c r="E277" i="957"/>
  <c r="D277" i="957"/>
  <c r="C277" i="957"/>
  <c r="AC276" i="957"/>
  <c r="AA276" i="957"/>
  <c r="Y276" i="957"/>
  <c r="E276" i="957"/>
  <c r="D276" i="957"/>
  <c r="C276" i="957"/>
  <c r="AC275" i="957"/>
  <c r="AA275" i="957"/>
  <c r="Y275" i="957"/>
  <c r="E275" i="957"/>
  <c r="D275" i="957"/>
  <c r="C275" i="957"/>
  <c r="AC274" i="957"/>
  <c r="AA274" i="957"/>
  <c r="Y274" i="957"/>
  <c r="E274" i="957"/>
  <c r="D274" i="957"/>
  <c r="C274" i="957"/>
  <c r="AC273" i="957"/>
  <c r="AA273" i="957"/>
  <c r="Y273" i="957"/>
  <c r="E273" i="957"/>
  <c r="D273" i="957"/>
  <c r="C273" i="957"/>
  <c r="AC272" i="957"/>
  <c r="AA272" i="957"/>
  <c r="Y272" i="957"/>
  <c r="E272" i="957"/>
  <c r="D272" i="957"/>
  <c r="C272" i="957"/>
  <c r="AC271" i="957"/>
  <c r="AA271" i="957"/>
  <c r="Y271" i="957"/>
  <c r="E271" i="957"/>
  <c r="D271" i="957"/>
  <c r="C271" i="957"/>
  <c r="AC270" i="957"/>
  <c r="AA270" i="957"/>
  <c r="Y270" i="957"/>
  <c r="E270" i="957"/>
  <c r="D270" i="957"/>
  <c r="C270" i="957"/>
  <c r="AC269" i="957"/>
  <c r="AA269" i="957"/>
  <c r="Y269" i="957"/>
  <c r="E269" i="957"/>
  <c r="D269" i="957"/>
  <c r="C269" i="957"/>
  <c r="AC268" i="957"/>
  <c r="AA268" i="957"/>
  <c r="Y268" i="957"/>
  <c r="E268" i="957"/>
  <c r="D268" i="957"/>
  <c r="C268" i="957"/>
  <c r="AC267" i="957"/>
  <c r="AA267" i="957"/>
  <c r="Y267" i="957"/>
  <c r="E267" i="957"/>
  <c r="D267" i="957"/>
  <c r="C267" i="957"/>
  <c r="AC266" i="957"/>
  <c r="AA266" i="957"/>
  <c r="Y266" i="957"/>
  <c r="E266" i="957"/>
  <c r="D266" i="957"/>
  <c r="C266" i="957"/>
  <c r="AC265" i="957"/>
  <c r="AA265" i="957"/>
  <c r="Y265" i="957"/>
  <c r="E265" i="957"/>
  <c r="D265" i="957"/>
  <c r="C265" i="957"/>
  <c r="AC264" i="957"/>
  <c r="AA264" i="957"/>
  <c r="Y264" i="957"/>
  <c r="E264" i="957"/>
  <c r="D264" i="957"/>
  <c r="C264" i="957"/>
  <c r="AC263" i="957"/>
  <c r="AA263" i="957"/>
  <c r="Y263" i="957"/>
  <c r="E263" i="957"/>
  <c r="D263" i="957"/>
  <c r="C263" i="957"/>
  <c r="AC262" i="957"/>
  <c r="AA262" i="957"/>
  <c r="Y262" i="957"/>
  <c r="E262" i="957"/>
  <c r="D262" i="957"/>
  <c r="C262" i="957"/>
  <c r="AC261" i="957"/>
  <c r="AA261" i="957"/>
  <c r="Y261" i="957"/>
  <c r="E261" i="957"/>
  <c r="D261" i="957"/>
  <c r="C261" i="957"/>
  <c r="AC260" i="957"/>
  <c r="AA260" i="957"/>
  <c r="Y260" i="957"/>
  <c r="E260" i="957"/>
  <c r="D260" i="957"/>
  <c r="C260" i="957"/>
  <c r="AC259" i="957"/>
  <c r="AA259" i="957"/>
  <c r="Y259" i="957"/>
  <c r="E259" i="957"/>
  <c r="D259" i="957"/>
  <c r="C259" i="957"/>
  <c r="AC258" i="957"/>
  <c r="AA258" i="957"/>
  <c r="Y258" i="957"/>
  <c r="E258" i="957"/>
  <c r="D258" i="957"/>
  <c r="C258" i="957"/>
  <c r="AC257" i="957"/>
  <c r="AA257" i="957"/>
  <c r="Y257" i="957"/>
  <c r="E257" i="957"/>
  <c r="D257" i="957"/>
  <c r="C257" i="957"/>
  <c r="AC256" i="957"/>
  <c r="AA256" i="957"/>
  <c r="Y256" i="957"/>
  <c r="E256" i="957"/>
  <c r="D256" i="957"/>
  <c r="C256" i="957"/>
  <c r="AC255" i="957"/>
  <c r="AA255" i="957"/>
  <c r="Y255" i="957"/>
  <c r="E255" i="957"/>
  <c r="D255" i="957"/>
  <c r="C255" i="957"/>
  <c r="AC254" i="957"/>
  <c r="AA254" i="957"/>
  <c r="Y254" i="957"/>
  <c r="E254" i="957"/>
  <c r="D254" i="957"/>
  <c r="C254" i="957"/>
  <c r="AC253" i="957"/>
  <c r="AA253" i="957"/>
  <c r="Y253" i="957"/>
  <c r="E253" i="957"/>
  <c r="D253" i="957"/>
  <c r="C253" i="957"/>
  <c r="AC252" i="957"/>
  <c r="AA252" i="957"/>
  <c r="Y252" i="957"/>
  <c r="E252" i="957"/>
  <c r="D252" i="957"/>
  <c r="C252" i="957"/>
  <c r="AC251" i="957"/>
  <c r="AA251" i="957"/>
  <c r="Y251" i="957"/>
  <c r="E251" i="957"/>
  <c r="D251" i="957"/>
  <c r="C251" i="957"/>
  <c r="AC250" i="957"/>
  <c r="AA250" i="957"/>
  <c r="Y250" i="957"/>
  <c r="E250" i="957"/>
  <c r="D250" i="957"/>
  <c r="C250" i="957"/>
  <c r="AC249" i="957"/>
  <c r="AA249" i="957"/>
  <c r="Y249" i="957"/>
  <c r="E249" i="957"/>
  <c r="D249" i="957"/>
  <c r="C249" i="957"/>
  <c r="AC248" i="957"/>
  <c r="AA248" i="957"/>
  <c r="Y248" i="957"/>
  <c r="E248" i="957"/>
  <c r="D248" i="957"/>
  <c r="C248" i="957"/>
  <c r="AC247" i="957"/>
  <c r="AA247" i="957"/>
  <c r="Y247" i="957"/>
  <c r="E247" i="957"/>
  <c r="D247" i="957"/>
  <c r="C247" i="957"/>
  <c r="AC246" i="957"/>
  <c r="AA246" i="957"/>
  <c r="Y246" i="957"/>
  <c r="E246" i="957"/>
  <c r="D246" i="957"/>
  <c r="C246" i="957"/>
  <c r="AC245" i="957"/>
  <c r="AA245" i="957"/>
  <c r="Y245" i="957"/>
  <c r="E245" i="957"/>
  <c r="D245" i="957"/>
  <c r="C245" i="957"/>
  <c r="AC244" i="957"/>
  <c r="AA244" i="957"/>
  <c r="Y244" i="957"/>
  <c r="E244" i="957"/>
  <c r="D244" i="957"/>
  <c r="C244" i="957"/>
  <c r="AC243" i="957"/>
  <c r="AA243" i="957"/>
  <c r="Y243" i="957"/>
  <c r="E243" i="957"/>
  <c r="D243" i="957"/>
  <c r="C243" i="957"/>
  <c r="AC242" i="957"/>
  <c r="AA242" i="957"/>
  <c r="Y242" i="957"/>
  <c r="E242" i="957"/>
  <c r="D242" i="957"/>
  <c r="C242" i="957"/>
  <c r="AC241" i="957"/>
  <c r="AA241" i="957"/>
  <c r="Y241" i="957"/>
  <c r="E241" i="957"/>
  <c r="D241" i="957"/>
  <c r="C241" i="957"/>
  <c r="AC240" i="957"/>
  <c r="AA240" i="957"/>
  <c r="Y240" i="957"/>
  <c r="E240" i="957"/>
  <c r="D240" i="957"/>
  <c r="C240" i="957"/>
  <c r="AC239" i="957"/>
  <c r="AA239" i="957"/>
  <c r="Y239" i="957"/>
  <c r="E239" i="957"/>
  <c r="D239" i="957"/>
  <c r="C239" i="957"/>
  <c r="AC238" i="957"/>
  <c r="AA238" i="957"/>
  <c r="Y238" i="957"/>
  <c r="E238" i="957"/>
  <c r="D238" i="957"/>
  <c r="C238" i="957"/>
  <c r="AC237" i="957"/>
  <c r="AA237" i="957"/>
  <c r="Y237" i="957"/>
  <c r="V237" i="957"/>
  <c r="S237" i="957"/>
  <c r="P237" i="957"/>
  <c r="E237" i="957"/>
  <c r="D237" i="957"/>
  <c r="C237" i="957"/>
  <c r="AC236" i="957"/>
  <c r="AA236" i="957"/>
  <c r="Y236" i="957"/>
  <c r="V236" i="957"/>
  <c r="S236" i="957"/>
  <c r="P236" i="957"/>
  <c r="E236" i="957"/>
  <c r="D236" i="957"/>
  <c r="C236" i="957"/>
  <c r="AC235" i="957"/>
  <c r="AA235" i="957"/>
  <c r="Y235" i="957"/>
  <c r="V235" i="957"/>
  <c r="S235" i="957"/>
  <c r="P235" i="957"/>
  <c r="E235" i="957"/>
  <c r="D235" i="957"/>
  <c r="C235" i="957"/>
  <c r="AC234" i="957"/>
  <c r="AA234" i="957"/>
  <c r="Y234" i="957"/>
  <c r="V234" i="957"/>
  <c r="S234" i="957"/>
  <c r="P234" i="957"/>
  <c r="E234" i="957"/>
  <c r="D234" i="957"/>
  <c r="C234" i="957"/>
  <c r="AC233" i="957"/>
  <c r="AA233" i="957"/>
  <c r="Y233" i="957"/>
  <c r="E233" i="957"/>
  <c r="D233" i="957"/>
  <c r="C233" i="957"/>
  <c r="W232" i="957"/>
  <c r="V232" i="957"/>
  <c r="T232" i="957"/>
  <c r="S232" i="957"/>
  <c r="Q232" i="957"/>
  <c r="P232" i="957"/>
  <c r="E232" i="957"/>
  <c r="D232" i="957"/>
  <c r="C232" i="957"/>
  <c r="E231" i="957"/>
  <c r="D231" i="957"/>
  <c r="C231" i="957"/>
  <c r="AC230" i="957"/>
  <c r="AD244" i="957" s="1"/>
  <c r="AA230" i="957"/>
  <c r="AB275" i="957" s="1"/>
  <c r="Y230" i="957"/>
  <c r="Z275" i="957" s="1"/>
  <c r="E230" i="957"/>
  <c r="D230" i="957"/>
  <c r="C230" i="957"/>
  <c r="E229" i="957"/>
  <c r="D229" i="957"/>
  <c r="C229" i="957"/>
  <c r="E228" i="957"/>
  <c r="D228" i="957"/>
  <c r="C228" i="957"/>
  <c r="E227" i="957"/>
  <c r="D227" i="957"/>
  <c r="C227" i="957"/>
  <c r="E226" i="957"/>
  <c r="D226" i="957"/>
  <c r="C226" i="957"/>
  <c r="I225" i="957"/>
  <c r="B225" i="957" s="1"/>
  <c r="E225" i="957"/>
  <c r="D225" i="957"/>
  <c r="C225" i="957"/>
  <c r="N224" i="957"/>
  <c r="Y223" i="957"/>
  <c r="N223" i="957"/>
  <c r="Y222" i="957"/>
  <c r="N222" i="957"/>
  <c r="N221" i="957"/>
  <c r="N220" i="957"/>
  <c r="N219" i="957"/>
  <c r="N218" i="957"/>
  <c r="N217" i="957"/>
  <c r="J216" i="957"/>
  <c r="I216" i="957"/>
  <c r="E216" i="957"/>
  <c r="D216" i="957"/>
  <c r="C216" i="957"/>
  <c r="J215" i="957"/>
  <c r="I215" i="957"/>
  <c r="N215" i="957" s="1"/>
  <c r="E215" i="957"/>
  <c r="D215" i="957"/>
  <c r="C215" i="957"/>
  <c r="J214" i="957"/>
  <c r="I214" i="957"/>
  <c r="N214" i="957" s="1"/>
  <c r="E214" i="957"/>
  <c r="D214" i="957"/>
  <c r="C214" i="957"/>
  <c r="J213" i="957"/>
  <c r="I213" i="957"/>
  <c r="N213" i="957" s="1"/>
  <c r="E213" i="957"/>
  <c r="D213" i="957"/>
  <c r="C213" i="957"/>
  <c r="J212" i="957"/>
  <c r="I212" i="957"/>
  <c r="N212" i="957" s="1"/>
  <c r="E212" i="957"/>
  <c r="D212" i="957"/>
  <c r="C212" i="957"/>
  <c r="J211" i="957"/>
  <c r="I211" i="957"/>
  <c r="N211" i="957" s="1"/>
  <c r="E211" i="957"/>
  <c r="D211" i="957"/>
  <c r="C211" i="957"/>
  <c r="J210" i="957"/>
  <c r="I210" i="957"/>
  <c r="N210" i="957" s="1"/>
  <c r="E210" i="957"/>
  <c r="D210" i="957"/>
  <c r="C210" i="957"/>
  <c r="J209" i="957"/>
  <c r="I209" i="957"/>
  <c r="N209" i="957" s="1"/>
  <c r="E209" i="957"/>
  <c r="D209" i="957"/>
  <c r="C209" i="957"/>
  <c r="J208" i="957"/>
  <c r="I208" i="957"/>
  <c r="E208" i="957"/>
  <c r="D208" i="957"/>
  <c r="C208" i="957"/>
  <c r="J207" i="957"/>
  <c r="I207" i="957"/>
  <c r="N207" i="957" s="1"/>
  <c r="E207" i="957"/>
  <c r="D207" i="957"/>
  <c r="C207" i="957"/>
  <c r="J206" i="957"/>
  <c r="I206" i="957"/>
  <c r="N206" i="957" s="1"/>
  <c r="E206" i="957"/>
  <c r="D206" i="957"/>
  <c r="C206" i="957"/>
  <c r="J205" i="957"/>
  <c r="I205" i="957"/>
  <c r="N205" i="957" s="1"/>
  <c r="E205" i="957"/>
  <c r="D205" i="957"/>
  <c r="C205" i="957"/>
  <c r="J204" i="957"/>
  <c r="I204" i="957"/>
  <c r="N204" i="957" s="1"/>
  <c r="E204" i="957"/>
  <c r="D204" i="957"/>
  <c r="C204" i="957"/>
  <c r="J203" i="957"/>
  <c r="I203" i="957"/>
  <c r="N203" i="957" s="1"/>
  <c r="E203" i="957"/>
  <c r="D203" i="957"/>
  <c r="C203" i="957"/>
  <c r="J202" i="957"/>
  <c r="I202" i="957"/>
  <c r="N202" i="957" s="1"/>
  <c r="E202" i="957"/>
  <c r="D202" i="957"/>
  <c r="C202" i="957"/>
  <c r="J201" i="957"/>
  <c r="I201" i="957"/>
  <c r="N201" i="957" s="1"/>
  <c r="E201" i="957"/>
  <c r="D201" i="957"/>
  <c r="C201" i="957"/>
  <c r="J200" i="957"/>
  <c r="I200" i="957"/>
  <c r="E200" i="957"/>
  <c r="D200" i="957"/>
  <c r="C200" i="957"/>
  <c r="J199" i="957"/>
  <c r="I199" i="957"/>
  <c r="N199" i="957" s="1"/>
  <c r="E199" i="957"/>
  <c r="D199" i="957"/>
  <c r="C199" i="957"/>
  <c r="J198" i="957"/>
  <c r="I198" i="957"/>
  <c r="N198" i="957" s="1"/>
  <c r="E198" i="957"/>
  <c r="D198" i="957"/>
  <c r="C198" i="957"/>
  <c r="J197" i="957"/>
  <c r="I197" i="957"/>
  <c r="N197" i="957" s="1"/>
  <c r="E197" i="957"/>
  <c r="D197" i="957"/>
  <c r="C197" i="957"/>
  <c r="J196" i="957"/>
  <c r="I196" i="957"/>
  <c r="N196" i="957" s="1"/>
  <c r="E196" i="957"/>
  <c r="D196" i="957"/>
  <c r="C196" i="957"/>
  <c r="J195" i="957"/>
  <c r="I195" i="957"/>
  <c r="N195" i="957" s="1"/>
  <c r="E195" i="957"/>
  <c r="D195" i="957"/>
  <c r="C195" i="957"/>
  <c r="J194" i="957"/>
  <c r="I194" i="957"/>
  <c r="N194" i="957" s="1"/>
  <c r="E194" i="957"/>
  <c r="D194" i="957"/>
  <c r="C194" i="957"/>
  <c r="J193" i="957"/>
  <c r="I193" i="957"/>
  <c r="E193" i="957"/>
  <c r="D193" i="957"/>
  <c r="C193" i="957"/>
  <c r="J192" i="957"/>
  <c r="I192" i="957"/>
  <c r="E192" i="957"/>
  <c r="D192" i="957"/>
  <c r="C192" i="957"/>
  <c r="J191" i="957"/>
  <c r="I191" i="957"/>
  <c r="N191" i="957" s="1"/>
  <c r="E191" i="957"/>
  <c r="D191" i="957"/>
  <c r="C191" i="957"/>
  <c r="J190" i="957"/>
  <c r="I190" i="957"/>
  <c r="N190" i="957" s="1"/>
  <c r="E190" i="957"/>
  <c r="D190" i="957"/>
  <c r="C190" i="957"/>
  <c r="J189" i="957"/>
  <c r="I189" i="957"/>
  <c r="N189" i="957" s="1"/>
  <c r="E189" i="957"/>
  <c r="D189" i="957"/>
  <c r="C189" i="957"/>
  <c r="J188" i="957"/>
  <c r="I188" i="957"/>
  <c r="N188" i="957" s="1"/>
  <c r="E188" i="957"/>
  <c r="D188" i="957"/>
  <c r="C188" i="957"/>
  <c r="J187" i="957"/>
  <c r="I187" i="957"/>
  <c r="N187" i="957" s="1"/>
  <c r="E187" i="957"/>
  <c r="D187" i="957"/>
  <c r="C187" i="957"/>
  <c r="AD186" i="957"/>
  <c r="AC186" i="957"/>
  <c r="I974" i="957" s="1"/>
  <c r="J186" i="957"/>
  <c r="I186" i="957"/>
  <c r="E186" i="957"/>
  <c r="D186" i="957"/>
  <c r="C186" i="957"/>
  <c r="J185" i="957"/>
  <c r="I185" i="957"/>
  <c r="N185" i="957" s="1"/>
  <c r="E185" i="957"/>
  <c r="D185" i="957"/>
  <c r="C185" i="957"/>
  <c r="J184" i="957"/>
  <c r="I184" i="957"/>
  <c r="N184" i="957" s="1"/>
  <c r="E184" i="957"/>
  <c r="D184" i="957"/>
  <c r="C184" i="957"/>
  <c r="J183" i="957"/>
  <c r="I183" i="957"/>
  <c r="N183" i="957" s="1"/>
  <c r="E183" i="957"/>
  <c r="D183" i="957"/>
  <c r="C183" i="957"/>
  <c r="J182" i="957"/>
  <c r="I182" i="957"/>
  <c r="E182" i="957"/>
  <c r="D182" i="957"/>
  <c r="C182" i="957"/>
  <c r="J181" i="957"/>
  <c r="I181" i="957"/>
  <c r="N181" i="957" s="1"/>
  <c r="E181" i="957"/>
  <c r="D181" i="957"/>
  <c r="C181" i="957"/>
  <c r="J180" i="957"/>
  <c r="I180" i="957"/>
  <c r="N180" i="957" s="1"/>
  <c r="E180" i="957"/>
  <c r="D180" i="957"/>
  <c r="C180" i="957"/>
  <c r="J179" i="957"/>
  <c r="I179" i="957"/>
  <c r="N179" i="957" s="1"/>
  <c r="E179" i="957"/>
  <c r="D179" i="957"/>
  <c r="C179" i="957"/>
  <c r="J178" i="957"/>
  <c r="I178" i="957"/>
  <c r="E178" i="957"/>
  <c r="D178" i="957"/>
  <c r="C178" i="957"/>
  <c r="J177" i="957"/>
  <c r="I177" i="957"/>
  <c r="N177" i="957" s="1"/>
  <c r="E177" i="957"/>
  <c r="D177" i="957"/>
  <c r="C177" i="957"/>
  <c r="V176" i="957"/>
  <c r="S176" i="957"/>
  <c r="J176" i="957"/>
  <c r="I176" i="957"/>
  <c r="N176" i="957" s="1"/>
  <c r="E176" i="957"/>
  <c r="D176" i="957"/>
  <c r="C176" i="957"/>
  <c r="V175" i="957"/>
  <c r="S175" i="957"/>
  <c r="J175" i="957"/>
  <c r="I175" i="957"/>
  <c r="N175" i="957" s="1"/>
  <c r="E175" i="957"/>
  <c r="D175" i="957"/>
  <c r="C175" i="957"/>
  <c r="V174" i="957"/>
  <c r="S174" i="957"/>
  <c r="J174" i="957"/>
  <c r="I174" i="957"/>
  <c r="N174" i="957" s="1"/>
  <c r="E174" i="957"/>
  <c r="D174" i="957"/>
  <c r="C174" i="957"/>
  <c r="V173" i="957"/>
  <c r="S173" i="957"/>
  <c r="J173" i="957"/>
  <c r="I173" i="957"/>
  <c r="N173" i="957" s="1"/>
  <c r="E173" i="957"/>
  <c r="D173" i="957"/>
  <c r="C173" i="957"/>
  <c r="V172" i="957"/>
  <c r="S172" i="957"/>
  <c r="J172" i="957"/>
  <c r="I172" i="957"/>
  <c r="E172" i="957"/>
  <c r="D172" i="957"/>
  <c r="C172" i="957"/>
  <c r="J171" i="957"/>
  <c r="I171" i="957"/>
  <c r="N171" i="957" s="1"/>
  <c r="E171" i="957"/>
  <c r="D171" i="957"/>
  <c r="C171" i="957"/>
  <c r="R170" i="957"/>
  <c r="T170" i="957" s="1"/>
  <c r="J170" i="957"/>
  <c r="I170" i="957"/>
  <c r="N170" i="957" s="1"/>
  <c r="E170" i="957"/>
  <c r="D170" i="957"/>
  <c r="C170" i="957"/>
  <c r="J169" i="957"/>
  <c r="I169" i="957"/>
  <c r="N169" i="957" s="1"/>
  <c r="E169" i="957"/>
  <c r="D169" i="957"/>
  <c r="C169" i="957"/>
  <c r="J168" i="957"/>
  <c r="I168" i="957"/>
  <c r="N168" i="957" s="1"/>
  <c r="E168" i="957"/>
  <c r="D168" i="957"/>
  <c r="C168" i="957"/>
  <c r="J167" i="957"/>
  <c r="I167" i="957"/>
  <c r="E167" i="957"/>
  <c r="D167" i="957"/>
  <c r="C167" i="957"/>
  <c r="J166" i="957"/>
  <c r="I166" i="957"/>
  <c r="N166" i="957" s="1"/>
  <c r="E166" i="957"/>
  <c r="D166" i="957"/>
  <c r="C166" i="957"/>
  <c r="J165" i="957"/>
  <c r="I165" i="957"/>
  <c r="N165" i="957" s="1"/>
  <c r="E165" i="957"/>
  <c r="D165" i="957"/>
  <c r="C165" i="957"/>
  <c r="J164" i="957"/>
  <c r="I164" i="957"/>
  <c r="N164" i="957" s="1"/>
  <c r="E164" i="957"/>
  <c r="D164" i="957"/>
  <c r="C164" i="957"/>
  <c r="R163" i="957"/>
  <c r="P163" i="957"/>
  <c r="J163" i="957"/>
  <c r="I163" i="957"/>
  <c r="N163" i="957" s="1"/>
  <c r="E163" i="957"/>
  <c r="D163" i="957"/>
  <c r="C163" i="957"/>
  <c r="R162" i="957"/>
  <c r="P162" i="957"/>
  <c r="J162" i="957"/>
  <c r="I162" i="957"/>
  <c r="N162" i="957" s="1"/>
  <c r="E162" i="957"/>
  <c r="D162" i="957"/>
  <c r="C162" i="957"/>
  <c r="T161" i="957"/>
  <c r="R161" i="957"/>
  <c r="P161" i="957"/>
  <c r="J161" i="957"/>
  <c r="I161" i="957"/>
  <c r="N161" i="957" s="1"/>
  <c r="E161" i="957"/>
  <c r="D161" i="957"/>
  <c r="C161" i="957"/>
  <c r="P160" i="957"/>
  <c r="C774" i="957" s="1"/>
  <c r="J160" i="957"/>
  <c r="I160" i="957"/>
  <c r="E160" i="957"/>
  <c r="D160" i="957"/>
  <c r="C160" i="957"/>
  <c r="J159" i="957"/>
  <c r="I159" i="957"/>
  <c r="N159" i="957" s="1"/>
  <c r="E159" i="957"/>
  <c r="D159" i="957"/>
  <c r="C159" i="957"/>
  <c r="J158" i="957"/>
  <c r="I158" i="957"/>
  <c r="N158" i="957" s="1"/>
  <c r="E158" i="957"/>
  <c r="D158" i="957"/>
  <c r="C158" i="957"/>
  <c r="J157" i="957"/>
  <c r="I157" i="957"/>
  <c r="N157" i="957" s="1"/>
  <c r="E157" i="957"/>
  <c r="D157" i="957"/>
  <c r="C157" i="957"/>
  <c r="Z156" i="957"/>
  <c r="I768" i="957" s="1"/>
  <c r="S156" i="957"/>
  <c r="J156" i="957"/>
  <c r="I156" i="957"/>
  <c r="N156" i="957" s="1"/>
  <c r="E156" i="957"/>
  <c r="D156" i="957"/>
  <c r="C156" i="957"/>
  <c r="J155" i="957"/>
  <c r="I155" i="957"/>
  <c r="N155" i="957" s="1"/>
  <c r="E155" i="957"/>
  <c r="D155" i="957"/>
  <c r="C155" i="957"/>
  <c r="T154" i="957"/>
  <c r="S154" i="957"/>
  <c r="J154" i="957"/>
  <c r="I154" i="957"/>
  <c r="N154" i="957" s="1"/>
  <c r="E154" i="957"/>
  <c r="D154" i="957"/>
  <c r="C154" i="957"/>
  <c r="R153" i="957"/>
  <c r="J153" i="957"/>
  <c r="I153" i="957"/>
  <c r="N153" i="957" s="1"/>
  <c r="E153" i="957"/>
  <c r="D153" i="957"/>
  <c r="C153" i="957"/>
  <c r="AN152" i="957"/>
  <c r="AD152" i="957"/>
  <c r="I749" i="957" s="1"/>
  <c r="AC152" i="957"/>
  <c r="I750" i="957" s="1"/>
  <c r="AB152" i="957"/>
  <c r="I748" i="957" s="1"/>
  <c r="AA152" i="957"/>
  <c r="Z152" i="957"/>
  <c r="I753" i="957" s="1"/>
  <c r="Y152" i="957"/>
  <c r="I754" i="957" s="1"/>
  <c r="J152" i="957"/>
  <c r="I152" i="957"/>
  <c r="N152" i="957" s="1"/>
  <c r="E152" i="957"/>
  <c r="D152" i="957"/>
  <c r="C152" i="957"/>
  <c r="AN151" i="957"/>
  <c r="AD151" i="957"/>
  <c r="I734" i="957" s="1"/>
  <c r="AC151" i="957"/>
  <c r="I735" i="957" s="1"/>
  <c r="AB151" i="957"/>
  <c r="I733" i="957" s="1"/>
  <c r="AA151" i="957"/>
  <c r="Z151" i="957"/>
  <c r="I738" i="957" s="1"/>
  <c r="Y151" i="957"/>
  <c r="J151" i="957"/>
  <c r="I151" i="957"/>
  <c r="E151" i="957"/>
  <c r="D151" i="957"/>
  <c r="C151" i="957"/>
  <c r="AN150" i="957"/>
  <c r="AD150" i="957"/>
  <c r="I719" i="957" s="1"/>
  <c r="AC150" i="957"/>
  <c r="I720" i="957" s="1"/>
  <c r="AB150" i="957"/>
  <c r="I718" i="957" s="1"/>
  <c r="AA150" i="957"/>
  <c r="Z150" i="957"/>
  <c r="I723" i="957" s="1"/>
  <c r="Y150" i="957"/>
  <c r="J150" i="957"/>
  <c r="I150" i="957"/>
  <c r="N150" i="957" s="1"/>
  <c r="E150" i="957"/>
  <c r="D150" i="957"/>
  <c r="C150" i="957"/>
  <c r="AN149" i="957"/>
  <c r="AD149" i="957"/>
  <c r="I704" i="957" s="1"/>
  <c r="AC149" i="957"/>
  <c r="I705" i="957" s="1"/>
  <c r="AB149" i="957"/>
  <c r="I703" i="957" s="1"/>
  <c r="AA149" i="957"/>
  <c r="Z149" i="957"/>
  <c r="I708" i="957" s="1"/>
  <c r="Y149" i="957"/>
  <c r="I709" i="957" s="1"/>
  <c r="J149" i="957"/>
  <c r="I149" i="957"/>
  <c r="N149" i="957" s="1"/>
  <c r="E149" i="957"/>
  <c r="D149" i="957"/>
  <c r="C149" i="957"/>
  <c r="J148" i="957"/>
  <c r="I148" i="957"/>
  <c r="N148" i="957" s="1"/>
  <c r="E148" i="957"/>
  <c r="D148" i="957"/>
  <c r="C148" i="957"/>
  <c r="T147" i="957"/>
  <c r="Q147" i="957"/>
  <c r="J147" i="957"/>
  <c r="I147" i="957"/>
  <c r="N147" i="957" s="1"/>
  <c r="E147" i="957"/>
  <c r="D147" i="957"/>
  <c r="C147" i="957"/>
  <c r="Q146" i="957"/>
  <c r="J146" i="957"/>
  <c r="I146" i="957"/>
  <c r="N146" i="957" s="1"/>
  <c r="E146" i="957"/>
  <c r="D146" i="957"/>
  <c r="C146" i="957"/>
  <c r="AN145" i="957"/>
  <c r="Z145" i="957"/>
  <c r="I693" i="957" s="1"/>
  <c r="Y145" i="957"/>
  <c r="J145" i="957"/>
  <c r="I145" i="957"/>
  <c r="N145" i="957" s="1"/>
  <c r="E145" i="957"/>
  <c r="D145" i="957"/>
  <c r="C145" i="957"/>
  <c r="AN144" i="957"/>
  <c r="Z144" i="957"/>
  <c r="I678" i="957" s="1"/>
  <c r="Y144" i="957"/>
  <c r="I679" i="957" s="1"/>
  <c r="J144" i="957"/>
  <c r="I144" i="957"/>
  <c r="N144" i="957" s="1"/>
  <c r="E144" i="957"/>
  <c r="D144" i="957"/>
  <c r="C144" i="957"/>
  <c r="AN143" i="957"/>
  <c r="Z143" i="957"/>
  <c r="I663" i="957" s="1"/>
  <c r="Y143" i="957"/>
  <c r="I664" i="957" s="1"/>
  <c r="J143" i="957"/>
  <c r="I143" i="957"/>
  <c r="N143" i="957" s="1"/>
  <c r="E143" i="957"/>
  <c r="D143" i="957"/>
  <c r="C143" i="957"/>
  <c r="AN142" i="957"/>
  <c r="Z142" i="957"/>
  <c r="I648" i="957" s="1"/>
  <c r="Y142" i="957"/>
  <c r="I649" i="957" s="1"/>
  <c r="J142" i="957"/>
  <c r="I142" i="957"/>
  <c r="N142" i="957" s="1"/>
  <c r="E142" i="957"/>
  <c r="D142" i="957"/>
  <c r="C142" i="957"/>
  <c r="AN141" i="957"/>
  <c r="Z141" i="957"/>
  <c r="I633" i="957" s="1"/>
  <c r="Y141" i="957"/>
  <c r="I634" i="957" s="1"/>
  <c r="J141" i="957"/>
  <c r="I141" i="957"/>
  <c r="N141" i="957" s="1"/>
  <c r="E141" i="957"/>
  <c r="D141" i="957"/>
  <c r="C141" i="957"/>
  <c r="J140" i="957"/>
  <c r="I140" i="957"/>
  <c r="N140" i="957" s="1"/>
  <c r="E140" i="957"/>
  <c r="D140" i="957"/>
  <c r="C140" i="957"/>
  <c r="T139" i="957"/>
  <c r="S139" i="957"/>
  <c r="R139" i="957"/>
  <c r="Q139" i="957"/>
  <c r="J139" i="957"/>
  <c r="I139" i="957"/>
  <c r="N139" i="957" s="1"/>
  <c r="E139" i="957"/>
  <c r="D139" i="957"/>
  <c r="C139" i="957"/>
  <c r="P138" i="957"/>
  <c r="J138" i="957"/>
  <c r="I138" i="957"/>
  <c r="N138" i="957" s="1"/>
  <c r="E138" i="957"/>
  <c r="D138" i="957"/>
  <c r="C138" i="957"/>
  <c r="AN137" i="957"/>
  <c r="AD137" i="957"/>
  <c r="I614" i="957" s="1"/>
  <c r="AC137" i="957"/>
  <c r="I615" i="957" s="1"/>
  <c r="AB137" i="957"/>
  <c r="I613" i="957" s="1"/>
  <c r="Z137" i="957"/>
  <c r="I618" i="957" s="1"/>
  <c r="Y137" i="957"/>
  <c r="I619" i="957" s="1"/>
  <c r="J137" i="957"/>
  <c r="I137" i="957"/>
  <c r="C137" i="957"/>
  <c r="AN136" i="957"/>
  <c r="AD136" i="957"/>
  <c r="I599" i="957" s="1"/>
  <c r="AC136" i="957"/>
  <c r="I600" i="957" s="1"/>
  <c r="AB136" i="957"/>
  <c r="I598" i="957" s="1"/>
  <c r="Z136" i="957"/>
  <c r="I603" i="957" s="1"/>
  <c r="Y136" i="957"/>
  <c r="I604" i="957" s="1"/>
  <c r="N136" i="957"/>
  <c r="AN135" i="957"/>
  <c r="AD135" i="957"/>
  <c r="I584" i="957" s="1"/>
  <c r="AC135" i="957"/>
  <c r="I585" i="957" s="1"/>
  <c r="AB135" i="957"/>
  <c r="I583" i="957" s="1"/>
  <c r="Z135" i="957"/>
  <c r="I588" i="957" s="1"/>
  <c r="Y135" i="957"/>
  <c r="I589" i="957" s="1"/>
  <c r="N135" i="957"/>
  <c r="AN134" i="957"/>
  <c r="AD134" i="957"/>
  <c r="I569" i="957" s="1"/>
  <c r="AC134" i="957"/>
  <c r="I570" i="957" s="1"/>
  <c r="AB134" i="957"/>
  <c r="I568" i="957" s="1"/>
  <c r="Z134" i="957"/>
  <c r="I573" i="957" s="1"/>
  <c r="Y134" i="957"/>
  <c r="I574" i="957" s="1"/>
  <c r="N134" i="957"/>
  <c r="AN133" i="957"/>
  <c r="AD133" i="957"/>
  <c r="I554" i="957" s="1"/>
  <c r="AC133" i="957"/>
  <c r="I555" i="957" s="1"/>
  <c r="AB133" i="957"/>
  <c r="I553" i="957" s="1"/>
  <c r="Z133" i="957"/>
  <c r="I558" i="957" s="1"/>
  <c r="Y133" i="957"/>
  <c r="I559" i="957" s="1"/>
  <c r="N133" i="957"/>
  <c r="N132" i="957"/>
  <c r="T131" i="957"/>
  <c r="S131" i="957"/>
  <c r="R131" i="957"/>
  <c r="Q131" i="957"/>
  <c r="N131" i="957"/>
  <c r="P130" i="957"/>
  <c r="N130" i="957"/>
  <c r="N129" i="957"/>
  <c r="C126" i="957"/>
  <c r="N128" i="957" s="1"/>
  <c r="C123" i="957"/>
  <c r="N125" i="957" s="1"/>
  <c r="C120" i="957"/>
  <c r="N122" i="957" s="1"/>
  <c r="N119" i="957"/>
  <c r="N118" i="957"/>
  <c r="N117" i="957"/>
  <c r="N116" i="957"/>
  <c r="F116" i="957"/>
  <c r="G116" i="957" s="1"/>
  <c r="U111" i="957"/>
  <c r="U110" i="957"/>
  <c r="T106" i="957"/>
  <c r="R106" i="957"/>
  <c r="P106" i="957"/>
  <c r="C106" i="957"/>
  <c r="T105" i="957"/>
  <c r="R105" i="957"/>
  <c r="P105" i="957"/>
  <c r="C105" i="957"/>
  <c r="T104" i="957"/>
  <c r="R104" i="957"/>
  <c r="P104" i="957"/>
  <c r="C104" i="957"/>
  <c r="P103" i="957"/>
  <c r="C534" i="957" s="1"/>
  <c r="C103" i="957"/>
  <c r="F103" i="957" s="1"/>
  <c r="C102" i="957"/>
  <c r="F102" i="957" s="1"/>
  <c r="AN101" i="957"/>
  <c r="AC101" i="957"/>
  <c r="I524" i="957" s="1"/>
  <c r="AB101" i="957"/>
  <c r="I525" i="957" s="1"/>
  <c r="AA101" i="957"/>
  <c r="I523" i="957" s="1"/>
  <c r="Z101" i="957"/>
  <c r="I520" i="957" s="1"/>
  <c r="Y101" i="957"/>
  <c r="I529" i="957" s="1"/>
  <c r="S100" i="957"/>
  <c r="R100" i="957"/>
  <c r="Q99" i="957"/>
  <c r="AN98" i="957"/>
  <c r="AK98" i="957"/>
  <c r="F516" i="957" s="1"/>
  <c r="AI98" i="957"/>
  <c r="F517" i="957" s="1"/>
  <c r="AG98" i="957"/>
  <c r="F515" i="957" s="1"/>
  <c r="AE98" i="957"/>
  <c r="I509" i="957" s="1"/>
  <c r="AD98" i="957"/>
  <c r="I510" i="957" s="1"/>
  <c r="AC98" i="957"/>
  <c r="I508" i="957" s="1"/>
  <c r="AB98" i="957"/>
  <c r="I511" i="957" s="1"/>
  <c r="AA98" i="957"/>
  <c r="Z98" i="957"/>
  <c r="I507" i="957" s="1"/>
  <c r="Y98" i="957"/>
  <c r="I514" i="957" s="1"/>
  <c r="AN97" i="957"/>
  <c r="AK97" i="957"/>
  <c r="F501" i="957" s="1"/>
  <c r="AI97" i="957"/>
  <c r="F502" i="957" s="1"/>
  <c r="AG97" i="957"/>
  <c r="F500" i="957" s="1"/>
  <c r="AE97" i="957"/>
  <c r="I494" i="957" s="1"/>
  <c r="AD97" i="957"/>
  <c r="I495" i="957" s="1"/>
  <c r="AC97" i="957"/>
  <c r="I493" i="957" s="1"/>
  <c r="AB97" i="957"/>
  <c r="I496" i="957" s="1"/>
  <c r="AA97" i="957"/>
  <c r="Z97" i="957"/>
  <c r="I492" i="957" s="1"/>
  <c r="Y97" i="957"/>
  <c r="I499" i="957" s="1"/>
  <c r="AN96" i="957"/>
  <c r="AK96" i="957"/>
  <c r="F486" i="957" s="1"/>
  <c r="AI96" i="957"/>
  <c r="F487" i="957" s="1"/>
  <c r="AG96" i="957"/>
  <c r="F485" i="957" s="1"/>
  <c r="AE96" i="957"/>
  <c r="I479" i="957" s="1"/>
  <c r="AD96" i="957"/>
  <c r="I480" i="957" s="1"/>
  <c r="AC96" i="957"/>
  <c r="I478" i="957" s="1"/>
  <c r="AB96" i="957"/>
  <c r="I481" i="957" s="1"/>
  <c r="AA96" i="957"/>
  <c r="Z96" i="957"/>
  <c r="I477" i="957" s="1"/>
  <c r="Y96" i="957"/>
  <c r="I484" i="957" s="1"/>
  <c r="AN95" i="957"/>
  <c r="AK95" i="957"/>
  <c r="F471" i="957" s="1"/>
  <c r="AI95" i="957"/>
  <c r="F472" i="957" s="1"/>
  <c r="AG95" i="957"/>
  <c r="F470" i="957" s="1"/>
  <c r="AE95" i="957"/>
  <c r="I464" i="957" s="1"/>
  <c r="AD95" i="957"/>
  <c r="I465" i="957" s="1"/>
  <c r="AC95" i="957"/>
  <c r="I463" i="957" s="1"/>
  <c r="AB95" i="957"/>
  <c r="I466" i="957" s="1"/>
  <c r="AA95" i="957"/>
  <c r="Z95" i="957"/>
  <c r="I462" i="957" s="1"/>
  <c r="Y95" i="957"/>
  <c r="I469" i="957" s="1"/>
  <c r="T94" i="957"/>
  <c r="S94" i="957"/>
  <c r="R94" i="957"/>
  <c r="Q93" i="957"/>
  <c r="AN92" i="957"/>
  <c r="AK92" i="957"/>
  <c r="F456" i="957" s="1"/>
  <c r="AI92" i="957"/>
  <c r="F457" i="957" s="1"/>
  <c r="AG92" i="957"/>
  <c r="F455" i="957" s="1"/>
  <c r="AE92" i="957"/>
  <c r="I449" i="957" s="1"/>
  <c r="AD92" i="957"/>
  <c r="I450" i="957" s="1"/>
  <c r="AC92" i="957"/>
  <c r="I448" i="957" s="1"/>
  <c r="AB92" i="957"/>
  <c r="I451" i="957" s="1"/>
  <c r="AA92" i="957"/>
  <c r="I445" i="957" s="1"/>
  <c r="Z92" i="957"/>
  <c r="I447" i="957" s="1"/>
  <c r="Y92" i="957"/>
  <c r="I454" i="957" s="1"/>
  <c r="AN91" i="957"/>
  <c r="AK91" i="957"/>
  <c r="F441" i="957" s="1"/>
  <c r="AI91" i="957"/>
  <c r="F442" i="957" s="1"/>
  <c r="AG91" i="957"/>
  <c r="F440" i="957" s="1"/>
  <c r="AE91" i="957"/>
  <c r="I434" i="957" s="1"/>
  <c r="AD91" i="957"/>
  <c r="I435" i="957" s="1"/>
  <c r="AC91" i="957"/>
  <c r="I433" i="957" s="1"/>
  <c r="AB91" i="957"/>
  <c r="I436" i="957" s="1"/>
  <c r="AA91" i="957"/>
  <c r="I430" i="957" s="1"/>
  <c r="Z91" i="957"/>
  <c r="I432" i="957" s="1"/>
  <c r="Y91" i="957"/>
  <c r="I439" i="957" s="1"/>
  <c r="AN90" i="957"/>
  <c r="AK90" i="957"/>
  <c r="F426" i="957" s="1"/>
  <c r="AI90" i="957"/>
  <c r="F427" i="957" s="1"/>
  <c r="AG90" i="957"/>
  <c r="F425" i="957" s="1"/>
  <c r="AE90" i="957"/>
  <c r="I419" i="957" s="1"/>
  <c r="AD90" i="957"/>
  <c r="I420" i="957" s="1"/>
  <c r="AC90" i="957"/>
  <c r="I418" i="957" s="1"/>
  <c r="AB90" i="957"/>
  <c r="I421" i="957" s="1"/>
  <c r="AA90" i="957"/>
  <c r="I415" i="957" s="1"/>
  <c r="Z90" i="957"/>
  <c r="I417" i="957" s="1"/>
  <c r="Y90" i="957"/>
  <c r="I424" i="957" s="1"/>
  <c r="AN89" i="957"/>
  <c r="AK89" i="957"/>
  <c r="F411" i="957" s="1"/>
  <c r="AI89" i="957"/>
  <c r="F412" i="957" s="1"/>
  <c r="AG89" i="957"/>
  <c r="F410" i="957" s="1"/>
  <c r="AE89" i="957"/>
  <c r="I404" i="957" s="1"/>
  <c r="AD89" i="957"/>
  <c r="I405" i="957" s="1"/>
  <c r="AC89" i="957"/>
  <c r="I403" i="957" s="1"/>
  <c r="AB89" i="957"/>
  <c r="I406" i="957" s="1"/>
  <c r="AA89" i="957"/>
  <c r="I400" i="957" s="1"/>
  <c r="Z89" i="957"/>
  <c r="I402" i="957" s="1"/>
  <c r="Y89" i="957"/>
  <c r="I409" i="957" s="1"/>
  <c r="AN88" i="957"/>
  <c r="AK88" i="957"/>
  <c r="F396" i="957" s="1"/>
  <c r="AI88" i="957"/>
  <c r="F397" i="957" s="1"/>
  <c r="AG88" i="957"/>
  <c r="F395" i="957" s="1"/>
  <c r="AE88" i="957"/>
  <c r="I389" i="957" s="1"/>
  <c r="AD88" i="957"/>
  <c r="I390" i="957" s="1"/>
  <c r="AC88" i="957"/>
  <c r="I388" i="957" s="1"/>
  <c r="AB88" i="957"/>
  <c r="I391" i="957" s="1"/>
  <c r="AA88" i="957"/>
  <c r="I385" i="957" s="1"/>
  <c r="Z88" i="957"/>
  <c r="I387" i="957" s="1"/>
  <c r="Y88" i="957"/>
  <c r="I394" i="957" s="1"/>
  <c r="T87" i="957"/>
  <c r="S87" i="957"/>
  <c r="R87" i="957"/>
  <c r="Q87" i="957"/>
  <c r="P86" i="957"/>
  <c r="AN85" i="957"/>
  <c r="AK85" i="957"/>
  <c r="F381" i="957" s="1"/>
  <c r="AI85" i="957"/>
  <c r="F382" i="957" s="1"/>
  <c r="AG85" i="957"/>
  <c r="F380" i="957" s="1"/>
  <c r="AE85" i="957"/>
  <c r="I374" i="957" s="1"/>
  <c r="AD85" i="957"/>
  <c r="I375" i="957" s="1"/>
  <c r="AC85" i="957"/>
  <c r="I373" i="957" s="1"/>
  <c r="AB85" i="957"/>
  <c r="I376" i="957" s="1"/>
  <c r="AA85" i="957"/>
  <c r="I370" i="957" s="1"/>
  <c r="Z85" i="957"/>
  <c r="I372" i="957" s="1"/>
  <c r="Y85" i="957"/>
  <c r="I379" i="957" s="1"/>
  <c r="AN84" i="957"/>
  <c r="AK84" i="957"/>
  <c r="F366" i="957" s="1"/>
  <c r="AI84" i="957"/>
  <c r="F367" i="957" s="1"/>
  <c r="AG84" i="957"/>
  <c r="F365" i="957" s="1"/>
  <c r="AE84" i="957"/>
  <c r="I359" i="957" s="1"/>
  <c r="AD84" i="957"/>
  <c r="I360" i="957" s="1"/>
  <c r="AC84" i="957"/>
  <c r="I358" i="957" s="1"/>
  <c r="AB84" i="957"/>
  <c r="I361" i="957" s="1"/>
  <c r="AA84" i="957"/>
  <c r="I355" i="957" s="1"/>
  <c r="Z84" i="957"/>
  <c r="I357" i="957" s="1"/>
  <c r="Y84" i="957"/>
  <c r="I364" i="957" s="1"/>
  <c r="AN83" i="957"/>
  <c r="AK83" i="957"/>
  <c r="F351" i="957" s="1"/>
  <c r="AI83" i="957"/>
  <c r="F352" i="957" s="1"/>
  <c r="AG83" i="957"/>
  <c r="F350" i="957" s="1"/>
  <c r="AE83" i="957"/>
  <c r="I344" i="957" s="1"/>
  <c r="AD83" i="957"/>
  <c r="I345" i="957" s="1"/>
  <c r="AC83" i="957"/>
  <c r="I343" i="957" s="1"/>
  <c r="AB83" i="957"/>
  <c r="I346" i="957" s="1"/>
  <c r="AA83" i="957"/>
  <c r="I340" i="957" s="1"/>
  <c r="Z83" i="957"/>
  <c r="I342" i="957" s="1"/>
  <c r="Y83" i="957"/>
  <c r="I349" i="957" s="1"/>
  <c r="C83" i="957"/>
  <c r="AN82" i="957"/>
  <c r="AK82" i="957"/>
  <c r="F336" i="957" s="1"/>
  <c r="AI82" i="957"/>
  <c r="F337" i="957" s="1"/>
  <c r="AG82" i="957"/>
  <c r="F335" i="957" s="1"/>
  <c r="AE82" i="957"/>
  <c r="I329" i="957" s="1"/>
  <c r="AD82" i="957"/>
  <c r="I330" i="957" s="1"/>
  <c r="AC82" i="957"/>
  <c r="I328" i="957" s="1"/>
  <c r="AB82" i="957"/>
  <c r="I331" i="957" s="1"/>
  <c r="AA82" i="957"/>
  <c r="I325" i="957" s="1"/>
  <c r="Z82" i="957"/>
  <c r="I327" i="957" s="1"/>
  <c r="Y82" i="957"/>
  <c r="I334" i="957" s="1"/>
  <c r="AN81" i="957"/>
  <c r="AK81" i="957"/>
  <c r="F321" i="957" s="1"/>
  <c r="AI81" i="957"/>
  <c r="AG81" i="957"/>
  <c r="AH81" i="957" s="1"/>
  <c r="I320" i="957" s="1"/>
  <c r="AE81" i="957"/>
  <c r="I314" i="957" s="1"/>
  <c r="AD81" i="957"/>
  <c r="I315" i="957" s="1"/>
  <c r="AC81" i="957"/>
  <c r="I313" i="957" s="1"/>
  <c r="AB81" i="957"/>
  <c r="I316" i="957" s="1"/>
  <c r="AA81" i="957"/>
  <c r="I310" i="957" s="1"/>
  <c r="Z81" i="957"/>
  <c r="I312" i="957" s="1"/>
  <c r="Y81" i="957"/>
  <c r="I319" i="957" s="1"/>
  <c r="N81" i="957"/>
  <c r="T80" i="957"/>
  <c r="S80" i="957"/>
  <c r="R80" i="957"/>
  <c r="Q80" i="957"/>
  <c r="N80" i="957"/>
  <c r="P79" i="957"/>
  <c r="N79" i="957"/>
  <c r="T78" i="957"/>
  <c r="S78" i="957"/>
  <c r="Q78" i="957"/>
  <c r="P78" i="957"/>
  <c r="N78" i="957"/>
  <c r="T77" i="957"/>
  <c r="S77" i="957"/>
  <c r="Q77" i="957"/>
  <c r="P77" i="957"/>
  <c r="N77" i="957"/>
  <c r="Q76" i="957"/>
  <c r="P76" i="957"/>
  <c r="N76" i="957"/>
  <c r="AB75" i="957"/>
  <c r="I916" i="957" s="1"/>
  <c r="AA75" i="957"/>
  <c r="Z75" i="957"/>
  <c r="Y75" i="957"/>
  <c r="V75" i="957"/>
  <c r="I1033" i="957" s="1"/>
  <c r="U75" i="957"/>
  <c r="I1027" i="957" s="1"/>
  <c r="T75" i="957"/>
  <c r="S75" i="957"/>
  <c r="R75" i="957"/>
  <c r="Q75" i="957"/>
  <c r="P75" i="957"/>
  <c r="N75" i="957"/>
  <c r="R74" i="957"/>
  <c r="Q74" i="957"/>
  <c r="N74" i="957"/>
  <c r="V73" i="957"/>
  <c r="U73" i="957"/>
  <c r="T73" i="957"/>
  <c r="S73" i="957"/>
  <c r="Q73" i="957"/>
  <c r="P73" i="957"/>
  <c r="N73" i="957"/>
  <c r="P72" i="957"/>
  <c r="N72" i="957"/>
  <c r="N71" i="957"/>
  <c r="N70" i="957"/>
  <c r="C70" i="957"/>
  <c r="J69" i="957"/>
  <c r="I69" i="957"/>
  <c r="N69" i="957" s="1"/>
  <c r="C69" i="957"/>
  <c r="J68" i="957"/>
  <c r="I68" i="957"/>
  <c r="N68" i="957" s="1"/>
  <c r="C68" i="957"/>
  <c r="J67" i="957"/>
  <c r="I67" i="957"/>
  <c r="L67" i="957" s="1"/>
  <c r="C67" i="957"/>
  <c r="J66" i="957"/>
  <c r="I66" i="957"/>
  <c r="N66" i="957" s="1"/>
  <c r="C66" i="957"/>
  <c r="J65" i="957"/>
  <c r="I65" i="957"/>
  <c r="N65" i="957" s="1"/>
  <c r="C65" i="957"/>
  <c r="J64" i="957"/>
  <c r="I64" i="957"/>
  <c r="C64" i="957"/>
  <c r="J63" i="957"/>
  <c r="I63" i="957"/>
  <c r="N63" i="957" s="1"/>
  <c r="C63" i="957"/>
  <c r="N61" i="957"/>
  <c r="L61" i="957"/>
  <c r="B61" i="957"/>
  <c r="N60" i="957"/>
  <c r="L60" i="957"/>
  <c r="B60" i="957"/>
  <c r="N59" i="957"/>
  <c r="L59" i="957"/>
  <c r="B59" i="957"/>
  <c r="N58" i="957"/>
  <c r="L58" i="957"/>
  <c r="B58" i="957"/>
  <c r="N57" i="957"/>
  <c r="L57" i="957"/>
  <c r="B57" i="957"/>
  <c r="N56" i="957"/>
  <c r="L56" i="957"/>
  <c r="B56" i="957"/>
  <c r="N55" i="957"/>
  <c r="L55" i="957"/>
  <c r="B55" i="957"/>
  <c r="N54" i="957"/>
  <c r="L54" i="957"/>
  <c r="B54" i="957"/>
  <c r="N53" i="957"/>
  <c r="L53" i="957"/>
  <c r="B53" i="957"/>
  <c r="N52" i="957"/>
  <c r="L52" i="957"/>
  <c r="B52" i="957"/>
  <c r="N51" i="957"/>
  <c r="L51" i="957"/>
  <c r="B51" i="957"/>
  <c r="N50" i="957"/>
  <c r="L50" i="957"/>
  <c r="B50" i="957"/>
  <c r="N49" i="957"/>
  <c r="L49" i="957"/>
  <c r="B49" i="957"/>
  <c r="N48" i="957"/>
  <c r="L48" i="957"/>
  <c r="B48" i="957"/>
  <c r="N47" i="957"/>
  <c r="L47" i="957"/>
  <c r="B47" i="957"/>
  <c r="N46" i="957"/>
  <c r="L46" i="957"/>
  <c r="B46" i="957"/>
  <c r="N45" i="957"/>
  <c r="L45" i="957"/>
  <c r="B45" i="957"/>
  <c r="N44" i="957"/>
  <c r="L44" i="957"/>
  <c r="B44" i="957"/>
  <c r="AY43" i="957" a="1"/>
  <c r="AY43" i="957" s="1"/>
  <c r="N43" i="957"/>
  <c r="L43" i="957"/>
  <c r="B43" i="957"/>
  <c r="AY42" i="957" a="1"/>
  <c r="AY42" i="957" s="1"/>
  <c r="N42" i="957"/>
  <c r="L42" i="957"/>
  <c r="B42" i="957"/>
  <c r="AY41" i="957" a="1"/>
  <c r="AY41" i="957" s="1"/>
  <c r="N41" i="957"/>
  <c r="L41" i="957"/>
  <c r="B41" i="957"/>
  <c r="AY40" i="957" a="1"/>
  <c r="AY40" i="957" s="1"/>
  <c r="N40" i="957"/>
  <c r="L40" i="957"/>
  <c r="B40" i="957"/>
  <c r="AY39" i="957" a="1"/>
  <c r="AY39" i="957" s="1"/>
  <c r="N39" i="957"/>
  <c r="L39" i="957"/>
  <c r="B39" i="957"/>
  <c r="AY38" i="957" a="1"/>
  <c r="AY38" i="957" s="1"/>
  <c r="N38" i="957"/>
  <c r="L38" i="957"/>
  <c r="B38" i="957"/>
  <c r="AY37" i="957" a="1"/>
  <c r="AY37" i="957" s="1"/>
  <c r="N37" i="957"/>
  <c r="L37" i="957"/>
  <c r="B37" i="957"/>
  <c r="AY36" i="957" a="1"/>
  <c r="AY36" i="957" s="1"/>
  <c r="N36" i="957"/>
  <c r="AY35" i="957" a="1"/>
  <c r="AY35" i="957" s="1"/>
  <c r="N35" i="957"/>
  <c r="L35" i="957"/>
  <c r="B35" i="957"/>
  <c r="AY34" i="957" a="1"/>
  <c r="AY34" i="957" s="1"/>
  <c r="N34" i="957"/>
  <c r="L34" i="957"/>
  <c r="B34" i="957"/>
  <c r="AY33" i="957" a="1"/>
  <c r="AY33" i="957" s="1"/>
  <c r="N33" i="957"/>
  <c r="L33" i="957"/>
  <c r="B33" i="957"/>
  <c r="AY32" i="957" a="1"/>
  <c r="AY32" i="957" s="1"/>
  <c r="N32" i="957"/>
  <c r="L32" i="957"/>
  <c r="B32" i="957"/>
  <c r="AY31" i="957" a="1"/>
  <c r="AY31" i="957" s="1"/>
  <c r="N31" i="957"/>
  <c r="L31" i="957"/>
  <c r="B31" i="957"/>
  <c r="AY30" i="957" a="1"/>
  <c r="AY30" i="957" s="1"/>
  <c r="N30" i="957"/>
  <c r="L30" i="957"/>
  <c r="B30" i="957"/>
  <c r="AY29" i="957" a="1"/>
  <c r="AY29" i="957" s="1"/>
  <c r="N29" i="957"/>
  <c r="L29" i="957"/>
  <c r="B29" i="957"/>
  <c r="AY28" i="957" a="1"/>
  <c r="AY28" i="957" s="1"/>
  <c r="N28" i="957"/>
  <c r="L28" i="957"/>
  <c r="B28" i="957"/>
  <c r="AY27" i="957" a="1"/>
  <c r="AY27" i="957" s="1"/>
  <c r="N27" i="957"/>
  <c r="L27" i="957"/>
  <c r="B27" i="957"/>
  <c r="AY26" i="957" a="1"/>
  <c r="AY26" i="957" s="1"/>
  <c r="N26" i="957"/>
  <c r="L26" i="957"/>
  <c r="B26" i="957"/>
  <c r="AY25" i="957" a="1"/>
  <c r="AY25" i="957" s="1"/>
  <c r="N25" i="957"/>
  <c r="L25" i="957"/>
  <c r="B25" i="957"/>
  <c r="AY24" i="957" a="1"/>
  <c r="AY24" i="957" s="1"/>
  <c r="AK24" i="957"/>
  <c r="N24" i="957"/>
  <c r="L24" i="957"/>
  <c r="B24" i="957"/>
  <c r="AY23" i="957" a="1"/>
  <c r="AY23" i="957" s="1"/>
  <c r="N23" i="957"/>
  <c r="L23" i="957"/>
  <c r="B23" i="957"/>
  <c r="N22" i="957"/>
  <c r="AH21" i="957"/>
  <c r="AG21" i="957"/>
  <c r="AF21" i="957" s="1"/>
  <c r="AD21" i="957"/>
  <c r="AC21" i="957"/>
  <c r="AB21" i="957"/>
  <c r="N21" i="957"/>
  <c r="L21" i="957"/>
  <c r="B21" i="957"/>
  <c r="AJ20" i="957"/>
  <c r="AC20" i="957"/>
  <c r="T20" i="957"/>
  <c r="S20" i="957"/>
  <c r="N20" i="957"/>
  <c r="L20" i="957"/>
  <c r="B20" i="957"/>
  <c r="AC19" i="957"/>
  <c r="AF19" i="957" s="1"/>
  <c r="S19" i="957"/>
  <c r="N19" i="957"/>
  <c r="L19" i="957"/>
  <c r="B19" i="957"/>
  <c r="AC18" i="957"/>
  <c r="AF18" i="957" s="1"/>
  <c r="N18" i="957"/>
  <c r="L18" i="957"/>
  <c r="B18" i="957"/>
  <c r="AC17" i="957"/>
  <c r="AF17" i="957" s="1"/>
  <c r="N17" i="957"/>
  <c r="L17" i="957"/>
  <c r="B17" i="957"/>
  <c r="AC16" i="957"/>
  <c r="AF16" i="957" s="1"/>
  <c r="W16" i="957"/>
  <c r="V16" i="957"/>
  <c r="U16" i="957"/>
  <c r="S16" i="957"/>
  <c r="N16" i="957"/>
  <c r="L16" i="957"/>
  <c r="B16" i="957"/>
  <c r="AD15" i="957"/>
  <c r="N15" i="957"/>
  <c r="W14" i="957"/>
  <c r="V14" i="957"/>
  <c r="U14" i="957"/>
  <c r="S14" i="957"/>
  <c r="N14" i="957"/>
  <c r="L14" i="957"/>
  <c r="B14" i="957"/>
  <c r="AF13" i="957"/>
  <c r="AF12" i="957" s="1"/>
  <c r="AE13" i="957"/>
  <c r="N13" i="957"/>
  <c r="L13" i="957"/>
  <c r="B13" i="957"/>
  <c r="AY12" i="957" a="1"/>
  <c r="AY12" i="957" s="1"/>
  <c r="AE12" i="957"/>
  <c r="S12" i="957"/>
  <c r="N12" i="957"/>
  <c r="BE11" i="957" a="1"/>
  <c r="BE11" i="957" s="1"/>
  <c r="AY11" i="957" a="1"/>
  <c r="AY11" i="957" s="1"/>
  <c r="BE10" i="957" a="1"/>
  <c r="BE10" i="957" s="1"/>
  <c r="AY10" i="957" a="1"/>
  <c r="AY10" i="957" s="1"/>
  <c r="AC10" i="957"/>
  <c r="W10" i="957"/>
  <c r="T10" i="957"/>
  <c r="S10" i="957"/>
  <c r="P10" i="957"/>
  <c r="BE9" i="957" a="1"/>
  <c r="BE9" i="957" s="1"/>
  <c r="AY9" i="957" a="1"/>
  <c r="AY9" i="957" s="1"/>
  <c r="AC9" i="957"/>
  <c r="W9" i="957"/>
  <c r="T9" i="957"/>
  <c r="S9" i="957"/>
  <c r="P9" i="957"/>
  <c r="BE8" i="957" a="1"/>
  <c r="BE8" i="957" s="1"/>
  <c r="AY8" i="957" a="1"/>
  <c r="AY8" i="957" s="1"/>
  <c r="AC8" i="957"/>
  <c r="W8" i="957"/>
  <c r="T8" i="957"/>
  <c r="S8" i="957"/>
  <c r="P8" i="957"/>
  <c r="BE7" i="957" a="1"/>
  <c r="BE7" i="957" s="1"/>
  <c r="AY7" i="957" a="1"/>
  <c r="AY7" i="957" s="1"/>
  <c r="AF7" i="957" a="1"/>
  <c r="AF7" i="957" s="1"/>
  <c r="AE7" i="957" a="1"/>
  <c r="AE7" i="957" s="1"/>
  <c r="AF95" i="957" s="1"/>
  <c r="I473" i="957" s="1"/>
  <c r="AC7" i="957"/>
  <c r="BE6" i="957" a="1"/>
  <c r="BE6" i="957" s="1"/>
  <c r="AY6" i="957" a="1"/>
  <c r="AY6" i="957" s="1"/>
  <c r="AF6" i="957" a="1"/>
  <c r="AF6" i="957" s="1"/>
  <c r="AE6" i="957" a="1"/>
  <c r="AE6" i="957" s="1"/>
  <c r="AD6" i="957"/>
  <c r="AB6" i="957"/>
  <c r="AA6" i="957"/>
  <c r="W6" i="957"/>
  <c r="V6" i="957"/>
  <c r="U6" i="957"/>
  <c r="T6" i="957"/>
  <c r="S6" i="957"/>
  <c r="R6" i="957"/>
  <c r="Q6" i="957"/>
  <c r="P6" i="957"/>
  <c r="BE5" i="957" a="1"/>
  <c r="BE5" i="957" s="1"/>
  <c r="AY5" i="957" a="1"/>
  <c r="AY5" i="957" s="1"/>
  <c r="AF5" i="957" a="1"/>
  <c r="AF5" i="957" s="1"/>
  <c r="AF137" i="957" s="1"/>
  <c r="I623" i="957" s="1"/>
  <c r="AE5" i="957" a="1"/>
  <c r="AE5" i="957" s="1"/>
  <c r="AD5" i="957"/>
  <c r="AB5" i="957" s="1"/>
  <c r="AA5" i="957"/>
  <c r="P12" i="957" s="1"/>
  <c r="Q5" i="957"/>
  <c r="O5" i="957"/>
  <c r="AA4" i="957"/>
  <c r="Z4" i="957"/>
  <c r="S147" i="957" s="1"/>
  <c r="AB3" i="957"/>
  <c r="Z3" i="957"/>
  <c r="J2" i="957"/>
  <c r="G1323" i="956"/>
  <c r="H1322" i="956"/>
  <c r="G1318" i="956"/>
  <c r="H1163" i="956"/>
  <c r="H1162" i="956"/>
  <c r="H1161" i="956"/>
  <c r="H1160" i="956"/>
  <c r="H1159" i="956"/>
  <c r="H1158" i="956"/>
  <c r="H1157" i="956"/>
  <c r="H1156" i="956"/>
  <c r="H1155" i="956"/>
  <c r="H1154" i="956"/>
  <c r="H1153" i="956"/>
  <c r="H1152" i="956"/>
  <c r="H1151" i="956"/>
  <c r="H1150" i="956"/>
  <c r="H1149" i="956"/>
  <c r="H1141" i="956"/>
  <c r="I1119" i="956"/>
  <c r="I1118" i="956"/>
  <c r="I1117" i="956"/>
  <c r="I1116" i="956"/>
  <c r="I1115" i="956"/>
  <c r="I1114" i="956"/>
  <c r="I1113" i="956"/>
  <c r="I1111" i="956"/>
  <c r="I1110" i="956"/>
  <c r="I1108" i="956"/>
  <c r="I1107" i="956"/>
  <c r="I1106" i="956"/>
  <c r="I1105" i="956"/>
  <c r="I1104" i="956"/>
  <c r="I1103" i="956"/>
  <c r="I1102" i="956"/>
  <c r="I1101" i="956"/>
  <c r="I1100" i="956"/>
  <c r="I1099" i="956"/>
  <c r="I1098" i="956"/>
  <c r="I1097" i="956"/>
  <c r="I1095" i="956"/>
  <c r="I1094" i="956"/>
  <c r="I1093" i="956"/>
  <c r="I1092" i="956"/>
  <c r="I1091" i="956"/>
  <c r="I1090" i="956"/>
  <c r="I1088" i="956"/>
  <c r="I1087" i="956"/>
  <c r="I1086" i="956"/>
  <c r="I1085" i="956"/>
  <c r="I1084" i="956"/>
  <c r="I1083" i="956"/>
  <c r="I1081" i="956"/>
  <c r="I1080" i="956"/>
  <c r="I1079" i="956"/>
  <c r="G1059" i="956"/>
  <c r="G1058" i="956"/>
  <c r="G1057" i="956"/>
  <c r="G1056" i="956"/>
  <c r="G1055" i="956"/>
  <c r="G1054" i="956"/>
  <c r="G1053" i="956"/>
  <c r="G1052" i="956"/>
  <c r="G1051" i="956"/>
  <c r="G1050" i="956"/>
  <c r="G1049" i="956"/>
  <c r="G1048" i="956"/>
  <c r="I1046" i="956"/>
  <c r="I1045" i="956"/>
  <c r="I1044" i="956"/>
  <c r="I1043" i="956"/>
  <c r="I1037" i="956"/>
  <c r="G1036" i="956"/>
  <c r="G1035" i="956"/>
  <c r="G1034" i="956"/>
  <c r="G1033" i="956"/>
  <c r="G1032" i="956"/>
  <c r="G1031" i="956"/>
  <c r="G1030" i="956"/>
  <c r="G1029" i="956"/>
  <c r="G1028" i="956"/>
  <c r="G1027" i="956"/>
  <c r="I1026" i="956"/>
  <c r="I1025" i="956"/>
  <c r="I1017" i="956"/>
  <c r="I1016" i="956"/>
  <c r="I1015" i="956"/>
  <c r="I1012" i="956"/>
  <c r="I1011" i="956"/>
  <c r="I1010" i="956"/>
  <c r="I1009" i="956"/>
  <c r="I1008" i="956"/>
  <c r="I1007" i="956"/>
  <c r="I1006" i="956"/>
  <c r="I1005" i="956"/>
  <c r="I1004" i="956"/>
  <c r="I1003" i="956"/>
  <c r="I1002" i="956"/>
  <c r="I1001" i="956"/>
  <c r="I1000" i="956"/>
  <c r="I999" i="956"/>
  <c r="I998" i="956"/>
  <c r="I997" i="956"/>
  <c r="I996" i="956"/>
  <c r="I995" i="956"/>
  <c r="I994" i="956"/>
  <c r="I993" i="956"/>
  <c r="I992" i="956"/>
  <c r="I991" i="956"/>
  <c r="I990" i="956"/>
  <c r="I983" i="956"/>
  <c r="I982" i="956"/>
  <c r="I981" i="956"/>
  <c r="G981" i="956"/>
  <c r="I980" i="956"/>
  <c r="G980" i="956"/>
  <c r="I978" i="956"/>
  <c r="I977" i="956"/>
  <c r="I976" i="956"/>
  <c r="I975" i="956"/>
  <c r="I971" i="956"/>
  <c r="I979" i="956" s="1"/>
  <c r="C971" i="956"/>
  <c r="I970" i="956"/>
  <c r="I968" i="956"/>
  <c r="G935" i="956"/>
  <c r="G933" i="956"/>
  <c r="G932" i="956"/>
  <c r="G931" i="956"/>
  <c r="G930" i="956"/>
  <c r="G929" i="956"/>
  <c r="G928" i="956"/>
  <c r="I926" i="956"/>
  <c r="I925" i="956"/>
  <c r="I924" i="956"/>
  <c r="I923" i="956"/>
  <c r="I917" i="956"/>
  <c r="E917" i="956"/>
  <c r="C917" i="956"/>
  <c r="G917" i="956" s="1"/>
  <c r="G916" i="956"/>
  <c r="G915" i="956"/>
  <c r="G914" i="956"/>
  <c r="G913" i="956"/>
  <c r="G912" i="956"/>
  <c r="G911" i="956"/>
  <c r="G910" i="956"/>
  <c r="G909" i="956"/>
  <c r="G908" i="956"/>
  <c r="I888" i="956"/>
  <c r="I887" i="956"/>
  <c r="I885" i="956"/>
  <c r="I884" i="956"/>
  <c r="I883" i="956"/>
  <c r="I882" i="956"/>
  <c r="G882" i="956"/>
  <c r="I881" i="956"/>
  <c r="I879" i="956"/>
  <c r="I878" i="956"/>
  <c r="I877" i="956"/>
  <c r="I876" i="956"/>
  <c r="I875" i="956"/>
  <c r="I874" i="956"/>
  <c r="I873" i="956"/>
  <c r="I872" i="956"/>
  <c r="I871" i="956"/>
  <c r="I870" i="956"/>
  <c r="I869" i="956"/>
  <c r="I867" i="956"/>
  <c r="I866" i="956"/>
  <c r="I865" i="956"/>
  <c r="I864" i="956"/>
  <c r="I863" i="956"/>
  <c r="C863" i="956"/>
  <c r="I862" i="956"/>
  <c r="I868" i="956" s="1"/>
  <c r="C862" i="956"/>
  <c r="I861" i="956"/>
  <c r="I860" i="956"/>
  <c r="I859" i="956"/>
  <c r="I854" i="956"/>
  <c r="I853" i="956"/>
  <c r="I852" i="956"/>
  <c r="I851" i="956"/>
  <c r="I850" i="956"/>
  <c r="I849" i="956"/>
  <c r="I848" i="956"/>
  <c r="I847" i="956"/>
  <c r="I846" i="956"/>
  <c r="I845" i="956"/>
  <c r="I844" i="956"/>
  <c r="I843" i="956"/>
  <c r="I841" i="956"/>
  <c r="I840" i="956"/>
  <c r="I839" i="956"/>
  <c r="I838" i="956"/>
  <c r="I837" i="956"/>
  <c r="I835" i="956"/>
  <c r="I834" i="956"/>
  <c r="I833" i="956"/>
  <c r="I832" i="956"/>
  <c r="I831" i="956"/>
  <c r="I830" i="956"/>
  <c r="I829" i="956"/>
  <c r="I828" i="956"/>
  <c r="I827" i="956"/>
  <c r="I819" i="956"/>
  <c r="I818" i="956"/>
  <c r="I817" i="956"/>
  <c r="I816" i="956"/>
  <c r="I815" i="956"/>
  <c r="I814" i="956"/>
  <c r="I813" i="956"/>
  <c r="I812" i="956"/>
  <c r="H811" i="956"/>
  <c r="I811" i="956" s="1"/>
  <c r="H810" i="956"/>
  <c r="I810" i="956" s="1"/>
  <c r="I809" i="956"/>
  <c r="I808" i="956"/>
  <c r="I807" i="956"/>
  <c r="N790" i="956"/>
  <c r="N789" i="956"/>
  <c r="N788" i="956"/>
  <c r="L788" i="956"/>
  <c r="N787" i="956"/>
  <c r="L787" i="956"/>
  <c r="N786" i="956"/>
  <c r="L786" i="956"/>
  <c r="N785" i="956"/>
  <c r="L785" i="956"/>
  <c r="I784" i="956"/>
  <c r="N784" i="956" s="1"/>
  <c r="G784" i="956"/>
  <c r="I783" i="956"/>
  <c r="G783" i="956"/>
  <c r="I782" i="956"/>
  <c r="L782" i="956" s="1"/>
  <c r="G782" i="956"/>
  <c r="I781" i="956"/>
  <c r="G781" i="956"/>
  <c r="I780" i="956"/>
  <c r="L780" i="956" s="1"/>
  <c r="G780" i="956"/>
  <c r="I779" i="956"/>
  <c r="N779" i="956" s="1"/>
  <c r="G779" i="956"/>
  <c r="I778" i="956"/>
  <c r="N778" i="956" s="1"/>
  <c r="G778" i="956"/>
  <c r="I777" i="956"/>
  <c r="N777" i="956" s="1"/>
  <c r="G777" i="956"/>
  <c r="I776" i="956"/>
  <c r="L776" i="956" s="1"/>
  <c r="G776" i="956"/>
  <c r="N775" i="956"/>
  <c r="L775" i="956"/>
  <c r="N773" i="956"/>
  <c r="L773" i="956"/>
  <c r="N772" i="956"/>
  <c r="L772" i="956"/>
  <c r="N771" i="956"/>
  <c r="L771" i="956"/>
  <c r="N770" i="956"/>
  <c r="L770" i="956"/>
  <c r="N769" i="956"/>
  <c r="L769" i="956"/>
  <c r="G768" i="956"/>
  <c r="N767" i="956"/>
  <c r="L767" i="956"/>
  <c r="N766" i="956"/>
  <c r="L766" i="956"/>
  <c r="N765" i="956"/>
  <c r="L765" i="956"/>
  <c r="N764" i="956"/>
  <c r="L764" i="956"/>
  <c r="N763" i="956"/>
  <c r="L763" i="956"/>
  <c r="N762" i="956"/>
  <c r="L762" i="956"/>
  <c r="N761" i="956"/>
  <c r="L761" i="956"/>
  <c r="N760" i="956"/>
  <c r="L760" i="956"/>
  <c r="C759" i="956"/>
  <c r="F758" i="956"/>
  <c r="C758" i="956"/>
  <c r="I757" i="956"/>
  <c r="N757" i="956" s="1"/>
  <c r="H757" i="956"/>
  <c r="F757" i="956"/>
  <c r="N756" i="956"/>
  <c r="L756" i="956"/>
  <c r="I755" i="956"/>
  <c r="H755" i="956"/>
  <c r="F755" i="956"/>
  <c r="G754" i="956"/>
  <c r="G753" i="956"/>
  <c r="G752" i="956"/>
  <c r="G751" i="956"/>
  <c r="G750" i="956"/>
  <c r="G749" i="956"/>
  <c r="G748" i="956"/>
  <c r="N747" i="956"/>
  <c r="L747" i="956"/>
  <c r="G746" i="956"/>
  <c r="N745" i="956"/>
  <c r="L745" i="956"/>
  <c r="C744" i="956"/>
  <c r="F743" i="956"/>
  <c r="C743" i="956"/>
  <c r="I742" i="956"/>
  <c r="L742" i="956" s="1"/>
  <c r="H742" i="956"/>
  <c r="F742" i="956"/>
  <c r="N741" i="956"/>
  <c r="L741" i="956"/>
  <c r="I740" i="956"/>
  <c r="L740" i="956" s="1"/>
  <c r="H740" i="956"/>
  <c r="F740" i="956"/>
  <c r="G739" i="956"/>
  <c r="G738" i="956"/>
  <c r="G737" i="956"/>
  <c r="G736" i="956"/>
  <c r="G735" i="956"/>
  <c r="G734" i="956"/>
  <c r="G733" i="956"/>
  <c r="N732" i="956"/>
  <c r="L732" i="956"/>
  <c r="G731" i="956"/>
  <c r="N730" i="956"/>
  <c r="L730" i="956"/>
  <c r="C729" i="956"/>
  <c r="F728" i="956"/>
  <c r="C728" i="956"/>
  <c r="I727" i="956"/>
  <c r="H727" i="956"/>
  <c r="F727" i="956"/>
  <c r="N726" i="956"/>
  <c r="L726" i="956"/>
  <c r="I725" i="956"/>
  <c r="N725" i="956" s="1"/>
  <c r="H725" i="956"/>
  <c r="F725" i="956"/>
  <c r="G724" i="956"/>
  <c r="G723" i="956"/>
  <c r="G722" i="956"/>
  <c r="G721" i="956"/>
  <c r="G720" i="956"/>
  <c r="G719" i="956"/>
  <c r="G718" i="956"/>
  <c r="N717" i="956"/>
  <c r="L717" i="956"/>
  <c r="G716" i="956"/>
  <c r="N715" i="956"/>
  <c r="L715" i="956"/>
  <c r="C714" i="956"/>
  <c r="F713" i="956"/>
  <c r="C713" i="956"/>
  <c r="I712" i="956"/>
  <c r="L712" i="956" s="1"/>
  <c r="H712" i="956"/>
  <c r="F712" i="956"/>
  <c r="N711" i="956"/>
  <c r="L711" i="956"/>
  <c r="I710" i="956"/>
  <c r="L710" i="956" s="1"/>
  <c r="H710" i="956"/>
  <c r="F710" i="956"/>
  <c r="G709" i="956"/>
  <c r="G708" i="956"/>
  <c r="G707" i="956"/>
  <c r="G706" i="956"/>
  <c r="G705" i="956"/>
  <c r="G704" i="956"/>
  <c r="G703" i="956"/>
  <c r="N702" i="956"/>
  <c r="L702" i="956"/>
  <c r="G701" i="956"/>
  <c r="N700" i="956"/>
  <c r="L700" i="956"/>
  <c r="C699" i="956"/>
  <c r="F698" i="956"/>
  <c r="C698" i="956"/>
  <c r="I697" i="956"/>
  <c r="N697" i="956" s="1"/>
  <c r="H697" i="956"/>
  <c r="F697" i="956"/>
  <c r="I696" i="956"/>
  <c r="N696" i="956" s="1"/>
  <c r="H696" i="956"/>
  <c r="F696" i="956"/>
  <c r="I695" i="956"/>
  <c r="N695" i="956" s="1"/>
  <c r="H695" i="956"/>
  <c r="F695" i="956"/>
  <c r="G694" i="956"/>
  <c r="G693" i="956"/>
  <c r="N692" i="956"/>
  <c r="L692" i="956"/>
  <c r="G691" i="956"/>
  <c r="N690" i="956"/>
  <c r="L690" i="956"/>
  <c r="N689" i="956"/>
  <c r="L689" i="956"/>
  <c r="N688" i="956"/>
  <c r="L688" i="956"/>
  <c r="N687" i="956"/>
  <c r="L687" i="956"/>
  <c r="N686" i="956"/>
  <c r="L686" i="956"/>
  <c r="N685" i="956"/>
  <c r="L685" i="956"/>
  <c r="C684" i="956"/>
  <c r="F683" i="956"/>
  <c r="C683" i="956"/>
  <c r="I682" i="956"/>
  <c r="N682" i="956" s="1"/>
  <c r="H682" i="956"/>
  <c r="F682" i="956"/>
  <c r="I681" i="956"/>
  <c r="L681" i="956" s="1"/>
  <c r="H681" i="956"/>
  <c r="F681" i="956"/>
  <c r="I680" i="956"/>
  <c r="N680" i="956" s="1"/>
  <c r="H680" i="956"/>
  <c r="F680" i="956"/>
  <c r="G679" i="956"/>
  <c r="G678" i="956"/>
  <c r="N677" i="956"/>
  <c r="L677" i="956"/>
  <c r="G676" i="956"/>
  <c r="N675" i="956"/>
  <c r="L675" i="956"/>
  <c r="N674" i="956"/>
  <c r="L674" i="956"/>
  <c r="N673" i="956"/>
  <c r="L673" i="956"/>
  <c r="N672" i="956"/>
  <c r="L672" i="956"/>
  <c r="N671" i="956"/>
  <c r="L671" i="956"/>
  <c r="N670" i="956"/>
  <c r="L670" i="956"/>
  <c r="C669" i="956"/>
  <c r="F668" i="956"/>
  <c r="C668" i="956"/>
  <c r="I667" i="956"/>
  <c r="N667" i="956" s="1"/>
  <c r="H667" i="956"/>
  <c r="F667" i="956"/>
  <c r="I666" i="956"/>
  <c r="N666" i="956" s="1"/>
  <c r="H666" i="956"/>
  <c r="F666" i="956"/>
  <c r="I665" i="956"/>
  <c r="H665" i="956"/>
  <c r="F665" i="956"/>
  <c r="G664" i="956"/>
  <c r="G663" i="956"/>
  <c r="N662" i="956"/>
  <c r="L662" i="956"/>
  <c r="G661" i="956"/>
  <c r="N660" i="956"/>
  <c r="L660" i="956"/>
  <c r="N659" i="956"/>
  <c r="L659" i="956"/>
  <c r="N658" i="956"/>
  <c r="L658" i="956"/>
  <c r="N657" i="956"/>
  <c r="L657" i="956"/>
  <c r="N656" i="956"/>
  <c r="L656" i="956"/>
  <c r="N655" i="956"/>
  <c r="L655" i="956"/>
  <c r="C654" i="956"/>
  <c r="F653" i="956"/>
  <c r="C653" i="956"/>
  <c r="I652" i="956"/>
  <c r="N652" i="956" s="1"/>
  <c r="H652" i="956"/>
  <c r="F652" i="956"/>
  <c r="I651" i="956"/>
  <c r="N651" i="956" s="1"/>
  <c r="H651" i="956"/>
  <c r="F651" i="956"/>
  <c r="I650" i="956"/>
  <c r="H650" i="956"/>
  <c r="F650" i="956"/>
  <c r="G649" i="956"/>
  <c r="G648" i="956"/>
  <c r="N647" i="956"/>
  <c r="L647" i="956"/>
  <c r="G646" i="956"/>
  <c r="N645" i="956"/>
  <c r="L645" i="956"/>
  <c r="N644" i="956"/>
  <c r="L644" i="956"/>
  <c r="N643" i="956"/>
  <c r="L643" i="956"/>
  <c r="N642" i="956"/>
  <c r="L642" i="956"/>
  <c r="N641" i="956"/>
  <c r="L641" i="956"/>
  <c r="N640" i="956"/>
  <c r="L640" i="956"/>
  <c r="C639" i="956"/>
  <c r="F638" i="956"/>
  <c r="C638" i="956"/>
  <c r="I637" i="956"/>
  <c r="H637" i="956"/>
  <c r="F637" i="956"/>
  <c r="I636" i="956"/>
  <c r="N636" i="956" s="1"/>
  <c r="H636" i="956"/>
  <c r="F636" i="956"/>
  <c r="I635" i="956"/>
  <c r="N635" i="956" s="1"/>
  <c r="H635" i="956"/>
  <c r="F635" i="956"/>
  <c r="G634" i="956"/>
  <c r="G633" i="956"/>
  <c r="N632" i="956"/>
  <c r="L632" i="956"/>
  <c r="G631" i="956"/>
  <c r="N630" i="956"/>
  <c r="L630" i="956"/>
  <c r="N629" i="956"/>
  <c r="L629" i="956"/>
  <c r="N628" i="956"/>
  <c r="L628" i="956"/>
  <c r="N627" i="956"/>
  <c r="L627" i="956"/>
  <c r="N626" i="956"/>
  <c r="L626" i="956"/>
  <c r="N625" i="956"/>
  <c r="L625" i="956"/>
  <c r="C624" i="956"/>
  <c r="F623" i="956"/>
  <c r="C623" i="956"/>
  <c r="I622" i="956"/>
  <c r="L622" i="956" s="1"/>
  <c r="H622" i="956"/>
  <c r="F622" i="956"/>
  <c r="I621" i="956"/>
  <c r="N621" i="956" s="1"/>
  <c r="H621" i="956"/>
  <c r="F621" i="956"/>
  <c r="I620" i="956"/>
  <c r="N620" i="956" s="1"/>
  <c r="H620" i="956"/>
  <c r="F620" i="956"/>
  <c r="G619" i="956"/>
  <c r="G618" i="956"/>
  <c r="N617" i="956"/>
  <c r="L617" i="956"/>
  <c r="G616" i="956"/>
  <c r="G615" i="956"/>
  <c r="G614" i="956"/>
  <c r="G613" i="956"/>
  <c r="I612" i="956"/>
  <c r="G612" i="956"/>
  <c r="N611" i="956"/>
  <c r="L611" i="956"/>
  <c r="N610" i="956"/>
  <c r="L610" i="956"/>
  <c r="C609" i="956"/>
  <c r="F608" i="956"/>
  <c r="C608" i="956"/>
  <c r="I607" i="956"/>
  <c r="L607" i="956" s="1"/>
  <c r="H607" i="956"/>
  <c r="F607" i="956"/>
  <c r="I606" i="956"/>
  <c r="N606" i="956" s="1"/>
  <c r="H606" i="956"/>
  <c r="F606" i="956"/>
  <c r="I605" i="956"/>
  <c r="L605" i="956" s="1"/>
  <c r="H605" i="956"/>
  <c r="F605" i="956"/>
  <c r="G604" i="956"/>
  <c r="G603" i="956"/>
  <c r="N602" i="956"/>
  <c r="L602" i="956"/>
  <c r="G601" i="956"/>
  <c r="G600" i="956"/>
  <c r="G599" i="956"/>
  <c r="G598" i="956"/>
  <c r="I597" i="956"/>
  <c r="N597" i="956" s="1"/>
  <c r="G597" i="956"/>
  <c r="N596" i="956"/>
  <c r="L596" i="956"/>
  <c r="N595" i="956"/>
  <c r="L595" i="956"/>
  <c r="C594" i="956"/>
  <c r="F593" i="956"/>
  <c r="C593" i="956"/>
  <c r="I592" i="956"/>
  <c r="H592" i="956"/>
  <c r="F592" i="956"/>
  <c r="I591" i="956"/>
  <c r="L591" i="956" s="1"/>
  <c r="H591" i="956"/>
  <c r="F591" i="956"/>
  <c r="I590" i="956"/>
  <c r="N590" i="956" s="1"/>
  <c r="H590" i="956"/>
  <c r="F590" i="956"/>
  <c r="G589" i="956"/>
  <c r="G588" i="956"/>
  <c r="N587" i="956"/>
  <c r="L587" i="956"/>
  <c r="G586" i="956"/>
  <c r="G585" i="956"/>
  <c r="G584" i="956"/>
  <c r="G583" i="956"/>
  <c r="I582" i="956"/>
  <c r="N582" i="956" s="1"/>
  <c r="G582" i="956"/>
  <c r="N581" i="956"/>
  <c r="L581" i="956"/>
  <c r="N580" i="956"/>
  <c r="L580" i="956"/>
  <c r="C579" i="956"/>
  <c r="F578" i="956"/>
  <c r="C578" i="956"/>
  <c r="I577" i="956"/>
  <c r="L577" i="956" s="1"/>
  <c r="H577" i="956"/>
  <c r="F577" i="956"/>
  <c r="I576" i="956"/>
  <c r="N576" i="956" s="1"/>
  <c r="H576" i="956"/>
  <c r="F576" i="956"/>
  <c r="I575" i="956"/>
  <c r="L575" i="956" s="1"/>
  <c r="H575" i="956"/>
  <c r="F575" i="956"/>
  <c r="G574" i="956"/>
  <c r="G573" i="956"/>
  <c r="N572" i="956"/>
  <c r="L572" i="956"/>
  <c r="G571" i="956"/>
  <c r="G570" i="956"/>
  <c r="G569" i="956"/>
  <c r="G568" i="956"/>
  <c r="I567" i="956"/>
  <c r="N567" i="956" s="1"/>
  <c r="G567" i="956"/>
  <c r="N566" i="956"/>
  <c r="L566" i="956"/>
  <c r="N565" i="956"/>
  <c r="L565" i="956"/>
  <c r="C564" i="956"/>
  <c r="F563" i="956"/>
  <c r="C563" i="956"/>
  <c r="I562" i="956"/>
  <c r="H562" i="956"/>
  <c r="F562" i="956"/>
  <c r="I561" i="956"/>
  <c r="L561" i="956" s="1"/>
  <c r="H561" i="956"/>
  <c r="F561" i="956"/>
  <c r="I560" i="956"/>
  <c r="H560" i="956"/>
  <c r="F560" i="956"/>
  <c r="G559" i="956"/>
  <c r="G558" i="956"/>
  <c r="N557" i="956"/>
  <c r="L557" i="956"/>
  <c r="G556" i="956"/>
  <c r="G555" i="956"/>
  <c r="G554" i="956"/>
  <c r="G553" i="956"/>
  <c r="I552" i="956"/>
  <c r="N552" i="956" s="1"/>
  <c r="G552" i="956"/>
  <c r="N551" i="956"/>
  <c r="L551" i="956"/>
  <c r="N550" i="956"/>
  <c r="L550" i="956"/>
  <c r="C549" i="956"/>
  <c r="N548" i="956"/>
  <c r="L548" i="956"/>
  <c r="N547" i="956"/>
  <c r="L547" i="956"/>
  <c r="N546" i="956"/>
  <c r="L546" i="956"/>
  <c r="N545" i="956"/>
  <c r="L545" i="956"/>
  <c r="I544" i="956"/>
  <c r="L544" i="956" s="1"/>
  <c r="G544" i="956"/>
  <c r="F543" i="956"/>
  <c r="I543" i="956" s="1"/>
  <c r="I542" i="956"/>
  <c r="N542" i="956" s="1"/>
  <c r="G542" i="956"/>
  <c r="I541" i="956"/>
  <c r="N541" i="956" s="1"/>
  <c r="G541" i="956"/>
  <c r="I540" i="956"/>
  <c r="N540" i="956" s="1"/>
  <c r="G540" i="956"/>
  <c r="I539" i="956"/>
  <c r="G539" i="956"/>
  <c r="I538" i="956"/>
  <c r="G538" i="956"/>
  <c r="I537" i="956"/>
  <c r="G537" i="956"/>
  <c r="C537" i="956"/>
  <c r="I536" i="956"/>
  <c r="L536" i="956" s="1"/>
  <c r="G536" i="956"/>
  <c r="C536" i="956"/>
  <c r="I535" i="956"/>
  <c r="N535" i="956" s="1"/>
  <c r="G535" i="956"/>
  <c r="N533" i="956"/>
  <c r="L533" i="956"/>
  <c r="N532" i="956"/>
  <c r="L532" i="956"/>
  <c r="N531" i="956"/>
  <c r="L531" i="956"/>
  <c r="N530" i="956"/>
  <c r="L530" i="956"/>
  <c r="G529" i="956"/>
  <c r="F528" i="956"/>
  <c r="I528" i="956" s="1"/>
  <c r="N527" i="956"/>
  <c r="L527" i="956"/>
  <c r="N526" i="956"/>
  <c r="L526" i="956"/>
  <c r="G525" i="956"/>
  <c r="G524" i="956"/>
  <c r="G523" i="956"/>
  <c r="N522" i="956"/>
  <c r="L522" i="956"/>
  <c r="N521" i="956"/>
  <c r="L521" i="956"/>
  <c r="G520" i="956"/>
  <c r="C519" i="956"/>
  <c r="F518" i="956"/>
  <c r="C518" i="956"/>
  <c r="H517" i="956"/>
  <c r="N516" i="956"/>
  <c r="L516" i="956"/>
  <c r="H516" i="956"/>
  <c r="H515" i="956"/>
  <c r="G514" i="956"/>
  <c r="N513" i="956"/>
  <c r="L513" i="956"/>
  <c r="G512" i="956"/>
  <c r="G511" i="956"/>
  <c r="G510" i="956"/>
  <c r="G509" i="956"/>
  <c r="G508" i="956"/>
  <c r="G507" i="956"/>
  <c r="C507" i="956"/>
  <c r="G506" i="956"/>
  <c r="C506" i="956"/>
  <c r="N505" i="956"/>
  <c r="L505" i="956"/>
  <c r="C504" i="956"/>
  <c r="F503" i="956"/>
  <c r="C503" i="956"/>
  <c r="H502" i="956"/>
  <c r="N501" i="956"/>
  <c r="L501" i="956"/>
  <c r="H501" i="956"/>
  <c r="H500" i="956"/>
  <c r="G499" i="956"/>
  <c r="N498" i="956"/>
  <c r="L498" i="956"/>
  <c r="G497" i="956"/>
  <c r="G496" i="956"/>
  <c r="G495" i="956"/>
  <c r="G494" i="956"/>
  <c r="G493" i="956"/>
  <c r="G492" i="956"/>
  <c r="C492" i="956"/>
  <c r="G491" i="956"/>
  <c r="C491" i="956"/>
  <c r="N490" i="956"/>
  <c r="L490" i="956"/>
  <c r="C489" i="956"/>
  <c r="F488" i="956"/>
  <c r="C488" i="956"/>
  <c r="H487" i="956"/>
  <c r="N486" i="956"/>
  <c r="L486" i="956"/>
  <c r="H486" i="956"/>
  <c r="H485" i="956"/>
  <c r="G484" i="956"/>
  <c r="N483" i="956"/>
  <c r="L483" i="956"/>
  <c r="G482" i="956"/>
  <c r="G481" i="956"/>
  <c r="G480" i="956"/>
  <c r="G479" i="956"/>
  <c r="G478" i="956"/>
  <c r="G477" i="956"/>
  <c r="C477" i="956"/>
  <c r="G476" i="956"/>
  <c r="C476" i="956"/>
  <c r="N475" i="956"/>
  <c r="L475" i="956"/>
  <c r="C474" i="956"/>
  <c r="F473" i="956"/>
  <c r="C473" i="956"/>
  <c r="H472" i="956"/>
  <c r="N471" i="956"/>
  <c r="L471" i="956"/>
  <c r="H471" i="956"/>
  <c r="H470" i="956"/>
  <c r="G469" i="956"/>
  <c r="N468" i="956"/>
  <c r="L468" i="956"/>
  <c r="G467" i="956"/>
  <c r="G466" i="956"/>
  <c r="G465" i="956"/>
  <c r="G464" i="956"/>
  <c r="G463" i="956"/>
  <c r="G462" i="956"/>
  <c r="C462" i="956"/>
  <c r="G461" i="956"/>
  <c r="C461" i="956"/>
  <c r="N460" i="956"/>
  <c r="L460" i="956"/>
  <c r="C459" i="956"/>
  <c r="F458" i="956"/>
  <c r="C458" i="956"/>
  <c r="H457" i="956"/>
  <c r="N456" i="956"/>
  <c r="L456" i="956"/>
  <c r="H456" i="956"/>
  <c r="H455" i="956"/>
  <c r="G454" i="956"/>
  <c r="N453" i="956"/>
  <c r="L453" i="956"/>
  <c r="N452" i="956"/>
  <c r="L452" i="956"/>
  <c r="G451" i="956"/>
  <c r="G450" i="956"/>
  <c r="G449" i="956"/>
  <c r="G448" i="956"/>
  <c r="G447" i="956"/>
  <c r="C447" i="956"/>
  <c r="N446" i="956"/>
  <c r="L446" i="956"/>
  <c r="G445" i="956"/>
  <c r="C444" i="956"/>
  <c r="F443" i="956"/>
  <c r="C443" i="956"/>
  <c r="H442" i="956"/>
  <c r="N441" i="956"/>
  <c r="L441" i="956"/>
  <c r="H441" i="956"/>
  <c r="H440" i="956"/>
  <c r="G439" i="956"/>
  <c r="N438" i="956"/>
  <c r="L438" i="956"/>
  <c r="N437" i="956"/>
  <c r="L437" i="956"/>
  <c r="G436" i="956"/>
  <c r="G435" i="956"/>
  <c r="G434" i="956"/>
  <c r="G433" i="956"/>
  <c r="G432" i="956"/>
  <c r="C432" i="956"/>
  <c r="AQ431" i="956"/>
  <c r="AP431" i="956"/>
  <c r="N431" i="956"/>
  <c r="L431" i="956"/>
  <c r="AQ430" i="956"/>
  <c r="AP430" i="956"/>
  <c r="G430" i="956"/>
  <c r="AQ429" i="956"/>
  <c r="AP429" i="956"/>
  <c r="C429" i="956"/>
  <c r="AQ428" i="956"/>
  <c r="AP428" i="956"/>
  <c r="F428" i="956"/>
  <c r="C428" i="956"/>
  <c r="AQ427" i="956"/>
  <c r="AP427" i="956"/>
  <c r="H427" i="956"/>
  <c r="AQ426" i="956"/>
  <c r="AP426" i="956"/>
  <c r="N426" i="956"/>
  <c r="L426" i="956"/>
  <c r="H426" i="956"/>
  <c r="AQ425" i="956"/>
  <c r="AP425" i="956"/>
  <c r="H425" i="956"/>
  <c r="AQ424" i="956"/>
  <c r="AP424" i="956"/>
  <c r="G424" i="956"/>
  <c r="AQ423" i="956"/>
  <c r="AP423" i="956"/>
  <c r="N423" i="956"/>
  <c r="L423" i="956"/>
  <c r="AQ422" i="956"/>
  <c r="AP422" i="956"/>
  <c r="N422" i="956"/>
  <c r="L422" i="956"/>
  <c r="AQ421" i="956"/>
  <c r="AP421" i="956"/>
  <c r="G421" i="956"/>
  <c r="AQ420" i="956"/>
  <c r="AP420" i="956"/>
  <c r="G420" i="956"/>
  <c r="AQ419" i="956"/>
  <c r="AP419" i="956"/>
  <c r="G419" i="956"/>
  <c r="AQ418" i="956"/>
  <c r="AP418" i="956"/>
  <c r="G418" i="956"/>
  <c r="AQ417" i="956"/>
  <c r="AP417" i="956"/>
  <c r="G417" i="956"/>
  <c r="C417" i="956"/>
  <c r="AQ416" i="956"/>
  <c r="AP416" i="956"/>
  <c r="N416" i="956"/>
  <c r="L416" i="956"/>
  <c r="AQ415" i="956"/>
  <c r="AP415" i="956"/>
  <c r="G415" i="956"/>
  <c r="AQ414" i="956"/>
  <c r="AP414" i="956"/>
  <c r="C414" i="956"/>
  <c r="AQ413" i="956"/>
  <c r="AP413" i="956"/>
  <c r="F413" i="956"/>
  <c r="C413" i="956"/>
  <c r="AQ412" i="956"/>
  <c r="AP412" i="956"/>
  <c r="H412" i="956"/>
  <c r="AQ411" i="956"/>
  <c r="AP411" i="956"/>
  <c r="N411" i="956"/>
  <c r="L411" i="956"/>
  <c r="H411" i="956"/>
  <c r="AQ410" i="956"/>
  <c r="AP410" i="956"/>
  <c r="H410" i="956"/>
  <c r="AQ409" i="956"/>
  <c r="AP409" i="956"/>
  <c r="G409" i="956"/>
  <c r="AQ408" i="956"/>
  <c r="AP408" i="956"/>
  <c r="N408" i="956"/>
  <c r="L408" i="956"/>
  <c r="AQ407" i="956"/>
  <c r="AP407" i="956"/>
  <c r="N407" i="956"/>
  <c r="L407" i="956"/>
  <c r="AQ406" i="956"/>
  <c r="AP406" i="956"/>
  <c r="G406" i="956"/>
  <c r="AQ405" i="956"/>
  <c r="AP405" i="956"/>
  <c r="G405" i="956"/>
  <c r="AQ404" i="956"/>
  <c r="AP404" i="956"/>
  <c r="G404" i="956"/>
  <c r="AQ403" i="956"/>
  <c r="AP403" i="956"/>
  <c r="G403" i="956"/>
  <c r="AQ402" i="956"/>
  <c r="AP402" i="956"/>
  <c r="G402" i="956"/>
  <c r="C402" i="956"/>
  <c r="AQ401" i="956"/>
  <c r="AP401" i="956"/>
  <c r="N401" i="956"/>
  <c r="L401" i="956"/>
  <c r="AQ400" i="956"/>
  <c r="AP400" i="956"/>
  <c r="G400" i="956"/>
  <c r="AQ399" i="956"/>
  <c r="AP399" i="956"/>
  <c r="C399" i="956"/>
  <c r="AQ398" i="956"/>
  <c r="AP398" i="956"/>
  <c r="F398" i="956"/>
  <c r="C398" i="956"/>
  <c r="AQ397" i="956"/>
  <c r="AP397" i="956"/>
  <c r="H397" i="956"/>
  <c r="AQ396" i="956"/>
  <c r="AP396" i="956"/>
  <c r="N396" i="956"/>
  <c r="L396" i="956"/>
  <c r="H396" i="956"/>
  <c r="AQ395" i="956"/>
  <c r="AP395" i="956"/>
  <c r="H395" i="956"/>
  <c r="AQ394" i="956"/>
  <c r="AP394" i="956"/>
  <c r="G394" i="956"/>
  <c r="AQ393" i="956"/>
  <c r="AP393" i="956"/>
  <c r="N393" i="956"/>
  <c r="L393" i="956"/>
  <c r="AQ392" i="956"/>
  <c r="AP392" i="956"/>
  <c r="N392" i="956"/>
  <c r="L392" i="956"/>
  <c r="AQ391" i="956"/>
  <c r="AP391" i="956"/>
  <c r="G391" i="956"/>
  <c r="AQ390" i="956"/>
  <c r="AP390" i="956"/>
  <c r="G390" i="956"/>
  <c r="AQ389" i="956"/>
  <c r="AP389" i="956"/>
  <c r="G389" i="956"/>
  <c r="AQ388" i="956"/>
  <c r="AP388" i="956"/>
  <c r="G388" i="956"/>
  <c r="AQ387" i="956"/>
  <c r="AP387" i="956"/>
  <c r="G387" i="956"/>
  <c r="C387" i="956"/>
  <c r="N386" i="956"/>
  <c r="L386" i="956"/>
  <c r="G385" i="956"/>
  <c r="C384" i="956"/>
  <c r="F383" i="956"/>
  <c r="C383" i="956"/>
  <c r="H382" i="956"/>
  <c r="H381" i="956"/>
  <c r="H380" i="956"/>
  <c r="G379" i="956"/>
  <c r="N378" i="956"/>
  <c r="L378" i="956"/>
  <c r="N377" i="956"/>
  <c r="L377" i="956"/>
  <c r="G376" i="956"/>
  <c r="G375" i="956"/>
  <c r="G374" i="956"/>
  <c r="G373" i="956"/>
  <c r="G372" i="956"/>
  <c r="C372" i="956"/>
  <c r="N371" i="956"/>
  <c r="L371" i="956"/>
  <c r="G370" i="956"/>
  <c r="C369" i="956"/>
  <c r="F368" i="956"/>
  <c r="C368" i="956"/>
  <c r="H367" i="956"/>
  <c r="H366" i="956"/>
  <c r="H365" i="956"/>
  <c r="G364" i="956"/>
  <c r="N363" i="956"/>
  <c r="L363" i="956"/>
  <c r="N362" i="956"/>
  <c r="L362" i="956"/>
  <c r="G361" i="956"/>
  <c r="G360" i="956"/>
  <c r="G359" i="956"/>
  <c r="G358" i="956"/>
  <c r="G357" i="956"/>
  <c r="C357" i="956"/>
  <c r="N356" i="956"/>
  <c r="L356" i="956"/>
  <c r="G355" i="956"/>
  <c r="C354" i="956"/>
  <c r="F353" i="956"/>
  <c r="C353" i="956"/>
  <c r="H352" i="956"/>
  <c r="H351" i="956"/>
  <c r="H350" i="956"/>
  <c r="G349" i="956"/>
  <c r="N348" i="956"/>
  <c r="L348" i="956"/>
  <c r="N347" i="956"/>
  <c r="L347" i="956"/>
  <c r="G346" i="956"/>
  <c r="G345" i="956"/>
  <c r="G344" i="956"/>
  <c r="G343" i="956"/>
  <c r="G342" i="956"/>
  <c r="C342" i="956"/>
  <c r="N341" i="956"/>
  <c r="L341" i="956"/>
  <c r="G340" i="956"/>
  <c r="C339" i="956"/>
  <c r="F338" i="956"/>
  <c r="C338" i="956"/>
  <c r="H337" i="956"/>
  <c r="H336" i="956"/>
  <c r="H335" i="956"/>
  <c r="G334" i="956"/>
  <c r="N333" i="956"/>
  <c r="L333" i="956"/>
  <c r="N332" i="956"/>
  <c r="L332" i="956"/>
  <c r="G331" i="956"/>
  <c r="G330" i="956"/>
  <c r="G329" i="956"/>
  <c r="G328" i="956"/>
  <c r="G327" i="956"/>
  <c r="C327" i="956"/>
  <c r="N326" i="956"/>
  <c r="L326" i="956"/>
  <c r="G325" i="956"/>
  <c r="C324" i="956"/>
  <c r="F323" i="956"/>
  <c r="C323" i="956"/>
  <c r="H322" i="956"/>
  <c r="H321" i="956"/>
  <c r="H320" i="956"/>
  <c r="G319" i="956"/>
  <c r="N318" i="956"/>
  <c r="L318" i="956"/>
  <c r="N317" i="956"/>
  <c r="L317" i="956"/>
  <c r="G316" i="956"/>
  <c r="G315" i="956"/>
  <c r="G314" i="956"/>
  <c r="G313" i="956"/>
  <c r="G312" i="956"/>
  <c r="C312" i="956"/>
  <c r="N311" i="956"/>
  <c r="L311" i="956"/>
  <c r="G310" i="956"/>
  <c r="C309" i="956"/>
  <c r="N308" i="956"/>
  <c r="N307" i="956"/>
  <c r="N306" i="956"/>
  <c r="N305" i="956"/>
  <c r="N304" i="956"/>
  <c r="N303" i="956"/>
  <c r="N302" i="956"/>
  <c r="N301" i="956"/>
  <c r="N300" i="956"/>
  <c r="N299" i="956"/>
  <c r="E295" i="956"/>
  <c r="D295" i="956"/>
  <c r="C295" i="956"/>
  <c r="E294" i="956"/>
  <c r="D294" i="956"/>
  <c r="C294" i="956"/>
  <c r="E293" i="956"/>
  <c r="D293" i="956"/>
  <c r="C293" i="956"/>
  <c r="E292" i="956"/>
  <c r="D292" i="956"/>
  <c r="C292" i="956"/>
  <c r="E291" i="956"/>
  <c r="D291" i="956"/>
  <c r="C291" i="956"/>
  <c r="E290" i="956"/>
  <c r="D290" i="956"/>
  <c r="C290" i="956"/>
  <c r="E289" i="956"/>
  <c r="D289" i="956"/>
  <c r="C289" i="956"/>
  <c r="E288" i="956"/>
  <c r="D288" i="956"/>
  <c r="C288" i="956"/>
  <c r="E287" i="956"/>
  <c r="D287" i="956"/>
  <c r="C287" i="956"/>
  <c r="E286" i="956"/>
  <c r="D286" i="956"/>
  <c r="C286" i="956"/>
  <c r="AC285" i="956"/>
  <c r="AA285" i="956"/>
  <c r="Y285" i="956"/>
  <c r="E285" i="956"/>
  <c r="D285" i="956"/>
  <c r="C285" i="956"/>
  <c r="AC284" i="956"/>
  <c r="AA284" i="956"/>
  <c r="Y284" i="956"/>
  <c r="E284" i="956"/>
  <c r="D284" i="956"/>
  <c r="C284" i="956"/>
  <c r="AC283" i="956"/>
  <c r="AA283" i="956"/>
  <c r="Y283" i="956"/>
  <c r="E283" i="956"/>
  <c r="D283" i="956"/>
  <c r="C283" i="956"/>
  <c r="AC282" i="956"/>
  <c r="AA282" i="956"/>
  <c r="Y282" i="956"/>
  <c r="E282" i="956"/>
  <c r="D282" i="956"/>
  <c r="C282" i="956"/>
  <c r="AC281" i="956"/>
  <c r="AA281" i="956"/>
  <c r="Y281" i="956"/>
  <c r="E281" i="956"/>
  <c r="D281" i="956"/>
  <c r="C281" i="956"/>
  <c r="AC280" i="956"/>
  <c r="AA280" i="956"/>
  <c r="Y280" i="956"/>
  <c r="E280" i="956"/>
  <c r="D280" i="956"/>
  <c r="C280" i="956"/>
  <c r="AC279" i="956"/>
  <c r="AA279" i="956"/>
  <c r="Y279" i="956"/>
  <c r="E279" i="956"/>
  <c r="D279" i="956"/>
  <c r="C279" i="956"/>
  <c r="AC278" i="956"/>
  <c r="AA278" i="956"/>
  <c r="Y278" i="956"/>
  <c r="E278" i="956"/>
  <c r="D278" i="956"/>
  <c r="C278" i="956"/>
  <c r="AC277" i="956"/>
  <c r="AA277" i="956"/>
  <c r="Y277" i="956"/>
  <c r="E277" i="956"/>
  <c r="D277" i="956"/>
  <c r="C277" i="956"/>
  <c r="AC276" i="956"/>
  <c r="AA276" i="956"/>
  <c r="Y276" i="956"/>
  <c r="E276" i="956"/>
  <c r="D276" i="956"/>
  <c r="C276" i="956"/>
  <c r="AC275" i="956"/>
  <c r="AA275" i="956"/>
  <c r="Y275" i="956"/>
  <c r="E275" i="956"/>
  <c r="D275" i="956"/>
  <c r="C275" i="956"/>
  <c r="AC274" i="956"/>
  <c r="AA274" i="956"/>
  <c r="Y274" i="956"/>
  <c r="E274" i="956"/>
  <c r="D274" i="956"/>
  <c r="C274" i="956"/>
  <c r="AC273" i="956"/>
  <c r="AA273" i="956"/>
  <c r="Y273" i="956"/>
  <c r="E273" i="956"/>
  <c r="D273" i="956"/>
  <c r="C273" i="956"/>
  <c r="AC272" i="956"/>
  <c r="AA272" i="956"/>
  <c r="Y272" i="956"/>
  <c r="E272" i="956"/>
  <c r="D272" i="956"/>
  <c r="C272" i="956"/>
  <c r="AC271" i="956"/>
  <c r="AA271" i="956"/>
  <c r="Y271" i="956"/>
  <c r="E271" i="956"/>
  <c r="D271" i="956"/>
  <c r="C271" i="956"/>
  <c r="AC270" i="956"/>
  <c r="AA270" i="956"/>
  <c r="Y270" i="956"/>
  <c r="E270" i="956"/>
  <c r="D270" i="956"/>
  <c r="C270" i="956"/>
  <c r="AC269" i="956"/>
  <c r="AA269" i="956"/>
  <c r="Y269" i="956"/>
  <c r="E269" i="956"/>
  <c r="D269" i="956"/>
  <c r="C269" i="956"/>
  <c r="AC268" i="956"/>
  <c r="AA268" i="956"/>
  <c r="Y268" i="956"/>
  <c r="E268" i="956"/>
  <c r="D268" i="956"/>
  <c r="C268" i="956"/>
  <c r="AC267" i="956"/>
  <c r="AA267" i="956"/>
  <c r="Y267" i="956"/>
  <c r="E267" i="956"/>
  <c r="D267" i="956"/>
  <c r="C267" i="956"/>
  <c r="AC266" i="956"/>
  <c r="AA266" i="956"/>
  <c r="Y266" i="956"/>
  <c r="E266" i="956"/>
  <c r="D266" i="956"/>
  <c r="C266" i="956"/>
  <c r="AC265" i="956"/>
  <c r="AA265" i="956"/>
  <c r="Y265" i="956"/>
  <c r="E265" i="956"/>
  <c r="D265" i="956"/>
  <c r="C265" i="956"/>
  <c r="AC264" i="956"/>
  <c r="AA264" i="956"/>
  <c r="Y264" i="956"/>
  <c r="E264" i="956"/>
  <c r="D264" i="956"/>
  <c r="C264" i="956"/>
  <c r="AC263" i="956"/>
  <c r="AA263" i="956"/>
  <c r="Y263" i="956"/>
  <c r="E263" i="956"/>
  <c r="D263" i="956"/>
  <c r="C263" i="956"/>
  <c r="AC262" i="956"/>
  <c r="AA262" i="956"/>
  <c r="Y262" i="956"/>
  <c r="E262" i="956"/>
  <c r="D262" i="956"/>
  <c r="C262" i="956"/>
  <c r="AC261" i="956"/>
  <c r="AA261" i="956"/>
  <c r="Y261" i="956"/>
  <c r="E261" i="956"/>
  <c r="D261" i="956"/>
  <c r="C261" i="956"/>
  <c r="AC260" i="956"/>
  <c r="AA260" i="956"/>
  <c r="Y260" i="956"/>
  <c r="E260" i="956"/>
  <c r="D260" i="956"/>
  <c r="C260" i="956"/>
  <c r="AC259" i="956"/>
  <c r="AA259" i="956"/>
  <c r="Y259" i="956"/>
  <c r="E259" i="956"/>
  <c r="D259" i="956"/>
  <c r="C259" i="956"/>
  <c r="AC258" i="956"/>
  <c r="AA258" i="956"/>
  <c r="Y258" i="956"/>
  <c r="E258" i="956"/>
  <c r="D258" i="956"/>
  <c r="C258" i="956"/>
  <c r="AC257" i="956"/>
  <c r="AA257" i="956"/>
  <c r="Y257" i="956"/>
  <c r="E257" i="956"/>
  <c r="D257" i="956"/>
  <c r="C257" i="956"/>
  <c r="AC256" i="956"/>
  <c r="AA256" i="956"/>
  <c r="Y256" i="956"/>
  <c r="E256" i="956"/>
  <c r="D256" i="956"/>
  <c r="C256" i="956"/>
  <c r="AC255" i="956"/>
  <c r="AA255" i="956"/>
  <c r="Y255" i="956"/>
  <c r="E255" i="956"/>
  <c r="D255" i="956"/>
  <c r="C255" i="956"/>
  <c r="AC254" i="956"/>
  <c r="AA254" i="956"/>
  <c r="Y254" i="956"/>
  <c r="E254" i="956"/>
  <c r="D254" i="956"/>
  <c r="C254" i="956"/>
  <c r="AC253" i="956"/>
  <c r="AA253" i="956"/>
  <c r="Y253" i="956"/>
  <c r="E253" i="956"/>
  <c r="D253" i="956"/>
  <c r="C253" i="956"/>
  <c r="AC252" i="956"/>
  <c r="AA252" i="956"/>
  <c r="Y252" i="956"/>
  <c r="E252" i="956"/>
  <c r="D252" i="956"/>
  <c r="C252" i="956"/>
  <c r="AC251" i="956"/>
  <c r="AA251" i="956"/>
  <c r="Y251" i="956"/>
  <c r="E251" i="956"/>
  <c r="D251" i="956"/>
  <c r="C251" i="956"/>
  <c r="AC250" i="956"/>
  <c r="AA250" i="956"/>
  <c r="Y250" i="956"/>
  <c r="E250" i="956"/>
  <c r="D250" i="956"/>
  <c r="C250" i="956"/>
  <c r="AC249" i="956"/>
  <c r="AA249" i="956"/>
  <c r="Y249" i="956"/>
  <c r="E249" i="956"/>
  <c r="D249" i="956"/>
  <c r="C249" i="956"/>
  <c r="AC248" i="956"/>
  <c r="AA248" i="956"/>
  <c r="Y248" i="956"/>
  <c r="E248" i="956"/>
  <c r="D248" i="956"/>
  <c r="C248" i="956"/>
  <c r="AC247" i="956"/>
  <c r="AA247" i="956"/>
  <c r="Y247" i="956"/>
  <c r="E247" i="956"/>
  <c r="D247" i="956"/>
  <c r="C247" i="956"/>
  <c r="AC246" i="956"/>
  <c r="AA246" i="956"/>
  <c r="Y246" i="956"/>
  <c r="E246" i="956"/>
  <c r="D246" i="956"/>
  <c r="C246" i="956"/>
  <c r="AC245" i="956"/>
  <c r="AA245" i="956"/>
  <c r="Y245" i="956"/>
  <c r="E245" i="956"/>
  <c r="D245" i="956"/>
  <c r="C245" i="956"/>
  <c r="AC244" i="956"/>
  <c r="AA244" i="956"/>
  <c r="Y244" i="956"/>
  <c r="E244" i="956"/>
  <c r="D244" i="956"/>
  <c r="C244" i="956"/>
  <c r="AC243" i="956"/>
  <c r="AA243" i="956"/>
  <c r="Y243" i="956"/>
  <c r="E243" i="956"/>
  <c r="D243" i="956"/>
  <c r="C243" i="956"/>
  <c r="AC242" i="956"/>
  <c r="AA242" i="956"/>
  <c r="Y242" i="956"/>
  <c r="E242" i="956"/>
  <c r="D242" i="956"/>
  <c r="C242" i="956"/>
  <c r="AC241" i="956"/>
  <c r="AA241" i="956"/>
  <c r="Y241" i="956"/>
  <c r="E241" i="956"/>
  <c r="D241" i="956"/>
  <c r="C241" i="956"/>
  <c r="AC240" i="956"/>
  <c r="AA240" i="956"/>
  <c r="Y240" i="956"/>
  <c r="E240" i="956"/>
  <c r="D240" i="956"/>
  <c r="C240" i="956"/>
  <c r="AC239" i="956"/>
  <c r="AA239" i="956"/>
  <c r="Y239" i="956"/>
  <c r="E239" i="956"/>
  <c r="D239" i="956"/>
  <c r="C239" i="956"/>
  <c r="AC238" i="956"/>
  <c r="AA238" i="956"/>
  <c r="Y238" i="956"/>
  <c r="E238" i="956"/>
  <c r="D238" i="956"/>
  <c r="C238" i="956"/>
  <c r="AC237" i="956"/>
  <c r="AA237" i="956"/>
  <c r="Y237" i="956"/>
  <c r="V237" i="956"/>
  <c r="S237" i="956"/>
  <c r="P237" i="956"/>
  <c r="E237" i="956"/>
  <c r="D237" i="956"/>
  <c r="C237" i="956"/>
  <c r="AC236" i="956"/>
  <c r="AA236" i="956"/>
  <c r="Y236" i="956"/>
  <c r="V236" i="956"/>
  <c r="S236" i="956"/>
  <c r="P236" i="956"/>
  <c r="E236" i="956"/>
  <c r="D236" i="956"/>
  <c r="C236" i="956"/>
  <c r="AC235" i="956"/>
  <c r="AA235" i="956"/>
  <c r="Y235" i="956"/>
  <c r="V235" i="956"/>
  <c r="S235" i="956"/>
  <c r="P235" i="956"/>
  <c r="E235" i="956"/>
  <c r="D235" i="956"/>
  <c r="C235" i="956"/>
  <c r="AC234" i="956"/>
  <c r="AA234" i="956"/>
  <c r="Y234" i="956"/>
  <c r="V234" i="956"/>
  <c r="S234" i="956"/>
  <c r="P234" i="956"/>
  <c r="E234" i="956"/>
  <c r="D234" i="956"/>
  <c r="C234" i="956"/>
  <c r="AC233" i="956"/>
  <c r="AA233" i="956"/>
  <c r="Y233" i="956"/>
  <c r="E233" i="956"/>
  <c r="D233" i="956"/>
  <c r="C233" i="956"/>
  <c r="W232" i="956"/>
  <c r="V232" i="956"/>
  <c r="T232" i="956"/>
  <c r="S232" i="956"/>
  <c r="Q232" i="956"/>
  <c r="P232" i="956"/>
  <c r="E232" i="956"/>
  <c r="D232" i="956"/>
  <c r="C232" i="956"/>
  <c r="E231" i="956"/>
  <c r="D231" i="956"/>
  <c r="C231" i="956"/>
  <c r="AC230" i="956"/>
  <c r="AD284" i="956" s="1"/>
  <c r="AA230" i="956"/>
  <c r="AB237" i="956" s="1"/>
  <c r="Y230" i="956"/>
  <c r="Z272" i="956" s="1"/>
  <c r="E230" i="956"/>
  <c r="D230" i="956"/>
  <c r="C230" i="956"/>
  <c r="E229" i="956"/>
  <c r="D229" i="956"/>
  <c r="C229" i="956"/>
  <c r="E228" i="956"/>
  <c r="D228" i="956"/>
  <c r="C228" i="956"/>
  <c r="E227" i="956"/>
  <c r="D227" i="956"/>
  <c r="C227" i="956"/>
  <c r="E226" i="956"/>
  <c r="D226" i="956"/>
  <c r="C226" i="956"/>
  <c r="I225" i="956"/>
  <c r="E225" i="956"/>
  <c r="D225" i="956"/>
  <c r="C225" i="956"/>
  <c r="N224" i="956"/>
  <c r="Y223" i="956"/>
  <c r="N223" i="956"/>
  <c r="Y222" i="956"/>
  <c r="N222" i="956"/>
  <c r="N221" i="956"/>
  <c r="N220" i="956"/>
  <c r="N219" i="956"/>
  <c r="N218" i="956"/>
  <c r="N217" i="956"/>
  <c r="J216" i="956"/>
  <c r="I216" i="956"/>
  <c r="N216" i="956" s="1"/>
  <c r="E216" i="956"/>
  <c r="D216" i="956"/>
  <c r="C216" i="956"/>
  <c r="J215" i="956"/>
  <c r="I215" i="956"/>
  <c r="N215" i="956" s="1"/>
  <c r="E215" i="956"/>
  <c r="D215" i="956"/>
  <c r="C215" i="956"/>
  <c r="J214" i="956"/>
  <c r="I214" i="956"/>
  <c r="N214" i="956" s="1"/>
  <c r="E214" i="956"/>
  <c r="D214" i="956"/>
  <c r="C214" i="956"/>
  <c r="J213" i="956"/>
  <c r="I213" i="956"/>
  <c r="N213" i="956" s="1"/>
  <c r="E213" i="956"/>
  <c r="D213" i="956"/>
  <c r="C213" i="956"/>
  <c r="J212" i="956"/>
  <c r="I212" i="956"/>
  <c r="N212" i="956" s="1"/>
  <c r="E212" i="956"/>
  <c r="D212" i="956"/>
  <c r="C212" i="956"/>
  <c r="J211" i="956"/>
  <c r="I211" i="956"/>
  <c r="E211" i="956"/>
  <c r="D211" i="956"/>
  <c r="C211" i="956"/>
  <c r="J210" i="956"/>
  <c r="I210" i="956"/>
  <c r="N210" i="956" s="1"/>
  <c r="E210" i="956"/>
  <c r="D210" i="956"/>
  <c r="C210" i="956"/>
  <c r="J209" i="956"/>
  <c r="I209" i="956"/>
  <c r="E209" i="956"/>
  <c r="D209" i="956"/>
  <c r="C209" i="956"/>
  <c r="J208" i="956"/>
  <c r="I208" i="956"/>
  <c r="N208" i="956" s="1"/>
  <c r="E208" i="956"/>
  <c r="D208" i="956"/>
  <c r="C208" i="956"/>
  <c r="J207" i="956"/>
  <c r="I207" i="956"/>
  <c r="N207" i="956" s="1"/>
  <c r="E207" i="956"/>
  <c r="D207" i="956"/>
  <c r="C207" i="956"/>
  <c r="J206" i="956"/>
  <c r="I206" i="956"/>
  <c r="N206" i="956" s="1"/>
  <c r="E206" i="956"/>
  <c r="D206" i="956"/>
  <c r="C206" i="956"/>
  <c r="J205" i="956"/>
  <c r="I205" i="956"/>
  <c r="N205" i="956" s="1"/>
  <c r="E205" i="956"/>
  <c r="D205" i="956"/>
  <c r="C205" i="956"/>
  <c r="J204" i="956"/>
  <c r="I204" i="956"/>
  <c r="N204" i="956" s="1"/>
  <c r="E204" i="956"/>
  <c r="D204" i="956"/>
  <c r="C204" i="956"/>
  <c r="J203" i="956"/>
  <c r="I203" i="956"/>
  <c r="E203" i="956"/>
  <c r="D203" i="956"/>
  <c r="C203" i="956"/>
  <c r="J202" i="956"/>
  <c r="I202" i="956"/>
  <c r="N202" i="956" s="1"/>
  <c r="E202" i="956"/>
  <c r="D202" i="956"/>
  <c r="C202" i="956"/>
  <c r="J201" i="956"/>
  <c r="I201" i="956"/>
  <c r="N201" i="956" s="1"/>
  <c r="E201" i="956"/>
  <c r="D201" i="956"/>
  <c r="C201" i="956"/>
  <c r="J200" i="956"/>
  <c r="I200" i="956"/>
  <c r="N200" i="956" s="1"/>
  <c r="E200" i="956"/>
  <c r="D200" i="956"/>
  <c r="C200" i="956"/>
  <c r="J199" i="956"/>
  <c r="I199" i="956"/>
  <c r="E199" i="956"/>
  <c r="D199" i="956"/>
  <c r="C199" i="956"/>
  <c r="J198" i="956"/>
  <c r="I198" i="956"/>
  <c r="N198" i="956" s="1"/>
  <c r="E198" i="956"/>
  <c r="D198" i="956"/>
  <c r="C198" i="956"/>
  <c r="J197" i="956"/>
  <c r="I197" i="956"/>
  <c r="N197" i="956" s="1"/>
  <c r="E197" i="956"/>
  <c r="D197" i="956"/>
  <c r="C197" i="956"/>
  <c r="J196" i="956"/>
  <c r="I196" i="956"/>
  <c r="N196" i="956" s="1"/>
  <c r="E196" i="956"/>
  <c r="D196" i="956"/>
  <c r="C196" i="956"/>
  <c r="J195" i="956"/>
  <c r="I195" i="956"/>
  <c r="E195" i="956"/>
  <c r="D195" i="956"/>
  <c r="C195" i="956"/>
  <c r="J194" i="956"/>
  <c r="I194" i="956"/>
  <c r="N194" i="956" s="1"/>
  <c r="E194" i="956"/>
  <c r="D194" i="956"/>
  <c r="C194" i="956"/>
  <c r="J193" i="956"/>
  <c r="I193" i="956"/>
  <c r="N193" i="956" s="1"/>
  <c r="E193" i="956"/>
  <c r="D193" i="956"/>
  <c r="C193" i="956"/>
  <c r="J192" i="956"/>
  <c r="I192" i="956"/>
  <c r="N192" i="956" s="1"/>
  <c r="E192" i="956"/>
  <c r="D192" i="956"/>
  <c r="C192" i="956"/>
  <c r="J191" i="956"/>
  <c r="I191" i="956"/>
  <c r="E191" i="956"/>
  <c r="D191" i="956"/>
  <c r="C191" i="956"/>
  <c r="J190" i="956"/>
  <c r="I190" i="956"/>
  <c r="N190" i="956" s="1"/>
  <c r="E190" i="956"/>
  <c r="D190" i="956"/>
  <c r="C190" i="956"/>
  <c r="J189" i="956"/>
  <c r="I189" i="956"/>
  <c r="N189" i="956" s="1"/>
  <c r="E189" i="956"/>
  <c r="D189" i="956"/>
  <c r="C189" i="956"/>
  <c r="J188" i="956"/>
  <c r="I188" i="956"/>
  <c r="N188" i="956" s="1"/>
  <c r="E188" i="956"/>
  <c r="D188" i="956"/>
  <c r="C188" i="956"/>
  <c r="J187" i="956"/>
  <c r="I187" i="956"/>
  <c r="E187" i="956"/>
  <c r="D187" i="956"/>
  <c r="C187" i="956"/>
  <c r="AD186" i="956"/>
  <c r="AC186" i="956"/>
  <c r="I974" i="956" s="1"/>
  <c r="J186" i="956"/>
  <c r="I186" i="956"/>
  <c r="N186" i="956" s="1"/>
  <c r="E186" i="956"/>
  <c r="D186" i="956"/>
  <c r="C186" i="956"/>
  <c r="J185" i="956"/>
  <c r="I185" i="956"/>
  <c r="N185" i="956" s="1"/>
  <c r="E185" i="956"/>
  <c r="D185" i="956"/>
  <c r="C185" i="956"/>
  <c r="J184" i="956"/>
  <c r="I184" i="956"/>
  <c r="N184" i="956" s="1"/>
  <c r="E184" i="956"/>
  <c r="D184" i="956"/>
  <c r="C184" i="956"/>
  <c r="J183" i="956"/>
  <c r="I183" i="956"/>
  <c r="N183" i="956" s="1"/>
  <c r="E183" i="956"/>
  <c r="D183" i="956"/>
  <c r="C183" i="956"/>
  <c r="J182" i="956"/>
  <c r="I182" i="956"/>
  <c r="N182" i="956" s="1"/>
  <c r="E182" i="956"/>
  <c r="D182" i="956"/>
  <c r="C182" i="956"/>
  <c r="J181" i="956"/>
  <c r="I181" i="956"/>
  <c r="N181" i="956" s="1"/>
  <c r="E181" i="956"/>
  <c r="D181" i="956"/>
  <c r="C181" i="956"/>
  <c r="J180" i="956"/>
  <c r="I180" i="956"/>
  <c r="N180" i="956" s="1"/>
  <c r="E180" i="956"/>
  <c r="D180" i="956"/>
  <c r="C180" i="956"/>
  <c r="J179" i="956"/>
  <c r="I179" i="956"/>
  <c r="N179" i="956" s="1"/>
  <c r="E179" i="956"/>
  <c r="D179" i="956"/>
  <c r="C179" i="956"/>
  <c r="J178" i="956"/>
  <c r="I178" i="956"/>
  <c r="N178" i="956" s="1"/>
  <c r="E178" i="956"/>
  <c r="D178" i="956"/>
  <c r="C178" i="956"/>
  <c r="J177" i="956"/>
  <c r="I177" i="956"/>
  <c r="N177" i="956" s="1"/>
  <c r="E177" i="956"/>
  <c r="D177" i="956"/>
  <c r="C177" i="956"/>
  <c r="V176" i="956"/>
  <c r="S176" i="956"/>
  <c r="J176" i="956"/>
  <c r="I176" i="956"/>
  <c r="N176" i="956" s="1"/>
  <c r="E176" i="956"/>
  <c r="D176" i="956"/>
  <c r="C176" i="956"/>
  <c r="V175" i="956"/>
  <c r="S175" i="956"/>
  <c r="J175" i="956"/>
  <c r="I175" i="956"/>
  <c r="E175" i="956"/>
  <c r="D175" i="956"/>
  <c r="C175" i="956"/>
  <c r="V174" i="956"/>
  <c r="S174" i="956"/>
  <c r="J174" i="956"/>
  <c r="I174" i="956"/>
  <c r="E174" i="956"/>
  <c r="D174" i="956"/>
  <c r="C174" i="956"/>
  <c r="V173" i="956"/>
  <c r="S173" i="956"/>
  <c r="J173" i="956"/>
  <c r="I173" i="956"/>
  <c r="N173" i="956" s="1"/>
  <c r="E173" i="956"/>
  <c r="D173" i="956"/>
  <c r="C173" i="956"/>
  <c r="V172" i="956"/>
  <c r="S172" i="956"/>
  <c r="J172" i="956"/>
  <c r="I172" i="956"/>
  <c r="N172" i="956" s="1"/>
  <c r="E172" i="956"/>
  <c r="D172" i="956"/>
  <c r="C172" i="956"/>
  <c r="J171" i="956"/>
  <c r="I171" i="956"/>
  <c r="N171" i="956" s="1"/>
  <c r="E171" i="956"/>
  <c r="D171" i="956"/>
  <c r="C171" i="956"/>
  <c r="R170" i="956"/>
  <c r="T170" i="956" s="1"/>
  <c r="J170" i="956"/>
  <c r="I170" i="956"/>
  <c r="N170" i="956" s="1"/>
  <c r="E170" i="956"/>
  <c r="D170" i="956"/>
  <c r="C170" i="956"/>
  <c r="J169" i="956"/>
  <c r="I169" i="956"/>
  <c r="N169" i="956" s="1"/>
  <c r="E169" i="956"/>
  <c r="D169" i="956"/>
  <c r="C169" i="956"/>
  <c r="J168" i="956"/>
  <c r="I168" i="956"/>
  <c r="E168" i="956"/>
  <c r="D168" i="956"/>
  <c r="C168" i="956"/>
  <c r="J167" i="956"/>
  <c r="I167" i="956"/>
  <c r="N167" i="956" s="1"/>
  <c r="E167" i="956"/>
  <c r="D167" i="956"/>
  <c r="C167" i="956"/>
  <c r="J166" i="956"/>
  <c r="I166" i="956"/>
  <c r="N166" i="956" s="1"/>
  <c r="E166" i="956"/>
  <c r="D166" i="956"/>
  <c r="C166" i="956"/>
  <c r="J165" i="956"/>
  <c r="I165" i="956"/>
  <c r="E165" i="956"/>
  <c r="D165" i="956"/>
  <c r="C165" i="956"/>
  <c r="J164" i="956"/>
  <c r="I164" i="956"/>
  <c r="N164" i="956" s="1"/>
  <c r="E164" i="956"/>
  <c r="D164" i="956"/>
  <c r="C164" i="956"/>
  <c r="R163" i="956"/>
  <c r="P163" i="956"/>
  <c r="J163" i="956"/>
  <c r="I163" i="956"/>
  <c r="E163" i="956"/>
  <c r="D163" i="956"/>
  <c r="C163" i="956"/>
  <c r="R162" i="956"/>
  <c r="P162" i="956"/>
  <c r="J162" i="956"/>
  <c r="I162" i="956"/>
  <c r="E162" i="956"/>
  <c r="D162" i="956"/>
  <c r="C162" i="956"/>
  <c r="T161" i="956"/>
  <c r="R161" i="956"/>
  <c r="P161" i="956"/>
  <c r="J161" i="956"/>
  <c r="I161" i="956"/>
  <c r="N161" i="956" s="1"/>
  <c r="E161" i="956"/>
  <c r="D161" i="956"/>
  <c r="C161" i="956"/>
  <c r="P160" i="956"/>
  <c r="C774" i="956" s="1"/>
  <c r="J160" i="956"/>
  <c r="I160" i="956"/>
  <c r="N160" i="956" s="1"/>
  <c r="E160" i="956"/>
  <c r="D160" i="956"/>
  <c r="C160" i="956"/>
  <c r="J159" i="956"/>
  <c r="I159" i="956"/>
  <c r="N159" i="956" s="1"/>
  <c r="E159" i="956"/>
  <c r="D159" i="956"/>
  <c r="C159" i="956"/>
  <c r="J158" i="956"/>
  <c r="I158" i="956"/>
  <c r="E158" i="956"/>
  <c r="D158" i="956"/>
  <c r="C158" i="956"/>
  <c r="J157" i="956"/>
  <c r="I157" i="956"/>
  <c r="E157" i="956"/>
  <c r="D157" i="956"/>
  <c r="C157" i="956"/>
  <c r="Z156" i="956"/>
  <c r="I768" i="956" s="1"/>
  <c r="S156" i="956"/>
  <c r="J156" i="956"/>
  <c r="I156" i="956"/>
  <c r="N156" i="956" s="1"/>
  <c r="E156" i="956"/>
  <c r="D156" i="956"/>
  <c r="C156" i="956"/>
  <c r="J155" i="956"/>
  <c r="I155" i="956"/>
  <c r="N155" i="956" s="1"/>
  <c r="E155" i="956"/>
  <c r="D155" i="956"/>
  <c r="C155" i="956"/>
  <c r="T154" i="956"/>
  <c r="S154" i="956"/>
  <c r="J154" i="956"/>
  <c r="I154" i="956"/>
  <c r="E154" i="956"/>
  <c r="D154" i="956"/>
  <c r="C154" i="956"/>
  <c r="R153" i="956"/>
  <c r="J153" i="956"/>
  <c r="I153" i="956"/>
  <c r="N153" i="956" s="1"/>
  <c r="E153" i="956"/>
  <c r="D153" i="956"/>
  <c r="C153" i="956"/>
  <c r="AN152" i="956"/>
  <c r="AD152" i="956"/>
  <c r="I749" i="956" s="1"/>
  <c r="AC152" i="956"/>
  <c r="I750" i="956" s="1"/>
  <c r="AB152" i="956"/>
  <c r="I748" i="956" s="1"/>
  <c r="AA152" i="956"/>
  <c r="Z152" i="956"/>
  <c r="I753" i="956" s="1"/>
  <c r="Y152" i="956"/>
  <c r="J152" i="956"/>
  <c r="I152" i="956"/>
  <c r="N152" i="956" s="1"/>
  <c r="E152" i="956"/>
  <c r="D152" i="956"/>
  <c r="C152" i="956"/>
  <c r="AN151" i="956"/>
  <c r="AD151" i="956"/>
  <c r="I734" i="956" s="1"/>
  <c r="AC151" i="956"/>
  <c r="I735" i="956" s="1"/>
  <c r="AB151" i="956"/>
  <c r="I733" i="956" s="1"/>
  <c r="AA151" i="956"/>
  <c r="Z151" i="956"/>
  <c r="I738" i="956" s="1"/>
  <c r="Y151" i="956"/>
  <c r="I739" i="956" s="1"/>
  <c r="J151" i="956"/>
  <c r="I151" i="956"/>
  <c r="N151" i="956" s="1"/>
  <c r="E151" i="956"/>
  <c r="D151" i="956"/>
  <c r="C151" i="956"/>
  <c r="AN150" i="956"/>
  <c r="AD150" i="956"/>
  <c r="I719" i="956" s="1"/>
  <c r="AC150" i="956"/>
  <c r="I720" i="956" s="1"/>
  <c r="AB150" i="956"/>
  <c r="I718" i="956" s="1"/>
  <c r="AA150" i="956"/>
  <c r="Z150" i="956"/>
  <c r="I723" i="956" s="1"/>
  <c r="Y150" i="956"/>
  <c r="J150" i="956"/>
  <c r="I150" i="956"/>
  <c r="E150" i="956"/>
  <c r="D150" i="956"/>
  <c r="C150" i="956"/>
  <c r="AN149" i="956"/>
  <c r="AD149" i="956"/>
  <c r="I704" i="956" s="1"/>
  <c r="AC149" i="956"/>
  <c r="I705" i="956" s="1"/>
  <c r="AB149" i="956"/>
  <c r="I703" i="956" s="1"/>
  <c r="AA149" i="956"/>
  <c r="Z149" i="956"/>
  <c r="I708" i="956" s="1"/>
  <c r="Y149" i="956"/>
  <c r="I709" i="956" s="1"/>
  <c r="J149" i="956"/>
  <c r="I149" i="956"/>
  <c r="N149" i="956" s="1"/>
  <c r="E149" i="956"/>
  <c r="D149" i="956"/>
  <c r="C149" i="956"/>
  <c r="J148" i="956"/>
  <c r="I148" i="956"/>
  <c r="N148" i="956" s="1"/>
  <c r="E148" i="956"/>
  <c r="D148" i="956"/>
  <c r="C148" i="956"/>
  <c r="T147" i="956"/>
  <c r="Q147" i="956"/>
  <c r="J147" i="956"/>
  <c r="I147" i="956"/>
  <c r="N147" i="956" s="1"/>
  <c r="E147" i="956"/>
  <c r="D147" i="956"/>
  <c r="C147" i="956"/>
  <c r="Q146" i="956"/>
  <c r="J146" i="956"/>
  <c r="I146" i="956"/>
  <c r="E146" i="956"/>
  <c r="D146" i="956"/>
  <c r="C146" i="956"/>
  <c r="AN145" i="956"/>
  <c r="Z145" i="956"/>
  <c r="I693" i="956" s="1"/>
  <c r="Y145" i="956"/>
  <c r="I694" i="956" s="1"/>
  <c r="J145" i="956"/>
  <c r="I145" i="956"/>
  <c r="N145" i="956" s="1"/>
  <c r="E145" i="956"/>
  <c r="D145" i="956"/>
  <c r="C145" i="956"/>
  <c r="AN144" i="956"/>
  <c r="Z144" i="956"/>
  <c r="I678" i="956" s="1"/>
  <c r="Y144" i="956"/>
  <c r="J144" i="956"/>
  <c r="I144" i="956"/>
  <c r="N144" i="956" s="1"/>
  <c r="E144" i="956"/>
  <c r="D144" i="956"/>
  <c r="C144" i="956"/>
  <c r="AN143" i="956"/>
  <c r="Z143" i="956"/>
  <c r="I663" i="956" s="1"/>
  <c r="Y143" i="956"/>
  <c r="I664" i="956" s="1"/>
  <c r="J143" i="956"/>
  <c r="I143" i="956"/>
  <c r="N143" i="956" s="1"/>
  <c r="E143" i="956"/>
  <c r="D143" i="956"/>
  <c r="C143" i="956"/>
  <c r="AN142" i="956"/>
  <c r="Z142" i="956"/>
  <c r="I648" i="956" s="1"/>
  <c r="Y142" i="956"/>
  <c r="J142" i="956"/>
  <c r="I142" i="956"/>
  <c r="E142" i="956"/>
  <c r="D142" i="956"/>
  <c r="C142" i="956"/>
  <c r="AN141" i="956"/>
  <c r="Z141" i="956"/>
  <c r="I633" i="956" s="1"/>
  <c r="Y141" i="956"/>
  <c r="I634" i="956" s="1"/>
  <c r="J141" i="956"/>
  <c r="I141" i="956"/>
  <c r="N141" i="956" s="1"/>
  <c r="E141" i="956"/>
  <c r="D141" i="956"/>
  <c r="C141" i="956"/>
  <c r="J140" i="956"/>
  <c r="I140" i="956"/>
  <c r="E140" i="956"/>
  <c r="D140" i="956"/>
  <c r="C140" i="956"/>
  <c r="T139" i="956"/>
  <c r="S139" i="956"/>
  <c r="R139" i="956"/>
  <c r="Q139" i="956"/>
  <c r="J139" i="956"/>
  <c r="I139" i="956"/>
  <c r="N139" i="956" s="1"/>
  <c r="E139" i="956"/>
  <c r="D139" i="956"/>
  <c r="C139" i="956"/>
  <c r="P138" i="956"/>
  <c r="J138" i="956"/>
  <c r="I138" i="956"/>
  <c r="N138" i="956" s="1"/>
  <c r="E138" i="956"/>
  <c r="D138" i="956"/>
  <c r="C138" i="956"/>
  <c r="AN137" i="956"/>
  <c r="AD137" i="956"/>
  <c r="I614" i="956" s="1"/>
  <c r="AC137" i="956"/>
  <c r="I615" i="956" s="1"/>
  <c r="AB137" i="956"/>
  <c r="I613" i="956" s="1"/>
  <c r="Z137" i="956"/>
  <c r="I618" i="956" s="1"/>
  <c r="Y137" i="956"/>
  <c r="I619" i="956" s="1"/>
  <c r="J137" i="956"/>
  <c r="I137" i="956"/>
  <c r="C137" i="956"/>
  <c r="AN136" i="956"/>
  <c r="AD136" i="956"/>
  <c r="I599" i="956" s="1"/>
  <c r="AC136" i="956"/>
  <c r="I600" i="956" s="1"/>
  <c r="AB136" i="956"/>
  <c r="I598" i="956" s="1"/>
  <c r="Z136" i="956"/>
  <c r="I603" i="956" s="1"/>
  <c r="Y136" i="956"/>
  <c r="N136" i="956"/>
  <c r="AN135" i="956"/>
  <c r="AD135" i="956"/>
  <c r="I584" i="956" s="1"/>
  <c r="AC135" i="956"/>
  <c r="I585" i="956" s="1"/>
  <c r="AB135" i="956"/>
  <c r="I583" i="956" s="1"/>
  <c r="Z135" i="956"/>
  <c r="I588" i="956" s="1"/>
  <c r="Y135" i="956"/>
  <c r="I589" i="956" s="1"/>
  <c r="N135" i="956"/>
  <c r="AN134" i="956"/>
  <c r="AD134" i="956"/>
  <c r="I569" i="956" s="1"/>
  <c r="AC134" i="956"/>
  <c r="I570" i="956" s="1"/>
  <c r="AB134" i="956"/>
  <c r="I568" i="956" s="1"/>
  <c r="Z134" i="956"/>
  <c r="I573" i="956" s="1"/>
  <c r="Y134" i="956"/>
  <c r="I574" i="956" s="1"/>
  <c r="N134" i="956"/>
  <c r="AN133" i="956"/>
  <c r="AD133" i="956"/>
  <c r="I554" i="956" s="1"/>
  <c r="AC133" i="956"/>
  <c r="I555" i="956" s="1"/>
  <c r="AB133" i="956"/>
  <c r="I553" i="956" s="1"/>
  <c r="Z133" i="956"/>
  <c r="I558" i="956" s="1"/>
  <c r="Y133" i="956"/>
  <c r="N133" i="956"/>
  <c r="N132" i="956"/>
  <c r="T131" i="956"/>
  <c r="S131" i="956"/>
  <c r="R131" i="956"/>
  <c r="Q131" i="956"/>
  <c r="N131" i="956"/>
  <c r="P130" i="956"/>
  <c r="N130" i="956"/>
  <c r="N129" i="956"/>
  <c r="C126" i="956"/>
  <c r="N127" i="956" s="1"/>
  <c r="C123" i="956"/>
  <c r="N123" i="956" s="1"/>
  <c r="C120" i="956"/>
  <c r="N119" i="956"/>
  <c r="N118" i="956"/>
  <c r="N117" i="956"/>
  <c r="N116" i="956"/>
  <c r="F116" i="956"/>
  <c r="G116" i="956" s="1"/>
  <c r="U111" i="956"/>
  <c r="U110" i="956"/>
  <c r="T106" i="956"/>
  <c r="R106" i="956"/>
  <c r="P106" i="956"/>
  <c r="C106" i="956"/>
  <c r="T105" i="956"/>
  <c r="R105" i="956"/>
  <c r="P105" i="956"/>
  <c r="C105" i="956"/>
  <c r="T104" i="956"/>
  <c r="R104" i="956"/>
  <c r="P104" i="956"/>
  <c r="C104" i="956"/>
  <c r="P103" i="956"/>
  <c r="C534" i="956" s="1"/>
  <c r="C103" i="956"/>
  <c r="F103" i="956" s="1"/>
  <c r="C102" i="956"/>
  <c r="F102" i="956" s="1"/>
  <c r="AN101" i="956"/>
  <c r="AC101" i="956"/>
  <c r="I524" i="956" s="1"/>
  <c r="AB101" i="956"/>
  <c r="I525" i="956" s="1"/>
  <c r="AA101" i="956"/>
  <c r="I523" i="956" s="1"/>
  <c r="Z101" i="956"/>
  <c r="I520" i="956" s="1"/>
  <c r="Y101" i="956"/>
  <c r="I529" i="956" s="1"/>
  <c r="S100" i="956"/>
  <c r="R100" i="956"/>
  <c r="Q99" i="956"/>
  <c r="AN98" i="956"/>
  <c r="AK98" i="956"/>
  <c r="F516" i="956" s="1"/>
  <c r="AI98" i="956"/>
  <c r="F517" i="956" s="1"/>
  <c r="AG98" i="956"/>
  <c r="F515" i="956" s="1"/>
  <c r="AE98" i="956"/>
  <c r="I509" i="956" s="1"/>
  <c r="AD98" i="956"/>
  <c r="I510" i="956" s="1"/>
  <c r="AC98" i="956"/>
  <c r="I508" i="956" s="1"/>
  <c r="AB98" i="956"/>
  <c r="I511" i="956" s="1"/>
  <c r="AA98" i="956"/>
  <c r="Z98" i="956"/>
  <c r="I507" i="956" s="1"/>
  <c r="Y98" i="956"/>
  <c r="I514" i="956" s="1"/>
  <c r="AN97" i="956"/>
  <c r="AK97" i="956"/>
  <c r="F501" i="956" s="1"/>
  <c r="AI97" i="956"/>
  <c r="F502" i="956" s="1"/>
  <c r="AG97" i="956"/>
  <c r="F500" i="956" s="1"/>
  <c r="AE97" i="956"/>
  <c r="I494" i="956" s="1"/>
  <c r="AD97" i="956"/>
  <c r="I495" i="956" s="1"/>
  <c r="AC97" i="956"/>
  <c r="I493" i="956" s="1"/>
  <c r="AB97" i="956"/>
  <c r="I496" i="956" s="1"/>
  <c r="AA97" i="956"/>
  <c r="Z97" i="956"/>
  <c r="I492" i="956" s="1"/>
  <c r="Y97" i="956"/>
  <c r="I499" i="956" s="1"/>
  <c r="AN96" i="956"/>
  <c r="AK96" i="956"/>
  <c r="F486" i="956" s="1"/>
  <c r="AI96" i="956"/>
  <c r="F487" i="956" s="1"/>
  <c r="AG96" i="956"/>
  <c r="F485" i="956" s="1"/>
  <c r="AE96" i="956"/>
  <c r="I479" i="956" s="1"/>
  <c r="AD96" i="956"/>
  <c r="I480" i="956" s="1"/>
  <c r="AC96" i="956"/>
  <c r="I478" i="956" s="1"/>
  <c r="AB96" i="956"/>
  <c r="I481" i="956" s="1"/>
  <c r="AA96" i="956"/>
  <c r="Z96" i="956"/>
  <c r="I477" i="956" s="1"/>
  <c r="Y96" i="956"/>
  <c r="I484" i="956" s="1"/>
  <c r="AN95" i="956"/>
  <c r="AK95" i="956"/>
  <c r="F471" i="956" s="1"/>
  <c r="AI95" i="956"/>
  <c r="F472" i="956" s="1"/>
  <c r="AG95" i="956"/>
  <c r="F470" i="956" s="1"/>
  <c r="AE95" i="956"/>
  <c r="I464" i="956" s="1"/>
  <c r="AD95" i="956"/>
  <c r="I465" i="956" s="1"/>
  <c r="AC95" i="956"/>
  <c r="I463" i="956" s="1"/>
  <c r="AB95" i="956"/>
  <c r="I466" i="956" s="1"/>
  <c r="AA95" i="956"/>
  <c r="Z95" i="956"/>
  <c r="I462" i="956" s="1"/>
  <c r="Y95" i="956"/>
  <c r="I469" i="956" s="1"/>
  <c r="T94" i="956"/>
  <c r="S94" i="956"/>
  <c r="R94" i="956"/>
  <c r="Q93" i="956"/>
  <c r="AN92" i="956"/>
  <c r="AK92" i="956"/>
  <c r="F456" i="956" s="1"/>
  <c r="AI92" i="956"/>
  <c r="F457" i="956" s="1"/>
  <c r="AG92" i="956"/>
  <c r="F455" i="956" s="1"/>
  <c r="AE92" i="956"/>
  <c r="I449" i="956" s="1"/>
  <c r="AD92" i="956"/>
  <c r="I450" i="956" s="1"/>
  <c r="AC92" i="956"/>
  <c r="I448" i="956" s="1"/>
  <c r="AB92" i="956"/>
  <c r="I451" i="956" s="1"/>
  <c r="AA92" i="956"/>
  <c r="I445" i="956" s="1"/>
  <c r="Z92" i="956"/>
  <c r="I447" i="956" s="1"/>
  <c r="Y92" i="956"/>
  <c r="I454" i="956" s="1"/>
  <c r="AN91" i="956"/>
  <c r="AK91" i="956"/>
  <c r="F441" i="956" s="1"/>
  <c r="AI91" i="956"/>
  <c r="F442" i="956" s="1"/>
  <c r="AG91" i="956"/>
  <c r="F440" i="956" s="1"/>
  <c r="AE91" i="956"/>
  <c r="I434" i="956" s="1"/>
  <c r="AD91" i="956"/>
  <c r="I435" i="956" s="1"/>
  <c r="AC91" i="956"/>
  <c r="I433" i="956" s="1"/>
  <c r="AB91" i="956"/>
  <c r="I436" i="956" s="1"/>
  <c r="AA91" i="956"/>
  <c r="I430" i="956" s="1"/>
  <c r="Z91" i="956"/>
  <c r="I432" i="956" s="1"/>
  <c r="Y91" i="956"/>
  <c r="I439" i="956" s="1"/>
  <c r="AN90" i="956"/>
  <c r="AK90" i="956"/>
  <c r="F426" i="956" s="1"/>
  <c r="AI90" i="956"/>
  <c r="F427" i="956" s="1"/>
  <c r="AG90" i="956"/>
  <c r="AE90" i="956"/>
  <c r="I419" i="956" s="1"/>
  <c r="AD90" i="956"/>
  <c r="I420" i="956" s="1"/>
  <c r="AC90" i="956"/>
  <c r="I418" i="956" s="1"/>
  <c r="AB90" i="956"/>
  <c r="I421" i="956" s="1"/>
  <c r="AA90" i="956"/>
  <c r="I415" i="956" s="1"/>
  <c r="Z90" i="956"/>
  <c r="I417" i="956" s="1"/>
  <c r="Y90" i="956"/>
  <c r="I424" i="956" s="1"/>
  <c r="AN89" i="956"/>
  <c r="AK89" i="956"/>
  <c r="F411" i="956" s="1"/>
  <c r="AI89" i="956"/>
  <c r="F412" i="956" s="1"/>
  <c r="AG89" i="956"/>
  <c r="F410" i="956" s="1"/>
  <c r="AE89" i="956"/>
  <c r="I404" i="956" s="1"/>
  <c r="AD89" i="956"/>
  <c r="I405" i="956" s="1"/>
  <c r="AC89" i="956"/>
  <c r="I403" i="956" s="1"/>
  <c r="AB89" i="956"/>
  <c r="I406" i="956" s="1"/>
  <c r="AA89" i="956"/>
  <c r="I400" i="956" s="1"/>
  <c r="Z89" i="956"/>
  <c r="I402" i="956" s="1"/>
  <c r="Y89" i="956"/>
  <c r="I409" i="956" s="1"/>
  <c r="AN88" i="956"/>
  <c r="AK88" i="956"/>
  <c r="F396" i="956" s="1"/>
  <c r="AI88" i="956"/>
  <c r="F397" i="956" s="1"/>
  <c r="AG88" i="956"/>
  <c r="AE88" i="956"/>
  <c r="I389" i="956" s="1"/>
  <c r="AD88" i="956"/>
  <c r="I390" i="956" s="1"/>
  <c r="AC88" i="956"/>
  <c r="I388" i="956" s="1"/>
  <c r="AB88" i="956"/>
  <c r="I391" i="956" s="1"/>
  <c r="AA88" i="956"/>
  <c r="I385" i="956" s="1"/>
  <c r="Z88" i="956"/>
  <c r="I387" i="956" s="1"/>
  <c r="Y88" i="956"/>
  <c r="I394" i="956" s="1"/>
  <c r="T87" i="956"/>
  <c r="S87" i="956"/>
  <c r="R87" i="956"/>
  <c r="Q87" i="956"/>
  <c r="P86" i="956"/>
  <c r="AN85" i="956"/>
  <c r="AK85" i="956"/>
  <c r="AI85" i="956"/>
  <c r="F382" i="956" s="1"/>
  <c r="AG85" i="956"/>
  <c r="F380" i="956" s="1"/>
  <c r="AE85" i="956"/>
  <c r="I374" i="956" s="1"/>
  <c r="AD85" i="956"/>
  <c r="I375" i="956" s="1"/>
  <c r="AC85" i="956"/>
  <c r="I373" i="956" s="1"/>
  <c r="AB85" i="956"/>
  <c r="I376" i="956" s="1"/>
  <c r="AA85" i="956"/>
  <c r="I370" i="956" s="1"/>
  <c r="Z85" i="956"/>
  <c r="I372" i="956" s="1"/>
  <c r="Y85" i="956"/>
  <c r="I379" i="956" s="1"/>
  <c r="AN84" i="956"/>
  <c r="AK84" i="956"/>
  <c r="F366" i="956" s="1"/>
  <c r="AI84" i="956"/>
  <c r="F367" i="956" s="1"/>
  <c r="AG84" i="956"/>
  <c r="F365" i="956" s="1"/>
  <c r="AE84" i="956"/>
  <c r="I359" i="956" s="1"/>
  <c r="AD84" i="956"/>
  <c r="I360" i="956" s="1"/>
  <c r="AC84" i="956"/>
  <c r="I358" i="956" s="1"/>
  <c r="AB84" i="956"/>
  <c r="I361" i="956" s="1"/>
  <c r="AA84" i="956"/>
  <c r="I355" i="956" s="1"/>
  <c r="Z84" i="956"/>
  <c r="I357" i="956" s="1"/>
  <c r="Y84" i="956"/>
  <c r="I364" i="956" s="1"/>
  <c r="AN83" i="956"/>
  <c r="AK83" i="956"/>
  <c r="F351" i="956" s="1"/>
  <c r="AI83" i="956"/>
  <c r="F352" i="956" s="1"/>
  <c r="AG83" i="956"/>
  <c r="F350" i="956" s="1"/>
  <c r="AE83" i="956"/>
  <c r="I344" i="956" s="1"/>
  <c r="AD83" i="956"/>
  <c r="I345" i="956" s="1"/>
  <c r="AC83" i="956"/>
  <c r="I343" i="956" s="1"/>
  <c r="AB83" i="956"/>
  <c r="I346" i="956" s="1"/>
  <c r="AA83" i="956"/>
  <c r="I340" i="956" s="1"/>
  <c r="Z83" i="956"/>
  <c r="I342" i="956" s="1"/>
  <c r="Y83" i="956"/>
  <c r="I349" i="956" s="1"/>
  <c r="C83" i="956"/>
  <c r="AN82" i="956"/>
  <c r="AK82" i="956"/>
  <c r="AI82" i="956"/>
  <c r="F337" i="956" s="1"/>
  <c r="AG82" i="956"/>
  <c r="AE82" i="956"/>
  <c r="I329" i="956" s="1"/>
  <c r="AD82" i="956"/>
  <c r="I330" i="956" s="1"/>
  <c r="AC82" i="956"/>
  <c r="I328" i="956" s="1"/>
  <c r="AB82" i="956"/>
  <c r="I331" i="956" s="1"/>
  <c r="AA82" i="956"/>
  <c r="I325" i="956" s="1"/>
  <c r="Z82" i="956"/>
  <c r="I327" i="956" s="1"/>
  <c r="Y82" i="956"/>
  <c r="I334" i="956" s="1"/>
  <c r="AN81" i="956"/>
  <c r="AK81" i="956"/>
  <c r="F321" i="956" s="1"/>
  <c r="AI81" i="956"/>
  <c r="AG81" i="956"/>
  <c r="AH81" i="956" s="1"/>
  <c r="I320" i="956" s="1"/>
  <c r="AE81" i="956"/>
  <c r="I314" i="956" s="1"/>
  <c r="AD81" i="956"/>
  <c r="I315" i="956" s="1"/>
  <c r="AC81" i="956"/>
  <c r="I313" i="956" s="1"/>
  <c r="AB81" i="956"/>
  <c r="I316" i="956" s="1"/>
  <c r="AA81" i="956"/>
  <c r="I310" i="956" s="1"/>
  <c r="Z81" i="956"/>
  <c r="I312" i="956" s="1"/>
  <c r="Y81" i="956"/>
  <c r="I319" i="956" s="1"/>
  <c r="N81" i="956"/>
  <c r="T80" i="956"/>
  <c r="S80" i="956"/>
  <c r="R80" i="956"/>
  <c r="Q80" i="956"/>
  <c r="N80" i="956"/>
  <c r="P79" i="956"/>
  <c r="N79" i="956"/>
  <c r="T78" i="956"/>
  <c r="S78" i="956"/>
  <c r="Q78" i="956"/>
  <c r="P78" i="956"/>
  <c r="N78" i="956"/>
  <c r="T77" i="956"/>
  <c r="S77" i="956"/>
  <c r="Q77" i="956"/>
  <c r="P77" i="956"/>
  <c r="N77" i="956"/>
  <c r="Q76" i="956"/>
  <c r="P76" i="956"/>
  <c r="N76" i="956"/>
  <c r="AB75" i="956"/>
  <c r="I916" i="956" s="1"/>
  <c r="AA75" i="956"/>
  <c r="Z75" i="956"/>
  <c r="Y75" i="956"/>
  <c r="V75" i="956"/>
  <c r="I1033" i="956" s="1"/>
  <c r="U75" i="956"/>
  <c r="I1027" i="956" s="1"/>
  <c r="T75" i="956"/>
  <c r="S75" i="956"/>
  <c r="R75" i="956"/>
  <c r="Q75" i="956"/>
  <c r="P75" i="956"/>
  <c r="N75" i="956"/>
  <c r="R74" i="956"/>
  <c r="Q74" i="956"/>
  <c r="N74" i="956"/>
  <c r="V73" i="956"/>
  <c r="U73" i="956"/>
  <c r="T73" i="956"/>
  <c r="S73" i="956"/>
  <c r="Q73" i="956"/>
  <c r="P73" i="956"/>
  <c r="N73" i="956"/>
  <c r="P72" i="956"/>
  <c r="N72" i="956"/>
  <c r="N71" i="956"/>
  <c r="N70" i="956"/>
  <c r="C70" i="956"/>
  <c r="J69" i="956"/>
  <c r="I69" i="956"/>
  <c r="L69" i="956" s="1"/>
  <c r="C69" i="956"/>
  <c r="J68" i="956"/>
  <c r="I68" i="956"/>
  <c r="C68" i="956"/>
  <c r="J67" i="956"/>
  <c r="I67" i="956"/>
  <c r="C67" i="956"/>
  <c r="J66" i="956"/>
  <c r="I66" i="956"/>
  <c r="C66" i="956"/>
  <c r="J65" i="956"/>
  <c r="I65" i="956"/>
  <c r="L65" i="956" s="1"/>
  <c r="C65" i="956"/>
  <c r="J64" i="956"/>
  <c r="I64" i="956"/>
  <c r="L64" i="956" s="1"/>
  <c r="C64" i="956"/>
  <c r="J63" i="956"/>
  <c r="I63" i="956"/>
  <c r="C63" i="956"/>
  <c r="N61" i="956"/>
  <c r="L61" i="956"/>
  <c r="B61" i="956"/>
  <c r="N60" i="956"/>
  <c r="L60" i="956"/>
  <c r="B60" i="956"/>
  <c r="N59" i="956"/>
  <c r="L59" i="956"/>
  <c r="B59" i="956"/>
  <c r="N58" i="956"/>
  <c r="L58" i="956"/>
  <c r="B58" i="956"/>
  <c r="N57" i="956"/>
  <c r="L57" i="956"/>
  <c r="B57" i="956"/>
  <c r="N56" i="956"/>
  <c r="L56" i="956"/>
  <c r="B56" i="956"/>
  <c r="N55" i="956"/>
  <c r="L55" i="956"/>
  <c r="B55" i="956"/>
  <c r="N54" i="956"/>
  <c r="L54" i="956"/>
  <c r="B54" i="956"/>
  <c r="N53" i="956"/>
  <c r="L53" i="956"/>
  <c r="B53" i="956"/>
  <c r="N52" i="956"/>
  <c r="L52" i="956"/>
  <c r="B52" i="956"/>
  <c r="N51" i="956"/>
  <c r="L51" i="956"/>
  <c r="B51" i="956"/>
  <c r="N50" i="956"/>
  <c r="L50" i="956"/>
  <c r="B50" i="956"/>
  <c r="N49" i="956"/>
  <c r="L49" i="956"/>
  <c r="B49" i="956"/>
  <c r="N48" i="956"/>
  <c r="L48" i="956"/>
  <c r="B48" i="956"/>
  <c r="N47" i="956"/>
  <c r="L47" i="956"/>
  <c r="B47" i="956"/>
  <c r="N46" i="956"/>
  <c r="L46" i="956"/>
  <c r="B46" i="956"/>
  <c r="N45" i="956"/>
  <c r="L45" i="956"/>
  <c r="B45" i="956"/>
  <c r="N44" i="956"/>
  <c r="L44" i="956"/>
  <c r="B44" i="956"/>
  <c r="AY43" i="956" a="1"/>
  <c r="AY43" i="956" s="1"/>
  <c r="N43" i="956"/>
  <c r="L43" i="956"/>
  <c r="B43" i="956"/>
  <c r="AY42" i="956" a="1"/>
  <c r="AY42" i="956" s="1"/>
  <c r="N42" i="956"/>
  <c r="L42" i="956"/>
  <c r="B42" i="956"/>
  <c r="AY41" i="956" a="1"/>
  <c r="AY41" i="956" s="1"/>
  <c r="N41" i="956"/>
  <c r="L41" i="956"/>
  <c r="B41" i="956"/>
  <c r="AY40" i="956" a="1"/>
  <c r="AY40" i="956" s="1"/>
  <c r="N40" i="956"/>
  <c r="L40" i="956"/>
  <c r="B40" i="956"/>
  <c r="AY39" i="956" a="1"/>
  <c r="AY39" i="956" s="1"/>
  <c r="N39" i="956"/>
  <c r="L39" i="956"/>
  <c r="B39" i="956"/>
  <c r="AY38" i="956" a="1"/>
  <c r="AY38" i="956" s="1"/>
  <c r="N38" i="956"/>
  <c r="L38" i="956"/>
  <c r="B38" i="956"/>
  <c r="AY37" i="956" a="1"/>
  <c r="AY37" i="956" s="1"/>
  <c r="N37" i="956"/>
  <c r="L37" i="956"/>
  <c r="B37" i="956"/>
  <c r="AY36" i="956" a="1"/>
  <c r="AY36" i="956" s="1"/>
  <c r="N36" i="956"/>
  <c r="AY35" i="956" a="1"/>
  <c r="AY35" i="956" s="1"/>
  <c r="N35" i="956"/>
  <c r="L35" i="956"/>
  <c r="B35" i="956"/>
  <c r="AY34" i="956" a="1"/>
  <c r="AY34" i="956" s="1"/>
  <c r="N34" i="956"/>
  <c r="L34" i="956"/>
  <c r="B34" i="956"/>
  <c r="AY33" i="956" a="1"/>
  <c r="AY33" i="956" s="1"/>
  <c r="N33" i="956"/>
  <c r="L33" i="956"/>
  <c r="B33" i="956"/>
  <c r="AY32" i="956" a="1"/>
  <c r="AY32" i="956" s="1"/>
  <c r="N32" i="956"/>
  <c r="L32" i="956"/>
  <c r="B32" i="956"/>
  <c r="AY31" i="956" a="1"/>
  <c r="AY31" i="956" s="1"/>
  <c r="N31" i="956"/>
  <c r="L31" i="956"/>
  <c r="B31" i="956"/>
  <c r="AY30" i="956" a="1"/>
  <c r="AY30" i="956" s="1"/>
  <c r="N30" i="956"/>
  <c r="L30" i="956"/>
  <c r="B30" i="956"/>
  <c r="AY29" i="956" a="1"/>
  <c r="AY29" i="956" s="1"/>
  <c r="N29" i="956"/>
  <c r="L29" i="956"/>
  <c r="B29" i="956"/>
  <c r="AY28" i="956" a="1"/>
  <c r="AY28" i="956" s="1"/>
  <c r="N28" i="956"/>
  <c r="L28" i="956"/>
  <c r="B28" i="956"/>
  <c r="AY27" i="956" a="1"/>
  <c r="AY27" i="956" s="1"/>
  <c r="N27" i="956"/>
  <c r="L27" i="956"/>
  <c r="B27" i="956"/>
  <c r="AY26" i="956" a="1"/>
  <c r="AY26" i="956" s="1"/>
  <c r="N26" i="956"/>
  <c r="L26" i="956"/>
  <c r="B26" i="956"/>
  <c r="AY25" i="956" a="1"/>
  <c r="AY25" i="956" s="1"/>
  <c r="N25" i="956"/>
  <c r="L25" i="956"/>
  <c r="B25" i="956"/>
  <c r="AY24" i="956" a="1"/>
  <c r="AY24" i="956" s="1"/>
  <c r="AK24" i="956"/>
  <c r="AK25" i="956" s="1"/>
  <c r="N24" i="956"/>
  <c r="L24" i="956"/>
  <c r="B24" i="956"/>
  <c r="AY23" i="956" a="1"/>
  <c r="AY23" i="956" s="1"/>
  <c r="N23" i="956"/>
  <c r="L23" i="956"/>
  <c r="B23" i="956"/>
  <c r="N22" i="956"/>
  <c r="AH21" i="956"/>
  <c r="AG21" i="956"/>
  <c r="AF21" i="956" s="1"/>
  <c r="AD21" i="956"/>
  <c r="AC21" i="956"/>
  <c r="AB21" i="956"/>
  <c r="N21" i="956"/>
  <c r="L21" i="956"/>
  <c r="B21" i="956"/>
  <c r="AJ20" i="956"/>
  <c r="AC20" i="956"/>
  <c r="T20" i="956"/>
  <c r="S20" i="956"/>
  <c r="N20" i="956"/>
  <c r="L20" i="956"/>
  <c r="B20" i="956"/>
  <c r="AC19" i="956"/>
  <c r="AF19" i="956" s="1"/>
  <c r="S19" i="956"/>
  <c r="N19" i="956"/>
  <c r="L19" i="956"/>
  <c r="B19" i="956"/>
  <c r="AC18" i="956"/>
  <c r="N18" i="956"/>
  <c r="L18" i="956"/>
  <c r="B18" i="956"/>
  <c r="AC17" i="956"/>
  <c r="AE17" i="956" s="1"/>
  <c r="N17" i="956"/>
  <c r="L17" i="956"/>
  <c r="B17" i="956"/>
  <c r="AC16" i="956"/>
  <c r="AF16" i="956" s="1"/>
  <c r="W16" i="956"/>
  <c r="V16" i="956"/>
  <c r="U16" i="956"/>
  <c r="S16" i="956"/>
  <c r="N16" i="956"/>
  <c r="L16" i="956"/>
  <c r="B16" i="956"/>
  <c r="AD15" i="956"/>
  <c r="N15" i="956"/>
  <c r="W14" i="956"/>
  <c r="V14" i="956"/>
  <c r="U14" i="956"/>
  <c r="S14" i="956"/>
  <c r="N14" i="956"/>
  <c r="L14" i="956"/>
  <c r="B14" i="956"/>
  <c r="AF13" i="956"/>
  <c r="AF12" i="956" s="1"/>
  <c r="AE13" i="956"/>
  <c r="N13" i="956"/>
  <c r="L13" i="956"/>
  <c r="B13" i="956"/>
  <c r="AY12" i="956" a="1"/>
  <c r="AY12" i="956" s="1"/>
  <c r="AE12" i="956"/>
  <c r="S12" i="956"/>
  <c r="N12" i="956"/>
  <c r="BE11" i="956" a="1"/>
  <c r="BE11" i="956" s="1"/>
  <c r="AY11" i="956" a="1"/>
  <c r="AY11" i="956" s="1"/>
  <c r="BE10" i="956" a="1"/>
  <c r="BE10" i="956" s="1"/>
  <c r="AY10" i="956" a="1"/>
  <c r="AY10" i="956" s="1"/>
  <c r="AC10" i="956"/>
  <c r="W10" i="956"/>
  <c r="T10" i="956"/>
  <c r="S10" i="956"/>
  <c r="P10" i="956"/>
  <c r="BE9" i="956" a="1"/>
  <c r="BE9" i="956" s="1"/>
  <c r="AY9" i="956" a="1"/>
  <c r="AY9" i="956" s="1"/>
  <c r="AC9" i="956"/>
  <c r="W9" i="956"/>
  <c r="T9" i="956"/>
  <c r="S9" i="956"/>
  <c r="P9" i="956"/>
  <c r="BE8" i="956" a="1"/>
  <c r="BE8" i="956" s="1"/>
  <c r="AY8" i="956" a="1"/>
  <c r="AY8" i="956" s="1"/>
  <c r="AC8" i="956"/>
  <c r="W8" i="956"/>
  <c r="T8" i="956"/>
  <c r="S8" i="956"/>
  <c r="P8" i="956"/>
  <c r="BE7" i="956" a="1"/>
  <c r="BE7" i="956" s="1"/>
  <c r="AY7" i="956" a="1"/>
  <c r="AY7" i="956" s="1"/>
  <c r="AF7" i="956" a="1"/>
  <c r="AF7" i="956" s="1"/>
  <c r="AE7" i="956" a="1"/>
  <c r="AE7" i="956" s="1"/>
  <c r="AF95" i="956" s="1"/>
  <c r="I473" i="956" s="1"/>
  <c r="AC7" i="956"/>
  <c r="BE6" i="956" a="1"/>
  <c r="BE6" i="956" s="1"/>
  <c r="AY6" i="956" a="1"/>
  <c r="AY6" i="956" s="1"/>
  <c r="AF6" i="956" a="1"/>
  <c r="AF6" i="956" s="1"/>
  <c r="AE6" i="956" a="1"/>
  <c r="AE6" i="956" s="1"/>
  <c r="AD6" i="956"/>
  <c r="AB6" i="956"/>
  <c r="AA6" i="956"/>
  <c r="W6" i="956"/>
  <c r="V6" i="956"/>
  <c r="U6" i="956"/>
  <c r="T6" i="956"/>
  <c r="S6" i="956"/>
  <c r="R6" i="956"/>
  <c r="Q6" i="956"/>
  <c r="P6" i="956"/>
  <c r="BE5" i="956" a="1"/>
  <c r="BE5" i="956" s="1"/>
  <c r="AY5" i="956" a="1"/>
  <c r="AY5" i="956" s="1"/>
  <c r="AF5" i="956" a="1"/>
  <c r="AF5" i="956" s="1"/>
  <c r="AF136" i="956" s="1"/>
  <c r="I608" i="956" s="1"/>
  <c r="AE5" i="956" a="1"/>
  <c r="AE5" i="956" s="1"/>
  <c r="AF82" i="956" s="1"/>
  <c r="I338" i="956" s="1"/>
  <c r="AD5" i="956"/>
  <c r="AB5" i="956" s="1"/>
  <c r="AA5" i="956"/>
  <c r="Q13" i="956" s="1"/>
  <c r="Q5" i="956"/>
  <c r="O5" i="956"/>
  <c r="AA4" i="956"/>
  <c r="Z4" i="956"/>
  <c r="S147" i="956" s="1"/>
  <c r="AB3" i="956"/>
  <c r="Z3" i="956"/>
  <c r="J2" i="956"/>
  <c r="G1323" i="955"/>
  <c r="H1322" i="955"/>
  <c r="G1318" i="955"/>
  <c r="H1163" i="955"/>
  <c r="H1162" i="955"/>
  <c r="H1161" i="955"/>
  <c r="H1160" i="955"/>
  <c r="H1159" i="955"/>
  <c r="H1158" i="955"/>
  <c r="H1157" i="955"/>
  <c r="H1156" i="955"/>
  <c r="H1155" i="955"/>
  <c r="H1154" i="955"/>
  <c r="H1153" i="955"/>
  <c r="H1152" i="955"/>
  <c r="H1151" i="955"/>
  <c r="H1150" i="955"/>
  <c r="H1149" i="955"/>
  <c r="H1141" i="955"/>
  <c r="I1119" i="955"/>
  <c r="I1118" i="955"/>
  <c r="I1117" i="955"/>
  <c r="I1116" i="955"/>
  <c r="I1115" i="955"/>
  <c r="I1114" i="955"/>
  <c r="I1113" i="955"/>
  <c r="I1111" i="955"/>
  <c r="I1110" i="955"/>
  <c r="I1108" i="955"/>
  <c r="I1107" i="955"/>
  <c r="I1106" i="955"/>
  <c r="I1105" i="955"/>
  <c r="I1104" i="955"/>
  <c r="I1103" i="955"/>
  <c r="I1102" i="955"/>
  <c r="I1101" i="955"/>
  <c r="I1100" i="955"/>
  <c r="I1099" i="955"/>
  <c r="I1098" i="955"/>
  <c r="I1097" i="955"/>
  <c r="I1095" i="955"/>
  <c r="I1094" i="955"/>
  <c r="I1093" i="955"/>
  <c r="I1092" i="955"/>
  <c r="I1091" i="955"/>
  <c r="I1090" i="955"/>
  <c r="I1088" i="955"/>
  <c r="I1087" i="955"/>
  <c r="I1086" i="955"/>
  <c r="I1085" i="955"/>
  <c r="I1084" i="955"/>
  <c r="I1083" i="955"/>
  <c r="I1081" i="955"/>
  <c r="I1080" i="955"/>
  <c r="I1079" i="955"/>
  <c r="G1059" i="955"/>
  <c r="G1058" i="955"/>
  <c r="G1057" i="955"/>
  <c r="G1056" i="955"/>
  <c r="G1055" i="955"/>
  <c r="G1054" i="955"/>
  <c r="G1053" i="955"/>
  <c r="G1052" i="955"/>
  <c r="G1051" i="955"/>
  <c r="G1050" i="955"/>
  <c r="G1049" i="955"/>
  <c r="G1048" i="955"/>
  <c r="I1046" i="955"/>
  <c r="I1045" i="955"/>
  <c r="I1044" i="955"/>
  <c r="I1043" i="955"/>
  <c r="I1037" i="955"/>
  <c r="G1036" i="955"/>
  <c r="G1035" i="955"/>
  <c r="G1034" i="955"/>
  <c r="G1033" i="955"/>
  <c r="G1032" i="955"/>
  <c r="G1031" i="955"/>
  <c r="G1030" i="955"/>
  <c r="G1029" i="955"/>
  <c r="G1028" i="955"/>
  <c r="G1027" i="955"/>
  <c r="I1026" i="955"/>
  <c r="I1025" i="955"/>
  <c r="I1017" i="955"/>
  <c r="I1016" i="955"/>
  <c r="I1015" i="955"/>
  <c r="I1012" i="955"/>
  <c r="I1011" i="955"/>
  <c r="I1010" i="955"/>
  <c r="I1009" i="955"/>
  <c r="I1008" i="955"/>
  <c r="I1007" i="955"/>
  <c r="I1006" i="955"/>
  <c r="I1005" i="955"/>
  <c r="I1004" i="955"/>
  <c r="I1003" i="955"/>
  <c r="I1002" i="955"/>
  <c r="I1001" i="955"/>
  <c r="I1000" i="955"/>
  <c r="I999" i="955"/>
  <c r="I998" i="955"/>
  <c r="I997" i="955"/>
  <c r="I996" i="955"/>
  <c r="I995" i="955"/>
  <c r="I994" i="955"/>
  <c r="I993" i="955"/>
  <c r="I992" i="955"/>
  <c r="I991" i="955"/>
  <c r="I990" i="955"/>
  <c r="I983" i="955"/>
  <c r="I982" i="955"/>
  <c r="I981" i="955"/>
  <c r="G981" i="955"/>
  <c r="I980" i="955"/>
  <c r="G980" i="955"/>
  <c r="I978" i="955"/>
  <c r="I977" i="955"/>
  <c r="I976" i="955"/>
  <c r="I975" i="955"/>
  <c r="I971" i="955"/>
  <c r="I979" i="955" s="1"/>
  <c r="C971" i="955"/>
  <c r="I970" i="955"/>
  <c r="I968" i="955"/>
  <c r="G935" i="955"/>
  <c r="G933" i="955"/>
  <c r="G932" i="955"/>
  <c r="G931" i="955"/>
  <c r="G930" i="955"/>
  <c r="G929" i="955"/>
  <c r="G928" i="955"/>
  <c r="I926" i="955"/>
  <c r="I925" i="955"/>
  <c r="I924" i="955"/>
  <c r="I923" i="955"/>
  <c r="I917" i="955"/>
  <c r="E917" i="955"/>
  <c r="C917" i="955"/>
  <c r="G917" i="955" s="1"/>
  <c r="G916" i="955"/>
  <c r="G915" i="955"/>
  <c r="G914" i="955"/>
  <c r="G913" i="955"/>
  <c r="G912" i="955"/>
  <c r="G911" i="955"/>
  <c r="G910" i="955"/>
  <c r="G909" i="955"/>
  <c r="G908" i="955"/>
  <c r="I888" i="955"/>
  <c r="I887" i="955"/>
  <c r="I885" i="955"/>
  <c r="I884" i="955"/>
  <c r="I883" i="955"/>
  <c r="I882" i="955"/>
  <c r="G882" i="955"/>
  <c r="I881" i="955"/>
  <c r="I879" i="955"/>
  <c r="I878" i="955"/>
  <c r="I877" i="955"/>
  <c r="I876" i="955"/>
  <c r="I875" i="955"/>
  <c r="I874" i="955"/>
  <c r="I873" i="955"/>
  <c r="I872" i="955"/>
  <c r="I871" i="955"/>
  <c r="I870" i="955"/>
  <c r="I869" i="955"/>
  <c r="I867" i="955"/>
  <c r="I866" i="955"/>
  <c r="I865" i="955"/>
  <c r="I864" i="955"/>
  <c r="I863" i="955"/>
  <c r="C863" i="955"/>
  <c r="I862" i="955"/>
  <c r="I868" i="955" s="1"/>
  <c r="C862" i="955"/>
  <c r="I861" i="955"/>
  <c r="I860" i="955"/>
  <c r="I859" i="955"/>
  <c r="I854" i="955"/>
  <c r="I853" i="955"/>
  <c r="I852" i="955"/>
  <c r="I851" i="955"/>
  <c r="I850" i="955"/>
  <c r="I849" i="955"/>
  <c r="I848" i="955"/>
  <c r="I847" i="955"/>
  <c r="I846" i="955"/>
  <c r="I845" i="955"/>
  <c r="I844" i="955"/>
  <c r="I843" i="955"/>
  <c r="I841" i="955"/>
  <c r="I840" i="955"/>
  <c r="I839" i="955"/>
  <c r="I838" i="955"/>
  <c r="I837" i="955"/>
  <c r="I835" i="955"/>
  <c r="I834" i="955"/>
  <c r="I833" i="955"/>
  <c r="I832" i="955"/>
  <c r="I831" i="955"/>
  <c r="I830" i="955"/>
  <c r="I829" i="955"/>
  <c r="I828" i="955"/>
  <c r="I827" i="955"/>
  <c r="I819" i="955"/>
  <c r="I818" i="955"/>
  <c r="I817" i="955"/>
  <c r="I816" i="955"/>
  <c r="I815" i="955"/>
  <c r="I814" i="955"/>
  <c r="I813" i="955"/>
  <c r="I812" i="955"/>
  <c r="H811" i="955"/>
  <c r="I811" i="955" s="1"/>
  <c r="H810" i="955"/>
  <c r="I810" i="955" s="1"/>
  <c r="I809" i="955"/>
  <c r="I808" i="955"/>
  <c r="I807" i="955"/>
  <c r="N790" i="955"/>
  <c r="N789" i="955"/>
  <c r="N788" i="955"/>
  <c r="L788" i="955"/>
  <c r="N787" i="955"/>
  <c r="L787" i="955"/>
  <c r="N786" i="955"/>
  <c r="L786" i="955"/>
  <c r="N785" i="955"/>
  <c r="L785" i="955"/>
  <c r="I784" i="955"/>
  <c r="L784" i="955" s="1"/>
  <c r="G784" i="955"/>
  <c r="I783" i="955"/>
  <c r="L783" i="955" s="1"/>
  <c r="G783" i="955"/>
  <c r="I782" i="955"/>
  <c r="L782" i="955" s="1"/>
  <c r="G782" i="955"/>
  <c r="I781" i="955"/>
  <c r="L781" i="955" s="1"/>
  <c r="G781" i="955"/>
  <c r="I780" i="955"/>
  <c r="N780" i="955" s="1"/>
  <c r="G780" i="955"/>
  <c r="I779" i="955"/>
  <c r="N779" i="955" s="1"/>
  <c r="G779" i="955"/>
  <c r="I778" i="955"/>
  <c r="L778" i="955" s="1"/>
  <c r="G778" i="955"/>
  <c r="I777" i="955"/>
  <c r="N777" i="955" s="1"/>
  <c r="G777" i="955"/>
  <c r="I776" i="955"/>
  <c r="G776" i="955"/>
  <c r="N775" i="955"/>
  <c r="L775" i="955"/>
  <c r="N773" i="955"/>
  <c r="L773" i="955"/>
  <c r="N772" i="955"/>
  <c r="L772" i="955"/>
  <c r="N771" i="955"/>
  <c r="L771" i="955"/>
  <c r="N770" i="955"/>
  <c r="L770" i="955"/>
  <c r="N769" i="955"/>
  <c r="L769" i="955"/>
  <c r="G768" i="955"/>
  <c r="N767" i="955"/>
  <c r="L767" i="955"/>
  <c r="N766" i="955"/>
  <c r="L766" i="955"/>
  <c r="N765" i="955"/>
  <c r="L765" i="955"/>
  <c r="N764" i="955"/>
  <c r="L764" i="955"/>
  <c r="N763" i="955"/>
  <c r="L763" i="955"/>
  <c r="N762" i="955"/>
  <c r="L762" i="955"/>
  <c r="N761" i="955"/>
  <c r="L761" i="955"/>
  <c r="N760" i="955"/>
  <c r="L760" i="955"/>
  <c r="C759" i="955"/>
  <c r="F758" i="955"/>
  <c r="C758" i="955"/>
  <c r="I757" i="955"/>
  <c r="N757" i="955" s="1"/>
  <c r="H757" i="955"/>
  <c r="F757" i="955"/>
  <c r="N756" i="955"/>
  <c r="L756" i="955"/>
  <c r="I755" i="955"/>
  <c r="N755" i="955" s="1"/>
  <c r="H755" i="955"/>
  <c r="F755" i="955"/>
  <c r="G754" i="955"/>
  <c r="G753" i="955"/>
  <c r="G752" i="955"/>
  <c r="G751" i="955"/>
  <c r="G750" i="955"/>
  <c r="G749" i="955"/>
  <c r="G748" i="955"/>
  <c r="N747" i="955"/>
  <c r="L747" i="955"/>
  <c r="G746" i="955"/>
  <c r="N745" i="955"/>
  <c r="L745" i="955"/>
  <c r="C744" i="955"/>
  <c r="F743" i="955"/>
  <c r="C743" i="955"/>
  <c r="I742" i="955"/>
  <c r="L742" i="955" s="1"/>
  <c r="H742" i="955"/>
  <c r="F742" i="955"/>
  <c r="N741" i="955"/>
  <c r="L741" i="955"/>
  <c r="I740" i="955"/>
  <c r="L740" i="955" s="1"/>
  <c r="H740" i="955"/>
  <c r="F740" i="955"/>
  <c r="G739" i="955"/>
  <c r="G738" i="955"/>
  <c r="G737" i="955"/>
  <c r="G736" i="955"/>
  <c r="G735" i="955"/>
  <c r="G734" i="955"/>
  <c r="G733" i="955"/>
  <c r="N732" i="955"/>
  <c r="L732" i="955"/>
  <c r="G731" i="955"/>
  <c r="N730" i="955"/>
  <c r="L730" i="955"/>
  <c r="C729" i="955"/>
  <c r="F728" i="955"/>
  <c r="C728" i="955"/>
  <c r="I727" i="955"/>
  <c r="N727" i="955" s="1"/>
  <c r="H727" i="955"/>
  <c r="F727" i="955"/>
  <c r="N726" i="955"/>
  <c r="L726" i="955"/>
  <c r="I725" i="955"/>
  <c r="N725" i="955" s="1"/>
  <c r="H725" i="955"/>
  <c r="F725" i="955"/>
  <c r="G724" i="955"/>
  <c r="G723" i="955"/>
  <c r="G722" i="955"/>
  <c r="G721" i="955"/>
  <c r="G720" i="955"/>
  <c r="G719" i="955"/>
  <c r="G718" i="955"/>
  <c r="N717" i="955"/>
  <c r="L717" i="955"/>
  <c r="G716" i="955"/>
  <c r="N715" i="955"/>
  <c r="L715" i="955"/>
  <c r="C714" i="955"/>
  <c r="F713" i="955"/>
  <c r="C713" i="955"/>
  <c r="I712" i="955"/>
  <c r="N712" i="955" s="1"/>
  <c r="H712" i="955"/>
  <c r="F712" i="955"/>
  <c r="N711" i="955"/>
  <c r="L711" i="955"/>
  <c r="I710" i="955"/>
  <c r="N710" i="955" s="1"/>
  <c r="H710" i="955"/>
  <c r="F710" i="955"/>
  <c r="G709" i="955"/>
  <c r="G708" i="955"/>
  <c r="G707" i="955"/>
  <c r="G706" i="955"/>
  <c r="G705" i="955"/>
  <c r="G704" i="955"/>
  <c r="G703" i="955"/>
  <c r="N702" i="955"/>
  <c r="L702" i="955"/>
  <c r="G701" i="955"/>
  <c r="N700" i="955"/>
  <c r="L700" i="955"/>
  <c r="C699" i="955"/>
  <c r="F698" i="955"/>
  <c r="C698" i="955"/>
  <c r="I697" i="955"/>
  <c r="N697" i="955" s="1"/>
  <c r="H697" i="955"/>
  <c r="F697" i="955"/>
  <c r="I696" i="955"/>
  <c r="L696" i="955" s="1"/>
  <c r="H696" i="955"/>
  <c r="F696" i="955"/>
  <c r="I695" i="955"/>
  <c r="L695" i="955" s="1"/>
  <c r="H695" i="955"/>
  <c r="F695" i="955"/>
  <c r="G694" i="955"/>
  <c r="G693" i="955"/>
  <c r="N692" i="955"/>
  <c r="L692" i="955"/>
  <c r="G691" i="955"/>
  <c r="N690" i="955"/>
  <c r="L690" i="955"/>
  <c r="N689" i="955"/>
  <c r="L689" i="955"/>
  <c r="N688" i="955"/>
  <c r="L688" i="955"/>
  <c r="N687" i="955"/>
  <c r="L687" i="955"/>
  <c r="N686" i="955"/>
  <c r="L686" i="955"/>
  <c r="N685" i="955"/>
  <c r="L685" i="955"/>
  <c r="C684" i="955"/>
  <c r="F683" i="955"/>
  <c r="C683" i="955"/>
  <c r="I682" i="955"/>
  <c r="N682" i="955" s="1"/>
  <c r="H682" i="955"/>
  <c r="F682" i="955"/>
  <c r="I681" i="955"/>
  <c r="N681" i="955" s="1"/>
  <c r="H681" i="955"/>
  <c r="F681" i="955"/>
  <c r="I680" i="955"/>
  <c r="N680" i="955" s="1"/>
  <c r="H680" i="955"/>
  <c r="F680" i="955"/>
  <c r="G679" i="955"/>
  <c r="G678" i="955"/>
  <c r="N677" i="955"/>
  <c r="L677" i="955"/>
  <c r="G676" i="955"/>
  <c r="N675" i="955"/>
  <c r="L675" i="955"/>
  <c r="N674" i="955"/>
  <c r="L674" i="955"/>
  <c r="N673" i="955"/>
  <c r="L673" i="955"/>
  <c r="N672" i="955"/>
  <c r="L672" i="955"/>
  <c r="N671" i="955"/>
  <c r="L671" i="955"/>
  <c r="N670" i="955"/>
  <c r="L670" i="955"/>
  <c r="C669" i="955"/>
  <c r="F668" i="955"/>
  <c r="C668" i="955"/>
  <c r="I667" i="955"/>
  <c r="N667" i="955" s="1"/>
  <c r="H667" i="955"/>
  <c r="F667" i="955"/>
  <c r="I666" i="955"/>
  <c r="N666" i="955" s="1"/>
  <c r="H666" i="955"/>
  <c r="F666" i="955"/>
  <c r="I665" i="955"/>
  <c r="N665" i="955" s="1"/>
  <c r="H665" i="955"/>
  <c r="F665" i="955"/>
  <c r="G664" i="955"/>
  <c r="G663" i="955"/>
  <c r="N662" i="955"/>
  <c r="L662" i="955"/>
  <c r="G661" i="955"/>
  <c r="N660" i="955"/>
  <c r="L660" i="955"/>
  <c r="N659" i="955"/>
  <c r="L659" i="955"/>
  <c r="N658" i="955"/>
  <c r="L658" i="955"/>
  <c r="N657" i="955"/>
  <c r="L657" i="955"/>
  <c r="N656" i="955"/>
  <c r="L656" i="955"/>
  <c r="N655" i="955"/>
  <c r="L655" i="955"/>
  <c r="C654" i="955"/>
  <c r="F653" i="955"/>
  <c r="C653" i="955"/>
  <c r="I652" i="955"/>
  <c r="L652" i="955" s="1"/>
  <c r="H652" i="955"/>
  <c r="F652" i="955"/>
  <c r="I651" i="955"/>
  <c r="L651" i="955" s="1"/>
  <c r="H651" i="955"/>
  <c r="F651" i="955"/>
  <c r="I650" i="955"/>
  <c r="N650" i="955" s="1"/>
  <c r="H650" i="955"/>
  <c r="F650" i="955"/>
  <c r="G649" i="955"/>
  <c r="G648" i="955"/>
  <c r="N647" i="955"/>
  <c r="L647" i="955"/>
  <c r="G646" i="955"/>
  <c r="N645" i="955"/>
  <c r="L645" i="955"/>
  <c r="N644" i="955"/>
  <c r="L644" i="955"/>
  <c r="N643" i="955"/>
  <c r="L643" i="955"/>
  <c r="N642" i="955"/>
  <c r="L642" i="955"/>
  <c r="N641" i="955"/>
  <c r="L641" i="955"/>
  <c r="N640" i="955"/>
  <c r="L640" i="955"/>
  <c r="C639" i="955"/>
  <c r="F638" i="955"/>
  <c r="C638" i="955"/>
  <c r="I637" i="955"/>
  <c r="N637" i="955" s="1"/>
  <c r="H637" i="955"/>
  <c r="F637" i="955"/>
  <c r="I636" i="955"/>
  <c r="H636" i="955"/>
  <c r="F636" i="955"/>
  <c r="I635" i="955"/>
  <c r="N635" i="955" s="1"/>
  <c r="H635" i="955"/>
  <c r="F635" i="955"/>
  <c r="G634" i="955"/>
  <c r="G633" i="955"/>
  <c r="N632" i="955"/>
  <c r="L632" i="955"/>
  <c r="G631" i="955"/>
  <c r="N630" i="955"/>
  <c r="L630" i="955"/>
  <c r="N629" i="955"/>
  <c r="L629" i="955"/>
  <c r="N628" i="955"/>
  <c r="L628" i="955"/>
  <c r="N627" i="955"/>
  <c r="L627" i="955"/>
  <c r="N626" i="955"/>
  <c r="L626" i="955"/>
  <c r="N625" i="955"/>
  <c r="L625" i="955"/>
  <c r="C624" i="955"/>
  <c r="F623" i="955"/>
  <c r="C623" i="955"/>
  <c r="I622" i="955"/>
  <c r="H622" i="955"/>
  <c r="F622" i="955"/>
  <c r="I621" i="955"/>
  <c r="N621" i="955" s="1"/>
  <c r="H621" i="955"/>
  <c r="F621" i="955"/>
  <c r="I620" i="955"/>
  <c r="L620" i="955" s="1"/>
  <c r="H620" i="955"/>
  <c r="F620" i="955"/>
  <c r="G619" i="955"/>
  <c r="G618" i="955"/>
  <c r="N617" i="955"/>
  <c r="L617" i="955"/>
  <c r="G616" i="955"/>
  <c r="G615" i="955"/>
  <c r="G614" i="955"/>
  <c r="G613" i="955"/>
  <c r="I612" i="955"/>
  <c r="N612" i="955" s="1"/>
  <c r="G612" i="955"/>
  <c r="N611" i="955"/>
  <c r="L611" i="955"/>
  <c r="N610" i="955"/>
  <c r="L610" i="955"/>
  <c r="C609" i="955"/>
  <c r="F608" i="955"/>
  <c r="C608" i="955"/>
  <c r="I607" i="955"/>
  <c r="L607" i="955" s="1"/>
  <c r="H607" i="955"/>
  <c r="F607" i="955"/>
  <c r="I606" i="955"/>
  <c r="H606" i="955"/>
  <c r="F606" i="955"/>
  <c r="I605" i="955"/>
  <c r="N605" i="955" s="1"/>
  <c r="H605" i="955"/>
  <c r="F605" i="955"/>
  <c r="G604" i="955"/>
  <c r="G603" i="955"/>
  <c r="N602" i="955"/>
  <c r="L602" i="955"/>
  <c r="G601" i="955"/>
  <c r="G600" i="955"/>
  <c r="G599" i="955"/>
  <c r="G598" i="955"/>
  <c r="I597" i="955"/>
  <c r="N597" i="955" s="1"/>
  <c r="G597" i="955"/>
  <c r="N596" i="955"/>
  <c r="L596" i="955"/>
  <c r="N595" i="955"/>
  <c r="L595" i="955"/>
  <c r="C594" i="955"/>
  <c r="F593" i="955"/>
  <c r="C593" i="955"/>
  <c r="I592" i="955"/>
  <c r="H592" i="955"/>
  <c r="F592" i="955"/>
  <c r="I591" i="955"/>
  <c r="N591" i="955" s="1"/>
  <c r="H591" i="955"/>
  <c r="F591" i="955"/>
  <c r="I590" i="955"/>
  <c r="H590" i="955"/>
  <c r="F590" i="955"/>
  <c r="G589" i="955"/>
  <c r="G588" i="955"/>
  <c r="N587" i="955"/>
  <c r="L587" i="955"/>
  <c r="G586" i="955"/>
  <c r="G585" i="955"/>
  <c r="G584" i="955"/>
  <c r="G583" i="955"/>
  <c r="I582" i="955"/>
  <c r="N582" i="955" s="1"/>
  <c r="G582" i="955"/>
  <c r="N581" i="955"/>
  <c r="L581" i="955"/>
  <c r="N580" i="955"/>
  <c r="L580" i="955"/>
  <c r="C579" i="955"/>
  <c r="F578" i="955"/>
  <c r="C578" i="955"/>
  <c r="I577" i="955"/>
  <c r="N577" i="955" s="1"/>
  <c r="H577" i="955"/>
  <c r="F577" i="955"/>
  <c r="I576" i="955"/>
  <c r="N576" i="955" s="1"/>
  <c r="H576" i="955"/>
  <c r="F576" i="955"/>
  <c r="I575" i="955"/>
  <c r="H575" i="955"/>
  <c r="F575" i="955"/>
  <c r="G574" i="955"/>
  <c r="G573" i="955"/>
  <c r="N572" i="955"/>
  <c r="L572" i="955"/>
  <c r="G571" i="955"/>
  <c r="G570" i="955"/>
  <c r="G569" i="955"/>
  <c r="G568" i="955"/>
  <c r="I567" i="955"/>
  <c r="N567" i="955" s="1"/>
  <c r="G567" i="955"/>
  <c r="N566" i="955"/>
  <c r="L566" i="955"/>
  <c r="N565" i="955"/>
  <c r="L565" i="955"/>
  <c r="C564" i="955"/>
  <c r="F563" i="955"/>
  <c r="C563" i="955"/>
  <c r="I562" i="955"/>
  <c r="H562" i="955"/>
  <c r="F562" i="955"/>
  <c r="I561" i="955"/>
  <c r="N561" i="955" s="1"/>
  <c r="H561" i="955"/>
  <c r="F561" i="955"/>
  <c r="I560" i="955"/>
  <c r="N560" i="955" s="1"/>
  <c r="H560" i="955"/>
  <c r="F560" i="955"/>
  <c r="G559" i="955"/>
  <c r="G558" i="955"/>
  <c r="N557" i="955"/>
  <c r="L557" i="955"/>
  <c r="G556" i="955"/>
  <c r="G555" i="955"/>
  <c r="G554" i="955"/>
  <c r="G553" i="955"/>
  <c r="I552" i="955"/>
  <c r="N552" i="955" s="1"/>
  <c r="G552" i="955"/>
  <c r="N551" i="955"/>
  <c r="L551" i="955"/>
  <c r="N550" i="955"/>
  <c r="L550" i="955"/>
  <c r="C549" i="955"/>
  <c r="N548" i="955"/>
  <c r="L548" i="955"/>
  <c r="N547" i="955"/>
  <c r="L547" i="955"/>
  <c r="N546" i="955"/>
  <c r="L546" i="955"/>
  <c r="N545" i="955"/>
  <c r="L545" i="955"/>
  <c r="I544" i="955"/>
  <c r="L544" i="955" s="1"/>
  <c r="G544" i="955"/>
  <c r="F543" i="955"/>
  <c r="I543" i="955" s="1"/>
  <c r="N543" i="955" s="1"/>
  <c r="I542" i="955"/>
  <c r="G542" i="955"/>
  <c r="I541" i="955"/>
  <c r="L541" i="955" s="1"/>
  <c r="G541" i="955"/>
  <c r="I540" i="955"/>
  <c r="L540" i="955" s="1"/>
  <c r="G540" i="955"/>
  <c r="I539" i="955"/>
  <c r="N539" i="955" s="1"/>
  <c r="G539" i="955"/>
  <c r="I538" i="955"/>
  <c r="G538" i="955"/>
  <c r="I537" i="955"/>
  <c r="G537" i="955"/>
  <c r="C537" i="955"/>
  <c r="I536" i="955"/>
  <c r="N536" i="955" s="1"/>
  <c r="G536" i="955"/>
  <c r="C536" i="955"/>
  <c r="I535" i="955"/>
  <c r="G535" i="955"/>
  <c r="N533" i="955"/>
  <c r="L533" i="955"/>
  <c r="N532" i="955"/>
  <c r="L532" i="955"/>
  <c r="N531" i="955"/>
  <c r="L531" i="955"/>
  <c r="N530" i="955"/>
  <c r="L530" i="955"/>
  <c r="G529" i="955"/>
  <c r="F528" i="955"/>
  <c r="I528" i="955" s="1"/>
  <c r="N527" i="955"/>
  <c r="L527" i="955"/>
  <c r="N526" i="955"/>
  <c r="L526" i="955"/>
  <c r="G525" i="955"/>
  <c r="G524" i="955"/>
  <c r="G523" i="955"/>
  <c r="N522" i="955"/>
  <c r="L522" i="955"/>
  <c r="N521" i="955"/>
  <c r="L521" i="955"/>
  <c r="G520" i="955"/>
  <c r="C519" i="955"/>
  <c r="F518" i="955"/>
  <c r="C518" i="955"/>
  <c r="H517" i="955"/>
  <c r="N516" i="955"/>
  <c r="L516" i="955"/>
  <c r="H516" i="955"/>
  <c r="H515" i="955"/>
  <c r="G514" i="955"/>
  <c r="N513" i="955"/>
  <c r="L513" i="955"/>
  <c r="G512" i="955"/>
  <c r="G511" i="955"/>
  <c r="G510" i="955"/>
  <c r="G509" i="955"/>
  <c r="G508" i="955"/>
  <c r="G507" i="955"/>
  <c r="C507" i="955"/>
  <c r="G506" i="955"/>
  <c r="C506" i="955"/>
  <c r="N505" i="955"/>
  <c r="L505" i="955"/>
  <c r="C504" i="955"/>
  <c r="F503" i="955"/>
  <c r="C503" i="955"/>
  <c r="H502" i="955"/>
  <c r="N501" i="955"/>
  <c r="L501" i="955"/>
  <c r="H501" i="955"/>
  <c r="H500" i="955"/>
  <c r="G499" i="955"/>
  <c r="N498" i="955"/>
  <c r="L498" i="955"/>
  <c r="G497" i="955"/>
  <c r="G496" i="955"/>
  <c r="G495" i="955"/>
  <c r="G494" i="955"/>
  <c r="G493" i="955"/>
  <c r="G492" i="955"/>
  <c r="C492" i="955"/>
  <c r="G491" i="955"/>
  <c r="C491" i="955"/>
  <c r="N490" i="955"/>
  <c r="L490" i="955"/>
  <c r="C489" i="955"/>
  <c r="F488" i="955"/>
  <c r="C488" i="955"/>
  <c r="H487" i="955"/>
  <c r="N486" i="955"/>
  <c r="L486" i="955"/>
  <c r="H486" i="955"/>
  <c r="H485" i="955"/>
  <c r="G484" i="955"/>
  <c r="N483" i="955"/>
  <c r="L483" i="955"/>
  <c r="G482" i="955"/>
  <c r="G481" i="955"/>
  <c r="G480" i="955"/>
  <c r="G479" i="955"/>
  <c r="G478" i="955"/>
  <c r="G477" i="955"/>
  <c r="C477" i="955"/>
  <c r="G476" i="955"/>
  <c r="C476" i="955"/>
  <c r="N475" i="955"/>
  <c r="L475" i="955"/>
  <c r="C474" i="955"/>
  <c r="F473" i="955"/>
  <c r="C473" i="955"/>
  <c r="H472" i="955"/>
  <c r="N471" i="955"/>
  <c r="L471" i="955"/>
  <c r="H471" i="955"/>
  <c r="H470" i="955"/>
  <c r="G469" i="955"/>
  <c r="N468" i="955"/>
  <c r="L468" i="955"/>
  <c r="G467" i="955"/>
  <c r="G466" i="955"/>
  <c r="G465" i="955"/>
  <c r="G464" i="955"/>
  <c r="G463" i="955"/>
  <c r="G462" i="955"/>
  <c r="C462" i="955"/>
  <c r="G461" i="955"/>
  <c r="C461" i="955"/>
  <c r="N460" i="955"/>
  <c r="L460" i="955"/>
  <c r="C459" i="955"/>
  <c r="F458" i="955"/>
  <c r="C458" i="955"/>
  <c r="H457" i="955"/>
  <c r="N456" i="955"/>
  <c r="L456" i="955"/>
  <c r="H456" i="955"/>
  <c r="H455" i="955"/>
  <c r="G454" i="955"/>
  <c r="N453" i="955"/>
  <c r="L453" i="955"/>
  <c r="N452" i="955"/>
  <c r="L452" i="955"/>
  <c r="G451" i="955"/>
  <c r="G450" i="955"/>
  <c r="G449" i="955"/>
  <c r="G448" i="955"/>
  <c r="G447" i="955"/>
  <c r="C447" i="955"/>
  <c r="N446" i="955"/>
  <c r="L446" i="955"/>
  <c r="G445" i="955"/>
  <c r="C444" i="955"/>
  <c r="F443" i="955"/>
  <c r="C443" i="955"/>
  <c r="H442" i="955"/>
  <c r="N441" i="955"/>
  <c r="L441" i="955"/>
  <c r="H441" i="955"/>
  <c r="H440" i="955"/>
  <c r="G439" i="955"/>
  <c r="N438" i="955"/>
  <c r="L438" i="955"/>
  <c r="N437" i="955"/>
  <c r="L437" i="955"/>
  <c r="G436" i="955"/>
  <c r="G435" i="955"/>
  <c r="G434" i="955"/>
  <c r="G433" i="955"/>
  <c r="G432" i="955"/>
  <c r="C432" i="955"/>
  <c r="AQ431" i="955"/>
  <c r="AP431" i="955"/>
  <c r="N431" i="955"/>
  <c r="L431" i="955"/>
  <c r="AQ430" i="955"/>
  <c r="AP430" i="955"/>
  <c r="G430" i="955"/>
  <c r="AQ429" i="955"/>
  <c r="AP429" i="955"/>
  <c r="C429" i="955"/>
  <c r="AQ428" i="955"/>
  <c r="AP428" i="955"/>
  <c r="F428" i="955"/>
  <c r="C428" i="955"/>
  <c r="AQ427" i="955"/>
  <c r="AP427" i="955"/>
  <c r="H427" i="955"/>
  <c r="AQ426" i="955"/>
  <c r="AP426" i="955"/>
  <c r="N426" i="955"/>
  <c r="L426" i="955"/>
  <c r="H426" i="955"/>
  <c r="AQ425" i="955"/>
  <c r="AP425" i="955"/>
  <c r="H425" i="955"/>
  <c r="AQ424" i="955"/>
  <c r="AP424" i="955"/>
  <c r="G424" i="955"/>
  <c r="AQ423" i="955"/>
  <c r="AP423" i="955"/>
  <c r="N423" i="955"/>
  <c r="L423" i="955"/>
  <c r="AQ422" i="955"/>
  <c r="AP422" i="955"/>
  <c r="N422" i="955"/>
  <c r="L422" i="955"/>
  <c r="AQ421" i="955"/>
  <c r="AP421" i="955"/>
  <c r="G421" i="955"/>
  <c r="AQ420" i="955"/>
  <c r="AP420" i="955"/>
  <c r="G420" i="955"/>
  <c r="AQ419" i="955"/>
  <c r="AP419" i="955"/>
  <c r="G419" i="955"/>
  <c r="AQ418" i="955"/>
  <c r="AP418" i="955"/>
  <c r="G418" i="955"/>
  <c r="AQ417" i="955"/>
  <c r="AP417" i="955"/>
  <c r="G417" i="955"/>
  <c r="C417" i="955"/>
  <c r="AQ416" i="955"/>
  <c r="AP416" i="955"/>
  <c r="N416" i="955"/>
  <c r="L416" i="955"/>
  <c r="AQ415" i="955"/>
  <c r="AP415" i="955"/>
  <c r="G415" i="955"/>
  <c r="AQ414" i="955"/>
  <c r="AP414" i="955"/>
  <c r="C414" i="955"/>
  <c r="AQ413" i="955"/>
  <c r="AP413" i="955"/>
  <c r="F413" i="955"/>
  <c r="C413" i="955"/>
  <c r="AQ412" i="955"/>
  <c r="AP412" i="955"/>
  <c r="H412" i="955"/>
  <c r="AQ411" i="955"/>
  <c r="AP411" i="955"/>
  <c r="N411" i="955"/>
  <c r="L411" i="955"/>
  <c r="H411" i="955"/>
  <c r="AQ410" i="955"/>
  <c r="AP410" i="955"/>
  <c r="H410" i="955"/>
  <c r="AQ409" i="955"/>
  <c r="AP409" i="955"/>
  <c r="G409" i="955"/>
  <c r="AQ408" i="955"/>
  <c r="AP408" i="955"/>
  <c r="N408" i="955"/>
  <c r="L408" i="955"/>
  <c r="AQ407" i="955"/>
  <c r="AP407" i="955"/>
  <c r="N407" i="955"/>
  <c r="L407" i="955"/>
  <c r="AQ406" i="955"/>
  <c r="AP406" i="955"/>
  <c r="G406" i="955"/>
  <c r="AQ405" i="955"/>
  <c r="AP405" i="955"/>
  <c r="G405" i="955"/>
  <c r="AQ404" i="955"/>
  <c r="AP404" i="955"/>
  <c r="G404" i="955"/>
  <c r="AQ403" i="955"/>
  <c r="AP403" i="955"/>
  <c r="G403" i="955"/>
  <c r="AQ402" i="955"/>
  <c r="AP402" i="955"/>
  <c r="G402" i="955"/>
  <c r="C402" i="955"/>
  <c r="AQ401" i="955"/>
  <c r="AP401" i="955"/>
  <c r="N401" i="955"/>
  <c r="L401" i="955"/>
  <c r="AQ400" i="955"/>
  <c r="AP400" i="955"/>
  <c r="G400" i="955"/>
  <c r="AQ399" i="955"/>
  <c r="AP399" i="955"/>
  <c r="C399" i="955"/>
  <c r="AQ398" i="955"/>
  <c r="AP398" i="955"/>
  <c r="F398" i="955"/>
  <c r="C398" i="955"/>
  <c r="AQ397" i="955"/>
  <c r="AP397" i="955"/>
  <c r="H397" i="955"/>
  <c r="AQ396" i="955"/>
  <c r="AP396" i="955"/>
  <c r="N396" i="955"/>
  <c r="L396" i="955"/>
  <c r="H396" i="955"/>
  <c r="AQ395" i="955"/>
  <c r="AP395" i="955"/>
  <c r="H395" i="955"/>
  <c r="AQ394" i="955"/>
  <c r="AP394" i="955"/>
  <c r="G394" i="955"/>
  <c r="AQ393" i="955"/>
  <c r="AP393" i="955"/>
  <c r="N393" i="955"/>
  <c r="L393" i="955"/>
  <c r="AQ392" i="955"/>
  <c r="AP392" i="955"/>
  <c r="N392" i="955"/>
  <c r="L392" i="955"/>
  <c r="AQ391" i="955"/>
  <c r="AP391" i="955"/>
  <c r="G391" i="955"/>
  <c r="AQ390" i="955"/>
  <c r="AP390" i="955"/>
  <c r="G390" i="955"/>
  <c r="AQ389" i="955"/>
  <c r="AP389" i="955"/>
  <c r="G389" i="955"/>
  <c r="AQ388" i="955"/>
  <c r="AP388" i="955"/>
  <c r="G388" i="955"/>
  <c r="AQ387" i="955"/>
  <c r="AP387" i="955"/>
  <c r="G387" i="955"/>
  <c r="C387" i="955"/>
  <c r="N386" i="955"/>
  <c r="L386" i="955"/>
  <c r="G385" i="955"/>
  <c r="C384" i="955"/>
  <c r="F383" i="955"/>
  <c r="C383" i="955"/>
  <c r="H382" i="955"/>
  <c r="H381" i="955"/>
  <c r="H380" i="955"/>
  <c r="G379" i="955"/>
  <c r="N378" i="955"/>
  <c r="L378" i="955"/>
  <c r="N377" i="955"/>
  <c r="L377" i="955"/>
  <c r="G376" i="955"/>
  <c r="G375" i="955"/>
  <c r="G374" i="955"/>
  <c r="G373" i="955"/>
  <c r="G372" i="955"/>
  <c r="C372" i="955"/>
  <c r="N371" i="955"/>
  <c r="L371" i="955"/>
  <c r="G370" i="955"/>
  <c r="C369" i="955"/>
  <c r="F368" i="955"/>
  <c r="C368" i="955"/>
  <c r="H367" i="955"/>
  <c r="H366" i="955"/>
  <c r="H365" i="955"/>
  <c r="G364" i="955"/>
  <c r="N363" i="955"/>
  <c r="L363" i="955"/>
  <c r="N362" i="955"/>
  <c r="L362" i="955"/>
  <c r="G361" i="955"/>
  <c r="G360" i="955"/>
  <c r="G359" i="955"/>
  <c r="G358" i="955"/>
  <c r="G357" i="955"/>
  <c r="C357" i="955"/>
  <c r="N356" i="955"/>
  <c r="L356" i="955"/>
  <c r="G355" i="955"/>
  <c r="C354" i="955"/>
  <c r="F353" i="955"/>
  <c r="C353" i="955"/>
  <c r="H352" i="955"/>
  <c r="H351" i="955"/>
  <c r="H350" i="955"/>
  <c r="G349" i="955"/>
  <c r="N348" i="955"/>
  <c r="L348" i="955"/>
  <c r="N347" i="955"/>
  <c r="L347" i="955"/>
  <c r="G346" i="955"/>
  <c r="G345" i="955"/>
  <c r="G344" i="955"/>
  <c r="G343" i="955"/>
  <c r="G342" i="955"/>
  <c r="C342" i="955"/>
  <c r="N341" i="955"/>
  <c r="L341" i="955"/>
  <c r="G340" i="955"/>
  <c r="C339" i="955"/>
  <c r="F338" i="955"/>
  <c r="C338" i="955"/>
  <c r="H337" i="955"/>
  <c r="H336" i="955"/>
  <c r="H335" i="955"/>
  <c r="G334" i="955"/>
  <c r="N333" i="955"/>
  <c r="L333" i="955"/>
  <c r="N332" i="955"/>
  <c r="L332" i="955"/>
  <c r="G331" i="955"/>
  <c r="G330" i="955"/>
  <c r="G329" i="955"/>
  <c r="G328" i="955"/>
  <c r="G327" i="955"/>
  <c r="C327" i="955"/>
  <c r="N326" i="955"/>
  <c r="L326" i="955"/>
  <c r="G325" i="955"/>
  <c r="C324" i="955"/>
  <c r="F323" i="955"/>
  <c r="C323" i="955"/>
  <c r="H322" i="955"/>
  <c r="H321" i="955"/>
  <c r="H320" i="955"/>
  <c r="G319" i="955"/>
  <c r="N318" i="955"/>
  <c r="L318" i="955"/>
  <c r="N317" i="955"/>
  <c r="L317" i="955"/>
  <c r="G316" i="955"/>
  <c r="G315" i="955"/>
  <c r="G314" i="955"/>
  <c r="G313" i="955"/>
  <c r="G312" i="955"/>
  <c r="C312" i="955"/>
  <c r="N311" i="955"/>
  <c r="L311" i="955"/>
  <c r="G310" i="955"/>
  <c r="C309" i="955"/>
  <c r="N308" i="955"/>
  <c r="N307" i="955"/>
  <c r="N306" i="955"/>
  <c r="N305" i="955"/>
  <c r="N304" i="955"/>
  <c r="N303" i="955"/>
  <c r="N302" i="955"/>
  <c r="N301" i="955"/>
  <c r="N300" i="955"/>
  <c r="N299" i="955"/>
  <c r="E295" i="955"/>
  <c r="D295" i="955"/>
  <c r="C295" i="955"/>
  <c r="E294" i="955"/>
  <c r="D294" i="955"/>
  <c r="C294" i="955"/>
  <c r="E293" i="955"/>
  <c r="D293" i="955"/>
  <c r="C293" i="955"/>
  <c r="E292" i="955"/>
  <c r="D292" i="955"/>
  <c r="C292" i="955"/>
  <c r="E291" i="955"/>
  <c r="D291" i="955"/>
  <c r="C291" i="955"/>
  <c r="E290" i="955"/>
  <c r="D290" i="955"/>
  <c r="C290" i="955"/>
  <c r="E289" i="955"/>
  <c r="D289" i="955"/>
  <c r="C289" i="955"/>
  <c r="E288" i="955"/>
  <c r="D288" i="955"/>
  <c r="C288" i="955"/>
  <c r="E287" i="955"/>
  <c r="D287" i="955"/>
  <c r="C287" i="955"/>
  <c r="E286" i="955"/>
  <c r="D286" i="955"/>
  <c r="C286" i="955"/>
  <c r="AC285" i="955"/>
  <c r="AA285" i="955"/>
  <c r="Y285" i="955"/>
  <c r="E285" i="955"/>
  <c r="D285" i="955"/>
  <c r="C285" i="955"/>
  <c r="AC284" i="955"/>
  <c r="AA284" i="955"/>
  <c r="Y284" i="955"/>
  <c r="E284" i="955"/>
  <c r="D284" i="955"/>
  <c r="C284" i="955"/>
  <c r="AC283" i="955"/>
  <c r="AA283" i="955"/>
  <c r="Y283" i="955"/>
  <c r="E283" i="955"/>
  <c r="D283" i="955"/>
  <c r="C283" i="955"/>
  <c r="AC282" i="955"/>
  <c r="AA282" i="955"/>
  <c r="Y282" i="955"/>
  <c r="E282" i="955"/>
  <c r="D282" i="955"/>
  <c r="C282" i="955"/>
  <c r="AC281" i="955"/>
  <c r="AA281" i="955"/>
  <c r="Y281" i="955"/>
  <c r="E281" i="955"/>
  <c r="D281" i="955"/>
  <c r="C281" i="955"/>
  <c r="AC280" i="955"/>
  <c r="AA280" i="955"/>
  <c r="Y280" i="955"/>
  <c r="E280" i="955"/>
  <c r="D280" i="955"/>
  <c r="C280" i="955"/>
  <c r="AC279" i="955"/>
  <c r="AA279" i="955"/>
  <c r="Y279" i="955"/>
  <c r="E279" i="955"/>
  <c r="D279" i="955"/>
  <c r="C279" i="955"/>
  <c r="AC278" i="955"/>
  <c r="AA278" i="955"/>
  <c r="Y278" i="955"/>
  <c r="E278" i="955"/>
  <c r="D278" i="955"/>
  <c r="C278" i="955"/>
  <c r="AC277" i="955"/>
  <c r="AA277" i="955"/>
  <c r="Y277" i="955"/>
  <c r="E277" i="955"/>
  <c r="D277" i="955"/>
  <c r="C277" i="955"/>
  <c r="AC276" i="955"/>
  <c r="AA276" i="955"/>
  <c r="Y276" i="955"/>
  <c r="E276" i="955"/>
  <c r="D276" i="955"/>
  <c r="C276" i="955"/>
  <c r="AC275" i="955"/>
  <c r="AA275" i="955"/>
  <c r="Y275" i="955"/>
  <c r="E275" i="955"/>
  <c r="D275" i="955"/>
  <c r="C275" i="955"/>
  <c r="AC274" i="955"/>
  <c r="AA274" i="955"/>
  <c r="Y274" i="955"/>
  <c r="E274" i="955"/>
  <c r="D274" i="955"/>
  <c r="C274" i="955"/>
  <c r="AC273" i="955"/>
  <c r="AA273" i="955"/>
  <c r="Y273" i="955"/>
  <c r="E273" i="955"/>
  <c r="D273" i="955"/>
  <c r="C273" i="955"/>
  <c r="AC272" i="955"/>
  <c r="AA272" i="955"/>
  <c r="Y272" i="955"/>
  <c r="E272" i="955"/>
  <c r="D272" i="955"/>
  <c r="C272" i="955"/>
  <c r="AC271" i="955"/>
  <c r="AA271" i="955"/>
  <c r="Y271" i="955"/>
  <c r="E271" i="955"/>
  <c r="D271" i="955"/>
  <c r="C271" i="955"/>
  <c r="AC270" i="955"/>
  <c r="AA270" i="955"/>
  <c r="Y270" i="955"/>
  <c r="E270" i="955"/>
  <c r="D270" i="955"/>
  <c r="C270" i="955"/>
  <c r="AC269" i="955"/>
  <c r="AA269" i="955"/>
  <c r="Y269" i="955"/>
  <c r="E269" i="955"/>
  <c r="D269" i="955"/>
  <c r="C269" i="955"/>
  <c r="AC268" i="955"/>
  <c r="AA268" i="955"/>
  <c r="Y268" i="955"/>
  <c r="E268" i="955"/>
  <c r="D268" i="955"/>
  <c r="C268" i="955"/>
  <c r="AC267" i="955"/>
  <c r="AA267" i="955"/>
  <c r="Y267" i="955"/>
  <c r="E267" i="955"/>
  <c r="D267" i="955"/>
  <c r="C267" i="955"/>
  <c r="AC266" i="955"/>
  <c r="AA266" i="955"/>
  <c r="Y266" i="955"/>
  <c r="E266" i="955"/>
  <c r="D266" i="955"/>
  <c r="C266" i="955"/>
  <c r="AC265" i="955"/>
  <c r="AA265" i="955"/>
  <c r="Y265" i="955"/>
  <c r="E265" i="955"/>
  <c r="D265" i="955"/>
  <c r="C265" i="955"/>
  <c r="AC264" i="955"/>
  <c r="AA264" i="955"/>
  <c r="Y264" i="955"/>
  <c r="E264" i="955"/>
  <c r="D264" i="955"/>
  <c r="C264" i="955"/>
  <c r="AC263" i="955"/>
  <c r="AA263" i="955"/>
  <c r="Y263" i="955"/>
  <c r="E263" i="955"/>
  <c r="D263" i="955"/>
  <c r="C263" i="955"/>
  <c r="AC262" i="955"/>
  <c r="AA262" i="955"/>
  <c r="Y262" i="955"/>
  <c r="E262" i="955"/>
  <c r="D262" i="955"/>
  <c r="C262" i="955"/>
  <c r="AC261" i="955"/>
  <c r="AA261" i="955"/>
  <c r="Y261" i="955"/>
  <c r="E261" i="955"/>
  <c r="D261" i="955"/>
  <c r="C261" i="955"/>
  <c r="AC260" i="955"/>
  <c r="AA260" i="955"/>
  <c r="Y260" i="955"/>
  <c r="E260" i="955"/>
  <c r="D260" i="955"/>
  <c r="C260" i="955"/>
  <c r="AC259" i="955"/>
  <c r="AA259" i="955"/>
  <c r="Y259" i="955"/>
  <c r="E259" i="955"/>
  <c r="D259" i="955"/>
  <c r="C259" i="955"/>
  <c r="AC258" i="955"/>
  <c r="AA258" i="955"/>
  <c r="Y258" i="955"/>
  <c r="E258" i="955"/>
  <c r="D258" i="955"/>
  <c r="C258" i="955"/>
  <c r="AC257" i="955"/>
  <c r="AA257" i="955"/>
  <c r="Y257" i="955"/>
  <c r="E257" i="955"/>
  <c r="D257" i="955"/>
  <c r="C257" i="955"/>
  <c r="AC256" i="955"/>
  <c r="AA256" i="955"/>
  <c r="Y256" i="955"/>
  <c r="E256" i="955"/>
  <c r="D256" i="955"/>
  <c r="C256" i="955"/>
  <c r="AC255" i="955"/>
  <c r="AA255" i="955"/>
  <c r="Y255" i="955"/>
  <c r="E255" i="955"/>
  <c r="D255" i="955"/>
  <c r="C255" i="955"/>
  <c r="AC254" i="955"/>
  <c r="AA254" i="955"/>
  <c r="Y254" i="955"/>
  <c r="E254" i="955"/>
  <c r="D254" i="955"/>
  <c r="C254" i="955"/>
  <c r="AC253" i="955"/>
  <c r="AA253" i="955"/>
  <c r="Y253" i="955"/>
  <c r="E253" i="955"/>
  <c r="D253" i="955"/>
  <c r="C253" i="955"/>
  <c r="AC252" i="955"/>
  <c r="AA252" i="955"/>
  <c r="Y252" i="955"/>
  <c r="E252" i="955"/>
  <c r="D252" i="955"/>
  <c r="C252" i="955"/>
  <c r="AC251" i="955"/>
  <c r="AA251" i="955"/>
  <c r="Y251" i="955"/>
  <c r="E251" i="955"/>
  <c r="D251" i="955"/>
  <c r="C251" i="955"/>
  <c r="AC250" i="955"/>
  <c r="AA250" i="955"/>
  <c r="Y250" i="955"/>
  <c r="E250" i="955"/>
  <c r="D250" i="955"/>
  <c r="C250" i="955"/>
  <c r="AC249" i="955"/>
  <c r="AA249" i="955"/>
  <c r="Y249" i="955"/>
  <c r="E249" i="955"/>
  <c r="D249" i="955"/>
  <c r="C249" i="955"/>
  <c r="AC248" i="955"/>
  <c r="AA248" i="955"/>
  <c r="Y248" i="955"/>
  <c r="E248" i="955"/>
  <c r="D248" i="955"/>
  <c r="C248" i="955"/>
  <c r="AC247" i="955"/>
  <c r="AA247" i="955"/>
  <c r="Y247" i="955"/>
  <c r="E247" i="955"/>
  <c r="D247" i="955"/>
  <c r="C247" i="955"/>
  <c r="AC246" i="955"/>
  <c r="AA246" i="955"/>
  <c r="Y246" i="955"/>
  <c r="E246" i="955"/>
  <c r="D246" i="955"/>
  <c r="C246" i="955"/>
  <c r="AC245" i="955"/>
  <c r="AA245" i="955"/>
  <c r="Y245" i="955"/>
  <c r="E245" i="955"/>
  <c r="D245" i="955"/>
  <c r="C245" i="955"/>
  <c r="AC244" i="955"/>
  <c r="AA244" i="955"/>
  <c r="Y244" i="955"/>
  <c r="E244" i="955"/>
  <c r="D244" i="955"/>
  <c r="C244" i="955"/>
  <c r="AC243" i="955"/>
  <c r="AA243" i="955"/>
  <c r="Y243" i="955"/>
  <c r="E243" i="955"/>
  <c r="D243" i="955"/>
  <c r="C243" i="955"/>
  <c r="AC242" i="955"/>
  <c r="AA242" i="955"/>
  <c r="Y242" i="955"/>
  <c r="E242" i="955"/>
  <c r="D242" i="955"/>
  <c r="C242" i="955"/>
  <c r="AC241" i="955"/>
  <c r="AA241" i="955"/>
  <c r="Y241" i="955"/>
  <c r="E241" i="955"/>
  <c r="D241" i="955"/>
  <c r="C241" i="955"/>
  <c r="AC240" i="955"/>
  <c r="AA240" i="955"/>
  <c r="Y240" i="955"/>
  <c r="E240" i="955"/>
  <c r="D240" i="955"/>
  <c r="C240" i="955"/>
  <c r="AC239" i="955"/>
  <c r="AA239" i="955"/>
  <c r="Y239" i="955"/>
  <c r="E239" i="955"/>
  <c r="D239" i="955"/>
  <c r="C239" i="955"/>
  <c r="AC238" i="955"/>
  <c r="AA238" i="955"/>
  <c r="Y238" i="955"/>
  <c r="E238" i="955"/>
  <c r="D238" i="955"/>
  <c r="C238" i="955"/>
  <c r="AC237" i="955"/>
  <c r="AA237" i="955"/>
  <c r="Y237" i="955"/>
  <c r="V237" i="955"/>
  <c r="S237" i="955"/>
  <c r="P237" i="955"/>
  <c r="E237" i="955"/>
  <c r="D237" i="955"/>
  <c r="C237" i="955"/>
  <c r="AC236" i="955"/>
  <c r="AA236" i="955"/>
  <c r="Y236" i="955"/>
  <c r="V236" i="955"/>
  <c r="S236" i="955"/>
  <c r="P236" i="955"/>
  <c r="E236" i="955"/>
  <c r="D236" i="955"/>
  <c r="C236" i="955"/>
  <c r="AC235" i="955"/>
  <c r="AA235" i="955"/>
  <c r="Y235" i="955"/>
  <c r="V235" i="955"/>
  <c r="S235" i="955"/>
  <c r="P235" i="955"/>
  <c r="E235" i="955"/>
  <c r="D235" i="955"/>
  <c r="C235" i="955"/>
  <c r="AC234" i="955"/>
  <c r="AA234" i="955"/>
  <c r="Y234" i="955"/>
  <c r="V234" i="955"/>
  <c r="S234" i="955"/>
  <c r="P234" i="955"/>
  <c r="E234" i="955"/>
  <c r="D234" i="955"/>
  <c r="C234" i="955"/>
  <c r="AC233" i="955"/>
  <c r="AA233" i="955"/>
  <c r="Y233" i="955"/>
  <c r="E233" i="955"/>
  <c r="D233" i="955"/>
  <c r="C233" i="955"/>
  <c r="W232" i="955"/>
  <c r="V232" i="955"/>
  <c r="T232" i="955"/>
  <c r="S232" i="955"/>
  <c r="Q232" i="955"/>
  <c r="P232" i="955"/>
  <c r="E232" i="955"/>
  <c r="D232" i="955"/>
  <c r="C232" i="955"/>
  <c r="E231" i="955"/>
  <c r="D231" i="955"/>
  <c r="C231" i="955"/>
  <c r="AC230" i="955"/>
  <c r="AD278" i="955" s="1"/>
  <c r="AA230" i="955"/>
  <c r="AB285" i="955" s="1"/>
  <c r="Y230" i="955"/>
  <c r="Z277" i="955" s="1"/>
  <c r="E230" i="955"/>
  <c r="D230" i="955"/>
  <c r="C230" i="955"/>
  <c r="E229" i="955"/>
  <c r="D229" i="955"/>
  <c r="C229" i="955"/>
  <c r="E228" i="955"/>
  <c r="D228" i="955"/>
  <c r="C228" i="955"/>
  <c r="E227" i="955"/>
  <c r="D227" i="955"/>
  <c r="C227" i="955"/>
  <c r="E226" i="955"/>
  <c r="D226" i="955"/>
  <c r="C226" i="955"/>
  <c r="I225" i="955"/>
  <c r="B225" i="955" s="1"/>
  <c r="E225" i="955"/>
  <c r="D225" i="955"/>
  <c r="C225" i="955"/>
  <c r="N224" i="955"/>
  <c r="Y223" i="955"/>
  <c r="N223" i="955"/>
  <c r="Y222" i="955"/>
  <c r="N222" i="955"/>
  <c r="N221" i="955"/>
  <c r="N220" i="955"/>
  <c r="N219" i="955"/>
  <c r="N218" i="955"/>
  <c r="N217" i="955"/>
  <c r="J216" i="955"/>
  <c r="I216" i="955"/>
  <c r="N216" i="955" s="1"/>
  <c r="E216" i="955"/>
  <c r="D216" i="955"/>
  <c r="C216" i="955"/>
  <c r="J215" i="955"/>
  <c r="I215" i="955"/>
  <c r="N215" i="955" s="1"/>
  <c r="E215" i="955"/>
  <c r="D215" i="955"/>
  <c r="C215" i="955"/>
  <c r="J214" i="955"/>
  <c r="I214" i="955"/>
  <c r="N214" i="955" s="1"/>
  <c r="E214" i="955"/>
  <c r="D214" i="955"/>
  <c r="C214" i="955"/>
  <c r="J213" i="955"/>
  <c r="I213" i="955"/>
  <c r="N213" i="955" s="1"/>
  <c r="E213" i="955"/>
  <c r="D213" i="955"/>
  <c r="C213" i="955"/>
  <c r="J212" i="955"/>
  <c r="I212" i="955"/>
  <c r="E212" i="955"/>
  <c r="D212" i="955"/>
  <c r="C212" i="955"/>
  <c r="J211" i="955"/>
  <c r="I211" i="955"/>
  <c r="E211" i="955"/>
  <c r="D211" i="955"/>
  <c r="C211" i="955"/>
  <c r="J210" i="955"/>
  <c r="I210" i="955"/>
  <c r="N210" i="955" s="1"/>
  <c r="E210" i="955"/>
  <c r="D210" i="955"/>
  <c r="C210" i="955"/>
  <c r="J209" i="955"/>
  <c r="I209" i="955"/>
  <c r="E209" i="955"/>
  <c r="D209" i="955"/>
  <c r="C209" i="955"/>
  <c r="J208" i="955"/>
  <c r="I208" i="955"/>
  <c r="N208" i="955" s="1"/>
  <c r="E208" i="955"/>
  <c r="D208" i="955"/>
  <c r="C208" i="955"/>
  <c r="J207" i="955"/>
  <c r="I207" i="955"/>
  <c r="N207" i="955" s="1"/>
  <c r="E207" i="955"/>
  <c r="D207" i="955"/>
  <c r="C207" i="955"/>
  <c r="J206" i="955"/>
  <c r="I206" i="955"/>
  <c r="N206" i="955" s="1"/>
  <c r="E206" i="955"/>
  <c r="D206" i="955"/>
  <c r="C206" i="955"/>
  <c r="J205" i="955"/>
  <c r="I205" i="955"/>
  <c r="N205" i="955" s="1"/>
  <c r="E205" i="955"/>
  <c r="D205" i="955"/>
  <c r="C205" i="955"/>
  <c r="J204" i="955"/>
  <c r="I204" i="955"/>
  <c r="E204" i="955"/>
  <c r="D204" i="955"/>
  <c r="C204" i="955"/>
  <c r="J203" i="955"/>
  <c r="I203" i="955"/>
  <c r="E203" i="955"/>
  <c r="D203" i="955"/>
  <c r="C203" i="955"/>
  <c r="J202" i="955"/>
  <c r="I202" i="955"/>
  <c r="N202" i="955" s="1"/>
  <c r="E202" i="955"/>
  <c r="D202" i="955"/>
  <c r="C202" i="955"/>
  <c r="J201" i="955"/>
  <c r="I201" i="955"/>
  <c r="N201" i="955" s="1"/>
  <c r="E201" i="955"/>
  <c r="D201" i="955"/>
  <c r="C201" i="955"/>
  <c r="J200" i="955"/>
  <c r="I200" i="955"/>
  <c r="N200" i="955" s="1"/>
  <c r="E200" i="955"/>
  <c r="D200" i="955"/>
  <c r="C200" i="955"/>
  <c r="J199" i="955"/>
  <c r="I199" i="955"/>
  <c r="N199" i="955" s="1"/>
  <c r="E199" i="955"/>
  <c r="D199" i="955"/>
  <c r="C199" i="955"/>
  <c r="J198" i="955"/>
  <c r="I198" i="955"/>
  <c r="N198" i="955" s="1"/>
  <c r="E198" i="955"/>
  <c r="D198" i="955"/>
  <c r="C198" i="955"/>
  <c r="J197" i="955"/>
  <c r="I197" i="955"/>
  <c r="N197" i="955" s="1"/>
  <c r="E197" i="955"/>
  <c r="D197" i="955"/>
  <c r="C197" i="955"/>
  <c r="J196" i="955"/>
  <c r="I196" i="955"/>
  <c r="E196" i="955"/>
  <c r="D196" i="955"/>
  <c r="C196" i="955"/>
  <c r="J195" i="955"/>
  <c r="I195" i="955"/>
  <c r="N195" i="955" s="1"/>
  <c r="E195" i="955"/>
  <c r="D195" i="955"/>
  <c r="C195" i="955"/>
  <c r="J194" i="955"/>
  <c r="I194" i="955"/>
  <c r="N194" i="955" s="1"/>
  <c r="E194" i="955"/>
  <c r="D194" i="955"/>
  <c r="C194" i="955"/>
  <c r="J193" i="955"/>
  <c r="I193" i="955"/>
  <c r="N193" i="955" s="1"/>
  <c r="E193" i="955"/>
  <c r="D193" i="955"/>
  <c r="C193" i="955"/>
  <c r="J192" i="955"/>
  <c r="I192" i="955"/>
  <c r="N192" i="955" s="1"/>
  <c r="E192" i="955"/>
  <c r="D192" i="955"/>
  <c r="C192" i="955"/>
  <c r="J191" i="955"/>
  <c r="I191" i="955"/>
  <c r="N191" i="955" s="1"/>
  <c r="E191" i="955"/>
  <c r="D191" i="955"/>
  <c r="C191" i="955"/>
  <c r="J190" i="955"/>
  <c r="I190" i="955"/>
  <c r="N190" i="955" s="1"/>
  <c r="E190" i="955"/>
  <c r="D190" i="955"/>
  <c r="C190" i="955"/>
  <c r="J189" i="955"/>
  <c r="I189" i="955"/>
  <c r="N189" i="955" s="1"/>
  <c r="E189" i="955"/>
  <c r="D189" i="955"/>
  <c r="C189" i="955"/>
  <c r="J188" i="955"/>
  <c r="I188" i="955"/>
  <c r="N188" i="955" s="1"/>
  <c r="E188" i="955"/>
  <c r="D188" i="955"/>
  <c r="C188" i="955"/>
  <c r="J187" i="955"/>
  <c r="I187" i="955"/>
  <c r="N187" i="955" s="1"/>
  <c r="E187" i="955"/>
  <c r="D187" i="955"/>
  <c r="C187" i="955"/>
  <c r="AD186" i="955"/>
  <c r="AC186" i="955"/>
  <c r="I974" i="955" s="1"/>
  <c r="J186" i="955"/>
  <c r="I186" i="955"/>
  <c r="N186" i="955" s="1"/>
  <c r="E186" i="955"/>
  <c r="D186" i="955"/>
  <c r="C186" i="955"/>
  <c r="J185" i="955"/>
  <c r="I185" i="955"/>
  <c r="N185" i="955" s="1"/>
  <c r="E185" i="955"/>
  <c r="D185" i="955"/>
  <c r="C185" i="955"/>
  <c r="J184" i="955"/>
  <c r="I184" i="955"/>
  <c r="N184" i="955" s="1"/>
  <c r="E184" i="955"/>
  <c r="D184" i="955"/>
  <c r="C184" i="955"/>
  <c r="J183" i="955"/>
  <c r="I183" i="955"/>
  <c r="N183" i="955" s="1"/>
  <c r="E183" i="955"/>
  <c r="D183" i="955"/>
  <c r="C183" i="955"/>
  <c r="J182" i="955"/>
  <c r="I182" i="955"/>
  <c r="N182" i="955" s="1"/>
  <c r="E182" i="955"/>
  <c r="D182" i="955"/>
  <c r="C182" i="955"/>
  <c r="J181" i="955"/>
  <c r="I181" i="955"/>
  <c r="N181" i="955" s="1"/>
  <c r="E181" i="955"/>
  <c r="D181" i="955"/>
  <c r="C181" i="955"/>
  <c r="J180" i="955"/>
  <c r="I180" i="955"/>
  <c r="N180" i="955" s="1"/>
  <c r="E180" i="955"/>
  <c r="D180" i="955"/>
  <c r="C180" i="955"/>
  <c r="J179" i="955"/>
  <c r="I179" i="955"/>
  <c r="N179" i="955" s="1"/>
  <c r="E179" i="955"/>
  <c r="D179" i="955"/>
  <c r="C179" i="955"/>
  <c r="J178" i="955"/>
  <c r="I178" i="955"/>
  <c r="N178" i="955" s="1"/>
  <c r="E178" i="955"/>
  <c r="D178" i="955"/>
  <c r="C178" i="955"/>
  <c r="J177" i="955"/>
  <c r="I177" i="955"/>
  <c r="N177" i="955" s="1"/>
  <c r="E177" i="955"/>
  <c r="D177" i="955"/>
  <c r="C177" i="955"/>
  <c r="V176" i="955"/>
  <c r="S176" i="955"/>
  <c r="J176" i="955"/>
  <c r="I176" i="955"/>
  <c r="N176" i="955" s="1"/>
  <c r="E176" i="955"/>
  <c r="D176" i="955"/>
  <c r="C176" i="955"/>
  <c r="V175" i="955"/>
  <c r="S175" i="955"/>
  <c r="J175" i="955"/>
  <c r="I175" i="955"/>
  <c r="N175" i="955" s="1"/>
  <c r="E175" i="955"/>
  <c r="D175" i="955"/>
  <c r="C175" i="955"/>
  <c r="V174" i="955"/>
  <c r="S174" i="955"/>
  <c r="J174" i="955"/>
  <c r="I174" i="955"/>
  <c r="N174" i="955" s="1"/>
  <c r="E174" i="955"/>
  <c r="D174" i="955"/>
  <c r="C174" i="955"/>
  <c r="V173" i="955"/>
  <c r="S173" i="955"/>
  <c r="J173" i="955"/>
  <c r="I173" i="955"/>
  <c r="N173" i="955" s="1"/>
  <c r="E173" i="955"/>
  <c r="D173" i="955"/>
  <c r="C173" i="955"/>
  <c r="V172" i="955"/>
  <c r="S172" i="955"/>
  <c r="J172" i="955"/>
  <c r="I172" i="955"/>
  <c r="N172" i="955" s="1"/>
  <c r="E172" i="955"/>
  <c r="D172" i="955"/>
  <c r="C172" i="955"/>
  <c r="J171" i="955"/>
  <c r="I171" i="955"/>
  <c r="N171" i="955" s="1"/>
  <c r="E171" i="955"/>
  <c r="D171" i="955"/>
  <c r="C171" i="955"/>
  <c r="R170" i="955"/>
  <c r="T170" i="955" s="1"/>
  <c r="J170" i="955"/>
  <c r="I170" i="955"/>
  <c r="N170" i="955" s="1"/>
  <c r="E170" i="955"/>
  <c r="D170" i="955"/>
  <c r="C170" i="955"/>
  <c r="J169" i="955"/>
  <c r="I169" i="955"/>
  <c r="N169" i="955" s="1"/>
  <c r="E169" i="955"/>
  <c r="D169" i="955"/>
  <c r="C169" i="955"/>
  <c r="J168" i="955"/>
  <c r="I168" i="955"/>
  <c r="N168" i="955" s="1"/>
  <c r="E168" i="955"/>
  <c r="D168" i="955"/>
  <c r="C168" i="955"/>
  <c r="J167" i="955"/>
  <c r="I167" i="955"/>
  <c r="N167" i="955" s="1"/>
  <c r="E167" i="955"/>
  <c r="D167" i="955"/>
  <c r="C167" i="955"/>
  <c r="J166" i="955"/>
  <c r="I166" i="955"/>
  <c r="N166" i="955" s="1"/>
  <c r="E166" i="955"/>
  <c r="D166" i="955"/>
  <c r="C166" i="955"/>
  <c r="J165" i="955"/>
  <c r="I165" i="955"/>
  <c r="N165" i="955" s="1"/>
  <c r="E165" i="955"/>
  <c r="D165" i="955"/>
  <c r="C165" i="955"/>
  <c r="J164" i="955"/>
  <c r="I164" i="955"/>
  <c r="N164" i="955" s="1"/>
  <c r="E164" i="955"/>
  <c r="D164" i="955"/>
  <c r="C164" i="955"/>
  <c r="R163" i="955"/>
  <c r="P163" i="955"/>
  <c r="J163" i="955"/>
  <c r="I163" i="955"/>
  <c r="N163" i="955" s="1"/>
  <c r="E163" i="955"/>
  <c r="D163" i="955"/>
  <c r="C163" i="955"/>
  <c r="R162" i="955"/>
  <c r="P162" i="955"/>
  <c r="J162" i="955"/>
  <c r="I162" i="955"/>
  <c r="N162" i="955" s="1"/>
  <c r="E162" i="955"/>
  <c r="D162" i="955"/>
  <c r="C162" i="955"/>
  <c r="T161" i="955"/>
  <c r="R161" i="955"/>
  <c r="P161" i="955"/>
  <c r="J161" i="955"/>
  <c r="I161" i="955"/>
  <c r="N161" i="955" s="1"/>
  <c r="E161" i="955"/>
  <c r="D161" i="955"/>
  <c r="C161" i="955"/>
  <c r="P160" i="955"/>
  <c r="C774" i="955" s="1"/>
  <c r="J160" i="955"/>
  <c r="I160" i="955"/>
  <c r="N160" i="955" s="1"/>
  <c r="E160" i="955"/>
  <c r="D160" i="955"/>
  <c r="C160" i="955"/>
  <c r="J159" i="955"/>
  <c r="I159" i="955"/>
  <c r="N159" i="955" s="1"/>
  <c r="E159" i="955"/>
  <c r="D159" i="955"/>
  <c r="C159" i="955"/>
  <c r="J158" i="955"/>
  <c r="I158" i="955"/>
  <c r="N158" i="955" s="1"/>
  <c r="E158" i="955"/>
  <c r="D158" i="955"/>
  <c r="C158" i="955"/>
  <c r="J157" i="955"/>
  <c r="I157" i="955"/>
  <c r="N157" i="955" s="1"/>
  <c r="E157" i="955"/>
  <c r="D157" i="955"/>
  <c r="C157" i="955"/>
  <c r="Z156" i="955"/>
  <c r="I768" i="955" s="1"/>
  <c r="S156" i="955"/>
  <c r="J156" i="955"/>
  <c r="I156" i="955"/>
  <c r="N156" i="955" s="1"/>
  <c r="E156" i="955"/>
  <c r="D156" i="955"/>
  <c r="C156" i="955"/>
  <c r="J155" i="955"/>
  <c r="I155" i="955"/>
  <c r="N155" i="955" s="1"/>
  <c r="E155" i="955"/>
  <c r="D155" i="955"/>
  <c r="C155" i="955"/>
  <c r="T154" i="955"/>
  <c r="S154" i="955"/>
  <c r="J154" i="955"/>
  <c r="I154" i="955"/>
  <c r="N154" i="955" s="1"/>
  <c r="E154" i="955"/>
  <c r="D154" i="955"/>
  <c r="C154" i="955"/>
  <c r="R153" i="955"/>
  <c r="J153" i="955"/>
  <c r="I153" i="955"/>
  <c r="N153" i="955" s="1"/>
  <c r="E153" i="955"/>
  <c r="D153" i="955"/>
  <c r="C153" i="955"/>
  <c r="AN152" i="955"/>
  <c r="AD152" i="955"/>
  <c r="I749" i="955" s="1"/>
  <c r="AC152" i="955"/>
  <c r="I750" i="955" s="1"/>
  <c r="AB152" i="955"/>
  <c r="I748" i="955" s="1"/>
  <c r="AA152" i="955"/>
  <c r="Z152" i="955"/>
  <c r="I753" i="955" s="1"/>
  <c r="Y152" i="955"/>
  <c r="I754" i="955" s="1"/>
  <c r="J152" i="955"/>
  <c r="I152" i="955"/>
  <c r="N152" i="955" s="1"/>
  <c r="E152" i="955"/>
  <c r="D152" i="955"/>
  <c r="C152" i="955"/>
  <c r="AN151" i="955"/>
  <c r="AD151" i="955"/>
  <c r="I734" i="955" s="1"/>
  <c r="AC151" i="955"/>
  <c r="I735" i="955" s="1"/>
  <c r="AB151" i="955"/>
  <c r="I733" i="955" s="1"/>
  <c r="AA151" i="955"/>
  <c r="Z151" i="955"/>
  <c r="I738" i="955" s="1"/>
  <c r="Y151" i="955"/>
  <c r="I739" i="955" s="1"/>
  <c r="J151" i="955"/>
  <c r="I151" i="955"/>
  <c r="N151" i="955" s="1"/>
  <c r="E151" i="955"/>
  <c r="D151" i="955"/>
  <c r="C151" i="955"/>
  <c r="AN150" i="955"/>
  <c r="AD150" i="955"/>
  <c r="I719" i="955" s="1"/>
  <c r="AC150" i="955"/>
  <c r="I720" i="955" s="1"/>
  <c r="AB150" i="955"/>
  <c r="I718" i="955" s="1"/>
  <c r="AA150" i="955"/>
  <c r="Z150" i="955"/>
  <c r="I723" i="955" s="1"/>
  <c r="Y150" i="955"/>
  <c r="I724" i="955" s="1"/>
  <c r="J150" i="955"/>
  <c r="I150" i="955"/>
  <c r="N150" i="955" s="1"/>
  <c r="E150" i="955"/>
  <c r="D150" i="955"/>
  <c r="C150" i="955"/>
  <c r="AN149" i="955"/>
  <c r="AD149" i="955"/>
  <c r="I704" i="955" s="1"/>
  <c r="AC149" i="955"/>
  <c r="I705" i="955" s="1"/>
  <c r="AB149" i="955"/>
  <c r="I703" i="955" s="1"/>
  <c r="AA149" i="955"/>
  <c r="Z149" i="955"/>
  <c r="I708" i="955" s="1"/>
  <c r="Y149" i="955"/>
  <c r="J149" i="955"/>
  <c r="I149" i="955"/>
  <c r="N149" i="955" s="1"/>
  <c r="E149" i="955"/>
  <c r="D149" i="955"/>
  <c r="C149" i="955"/>
  <c r="J148" i="955"/>
  <c r="I148" i="955"/>
  <c r="N148" i="955" s="1"/>
  <c r="E148" i="955"/>
  <c r="D148" i="955"/>
  <c r="C148" i="955"/>
  <c r="T147" i="955"/>
  <c r="Q147" i="955"/>
  <c r="J147" i="955"/>
  <c r="I147" i="955"/>
  <c r="N147" i="955" s="1"/>
  <c r="E147" i="955"/>
  <c r="D147" i="955"/>
  <c r="C147" i="955"/>
  <c r="Q146" i="955"/>
  <c r="J146" i="955"/>
  <c r="I146" i="955"/>
  <c r="N146" i="955" s="1"/>
  <c r="E146" i="955"/>
  <c r="D146" i="955"/>
  <c r="C146" i="955"/>
  <c r="AN145" i="955"/>
  <c r="Z145" i="955"/>
  <c r="I693" i="955" s="1"/>
  <c r="Y145" i="955"/>
  <c r="I694" i="955" s="1"/>
  <c r="J145" i="955"/>
  <c r="I145" i="955"/>
  <c r="N145" i="955" s="1"/>
  <c r="E145" i="955"/>
  <c r="D145" i="955"/>
  <c r="C145" i="955"/>
  <c r="AN144" i="955"/>
  <c r="Z144" i="955"/>
  <c r="I678" i="955" s="1"/>
  <c r="Y144" i="955"/>
  <c r="I679" i="955" s="1"/>
  <c r="J144" i="955"/>
  <c r="I144" i="955"/>
  <c r="N144" i="955" s="1"/>
  <c r="E144" i="955"/>
  <c r="D144" i="955"/>
  <c r="C144" i="955"/>
  <c r="AN143" i="955"/>
  <c r="Z143" i="955"/>
  <c r="I663" i="955" s="1"/>
  <c r="Y143" i="955"/>
  <c r="I664" i="955" s="1"/>
  <c r="J143" i="955"/>
  <c r="I143" i="955"/>
  <c r="N143" i="955" s="1"/>
  <c r="E143" i="955"/>
  <c r="D143" i="955"/>
  <c r="C143" i="955"/>
  <c r="AN142" i="955"/>
  <c r="Z142" i="955"/>
  <c r="I648" i="955" s="1"/>
  <c r="Y142" i="955"/>
  <c r="I649" i="955" s="1"/>
  <c r="J142" i="955"/>
  <c r="I142" i="955"/>
  <c r="N142" i="955" s="1"/>
  <c r="E142" i="955"/>
  <c r="D142" i="955"/>
  <c r="C142" i="955"/>
  <c r="AN141" i="955"/>
  <c r="Z141" i="955"/>
  <c r="I633" i="955" s="1"/>
  <c r="Y141" i="955"/>
  <c r="I634" i="955" s="1"/>
  <c r="J141" i="955"/>
  <c r="I141" i="955"/>
  <c r="N141" i="955" s="1"/>
  <c r="E141" i="955"/>
  <c r="D141" i="955"/>
  <c r="C141" i="955"/>
  <c r="J140" i="955"/>
  <c r="I140" i="955"/>
  <c r="N140" i="955" s="1"/>
  <c r="E140" i="955"/>
  <c r="D140" i="955"/>
  <c r="C140" i="955"/>
  <c r="T139" i="955"/>
  <c r="S139" i="955"/>
  <c r="R139" i="955"/>
  <c r="Q139" i="955"/>
  <c r="J139" i="955"/>
  <c r="I139" i="955"/>
  <c r="N139" i="955" s="1"/>
  <c r="E139" i="955"/>
  <c r="D139" i="955"/>
  <c r="C139" i="955"/>
  <c r="P138" i="955"/>
  <c r="J138" i="955"/>
  <c r="I138" i="955"/>
  <c r="N138" i="955" s="1"/>
  <c r="E138" i="955"/>
  <c r="D138" i="955"/>
  <c r="C138" i="955"/>
  <c r="AN137" i="955"/>
  <c r="AD137" i="955"/>
  <c r="I614" i="955" s="1"/>
  <c r="AC137" i="955"/>
  <c r="I615" i="955" s="1"/>
  <c r="AB137" i="955"/>
  <c r="I613" i="955" s="1"/>
  <c r="Z137" i="955"/>
  <c r="I618" i="955" s="1"/>
  <c r="Y137" i="955"/>
  <c r="I619" i="955" s="1"/>
  <c r="J137" i="955"/>
  <c r="I137" i="955"/>
  <c r="C137" i="955"/>
  <c r="AN136" i="955"/>
  <c r="AD136" i="955"/>
  <c r="I599" i="955" s="1"/>
  <c r="AC136" i="955"/>
  <c r="I600" i="955" s="1"/>
  <c r="AB136" i="955"/>
  <c r="I598" i="955" s="1"/>
  <c r="Z136" i="955"/>
  <c r="I603" i="955" s="1"/>
  <c r="Y136" i="955"/>
  <c r="I604" i="955" s="1"/>
  <c r="N136" i="955"/>
  <c r="AN135" i="955"/>
  <c r="AD135" i="955"/>
  <c r="I584" i="955" s="1"/>
  <c r="AC135" i="955"/>
  <c r="I585" i="955" s="1"/>
  <c r="AB135" i="955"/>
  <c r="I583" i="955" s="1"/>
  <c r="Z135" i="955"/>
  <c r="I588" i="955" s="1"/>
  <c r="Y135" i="955"/>
  <c r="I589" i="955" s="1"/>
  <c r="N135" i="955"/>
  <c r="AN134" i="955"/>
  <c r="AD134" i="955"/>
  <c r="I569" i="955" s="1"/>
  <c r="AC134" i="955"/>
  <c r="I570" i="955" s="1"/>
  <c r="AB134" i="955"/>
  <c r="I568" i="955" s="1"/>
  <c r="Z134" i="955"/>
  <c r="I573" i="955" s="1"/>
  <c r="Y134" i="955"/>
  <c r="I574" i="955" s="1"/>
  <c r="N134" i="955"/>
  <c r="AN133" i="955"/>
  <c r="AD133" i="955"/>
  <c r="I554" i="955" s="1"/>
  <c r="AC133" i="955"/>
  <c r="I555" i="955" s="1"/>
  <c r="AB133" i="955"/>
  <c r="I553" i="955" s="1"/>
  <c r="Z133" i="955"/>
  <c r="I558" i="955" s="1"/>
  <c r="Y133" i="955"/>
  <c r="I559" i="955" s="1"/>
  <c r="N133" i="955"/>
  <c r="N132" i="955"/>
  <c r="T131" i="955"/>
  <c r="S131" i="955"/>
  <c r="R131" i="955"/>
  <c r="Q131" i="955"/>
  <c r="N131" i="955"/>
  <c r="P130" i="955"/>
  <c r="N130" i="955"/>
  <c r="N129" i="955"/>
  <c r="C126" i="955"/>
  <c r="N128" i="955" s="1"/>
  <c r="C123" i="955"/>
  <c r="N123" i="955" s="1"/>
  <c r="C120" i="955"/>
  <c r="N122" i="955" s="1"/>
  <c r="N119" i="955"/>
  <c r="N118" i="955"/>
  <c r="N117" i="955"/>
  <c r="N116" i="955"/>
  <c r="F116" i="955"/>
  <c r="G116" i="955" s="1"/>
  <c r="U111" i="955"/>
  <c r="U110" i="955"/>
  <c r="T106" i="955"/>
  <c r="R106" i="955"/>
  <c r="P106" i="955"/>
  <c r="C106" i="955"/>
  <c r="T105" i="955"/>
  <c r="R105" i="955"/>
  <c r="P105" i="955"/>
  <c r="C105" i="955"/>
  <c r="T104" i="955"/>
  <c r="R104" i="955"/>
  <c r="P104" i="955"/>
  <c r="C104" i="955"/>
  <c r="P103" i="955"/>
  <c r="C534" i="955" s="1"/>
  <c r="C103" i="955"/>
  <c r="F103" i="955" s="1"/>
  <c r="C102" i="955"/>
  <c r="F102" i="955" s="1"/>
  <c r="AN101" i="955"/>
  <c r="AC101" i="955"/>
  <c r="I524" i="955" s="1"/>
  <c r="AB101" i="955"/>
  <c r="I525" i="955" s="1"/>
  <c r="AA101" i="955"/>
  <c r="I523" i="955" s="1"/>
  <c r="Z101" i="955"/>
  <c r="I520" i="955" s="1"/>
  <c r="Y101" i="955"/>
  <c r="I529" i="955" s="1"/>
  <c r="S100" i="955"/>
  <c r="R100" i="955"/>
  <c r="Q99" i="955"/>
  <c r="AN98" i="955"/>
  <c r="AK98" i="955"/>
  <c r="F516" i="955" s="1"/>
  <c r="AI98" i="955"/>
  <c r="F517" i="955" s="1"/>
  <c r="AG98" i="955"/>
  <c r="F515" i="955" s="1"/>
  <c r="AE98" i="955"/>
  <c r="I509" i="955" s="1"/>
  <c r="AD98" i="955"/>
  <c r="I510" i="955" s="1"/>
  <c r="AC98" i="955"/>
  <c r="I508" i="955" s="1"/>
  <c r="AB98" i="955"/>
  <c r="I511" i="955" s="1"/>
  <c r="AA98" i="955"/>
  <c r="Z98" i="955"/>
  <c r="I507" i="955" s="1"/>
  <c r="Y98" i="955"/>
  <c r="I514" i="955" s="1"/>
  <c r="AN97" i="955"/>
  <c r="AK97" i="955"/>
  <c r="F501" i="955" s="1"/>
  <c r="AI97" i="955"/>
  <c r="F502" i="955" s="1"/>
  <c r="AG97" i="955"/>
  <c r="F500" i="955" s="1"/>
  <c r="AE97" i="955"/>
  <c r="I494" i="955" s="1"/>
  <c r="AD97" i="955"/>
  <c r="I495" i="955" s="1"/>
  <c r="AC97" i="955"/>
  <c r="I493" i="955" s="1"/>
  <c r="AB97" i="955"/>
  <c r="I496" i="955" s="1"/>
  <c r="AA97" i="955"/>
  <c r="Z97" i="955"/>
  <c r="I492" i="955" s="1"/>
  <c r="Y97" i="955"/>
  <c r="I499" i="955" s="1"/>
  <c r="AN96" i="955"/>
  <c r="AK96" i="955"/>
  <c r="F486" i="955" s="1"/>
  <c r="AI96" i="955"/>
  <c r="F487" i="955" s="1"/>
  <c r="AG96" i="955"/>
  <c r="F485" i="955" s="1"/>
  <c r="AE96" i="955"/>
  <c r="I479" i="955" s="1"/>
  <c r="AD96" i="955"/>
  <c r="I480" i="955" s="1"/>
  <c r="AC96" i="955"/>
  <c r="I478" i="955" s="1"/>
  <c r="AB96" i="955"/>
  <c r="I481" i="955" s="1"/>
  <c r="AA96" i="955"/>
  <c r="Z96" i="955"/>
  <c r="I477" i="955" s="1"/>
  <c r="Y96" i="955"/>
  <c r="I484" i="955" s="1"/>
  <c r="AN95" i="955"/>
  <c r="AK95" i="955"/>
  <c r="F471" i="955" s="1"/>
  <c r="AI95" i="955"/>
  <c r="F472" i="955" s="1"/>
  <c r="AG95" i="955"/>
  <c r="F470" i="955" s="1"/>
  <c r="AE95" i="955"/>
  <c r="I464" i="955" s="1"/>
  <c r="AD95" i="955"/>
  <c r="I465" i="955" s="1"/>
  <c r="AC95" i="955"/>
  <c r="I463" i="955" s="1"/>
  <c r="AB95" i="955"/>
  <c r="I466" i="955" s="1"/>
  <c r="AA95" i="955"/>
  <c r="Z95" i="955"/>
  <c r="I462" i="955" s="1"/>
  <c r="Y95" i="955"/>
  <c r="I469" i="955" s="1"/>
  <c r="T94" i="955"/>
  <c r="S94" i="955"/>
  <c r="R94" i="955"/>
  <c r="Q93" i="955"/>
  <c r="AN92" i="955"/>
  <c r="AK92" i="955"/>
  <c r="F456" i="955" s="1"/>
  <c r="AI92" i="955"/>
  <c r="F457" i="955" s="1"/>
  <c r="AG92" i="955"/>
  <c r="F455" i="955" s="1"/>
  <c r="AE92" i="955"/>
  <c r="I449" i="955" s="1"/>
  <c r="AD92" i="955"/>
  <c r="I450" i="955" s="1"/>
  <c r="AC92" i="955"/>
  <c r="I448" i="955" s="1"/>
  <c r="AB92" i="955"/>
  <c r="I451" i="955" s="1"/>
  <c r="AA92" i="955"/>
  <c r="I445" i="955" s="1"/>
  <c r="Z92" i="955"/>
  <c r="I447" i="955" s="1"/>
  <c r="Y92" i="955"/>
  <c r="I454" i="955" s="1"/>
  <c r="AN91" i="955"/>
  <c r="AK91" i="955"/>
  <c r="F441" i="955" s="1"/>
  <c r="AI91" i="955"/>
  <c r="F442" i="955" s="1"/>
  <c r="AG91" i="955"/>
  <c r="F440" i="955" s="1"/>
  <c r="AE91" i="955"/>
  <c r="I434" i="955" s="1"/>
  <c r="AD91" i="955"/>
  <c r="I435" i="955" s="1"/>
  <c r="AC91" i="955"/>
  <c r="I433" i="955" s="1"/>
  <c r="AB91" i="955"/>
  <c r="I436" i="955" s="1"/>
  <c r="AA91" i="955"/>
  <c r="I430" i="955" s="1"/>
  <c r="Z91" i="955"/>
  <c r="I432" i="955" s="1"/>
  <c r="Y91" i="955"/>
  <c r="I439" i="955" s="1"/>
  <c r="AN90" i="955"/>
  <c r="AK90" i="955"/>
  <c r="F426" i="955" s="1"/>
  <c r="AI90" i="955"/>
  <c r="F427" i="955" s="1"/>
  <c r="AG90" i="955"/>
  <c r="F425" i="955" s="1"/>
  <c r="AE90" i="955"/>
  <c r="I419" i="955" s="1"/>
  <c r="AD90" i="955"/>
  <c r="I420" i="955" s="1"/>
  <c r="AC90" i="955"/>
  <c r="I418" i="955" s="1"/>
  <c r="AB90" i="955"/>
  <c r="I421" i="955" s="1"/>
  <c r="AA90" i="955"/>
  <c r="I415" i="955" s="1"/>
  <c r="Z90" i="955"/>
  <c r="I417" i="955" s="1"/>
  <c r="Y90" i="955"/>
  <c r="I424" i="955" s="1"/>
  <c r="AN89" i="955"/>
  <c r="AK89" i="955"/>
  <c r="F411" i="955" s="1"/>
  <c r="AI89" i="955"/>
  <c r="F412" i="955" s="1"/>
  <c r="AG89" i="955"/>
  <c r="F410" i="955" s="1"/>
  <c r="AE89" i="955"/>
  <c r="I404" i="955" s="1"/>
  <c r="AD89" i="955"/>
  <c r="I405" i="955" s="1"/>
  <c r="AC89" i="955"/>
  <c r="I403" i="955" s="1"/>
  <c r="AB89" i="955"/>
  <c r="I406" i="955" s="1"/>
  <c r="AA89" i="955"/>
  <c r="I400" i="955" s="1"/>
  <c r="Z89" i="955"/>
  <c r="I402" i="955" s="1"/>
  <c r="Y89" i="955"/>
  <c r="I409" i="955" s="1"/>
  <c r="AN88" i="955"/>
  <c r="AK88" i="955"/>
  <c r="F396" i="955" s="1"/>
  <c r="AI88" i="955"/>
  <c r="F397" i="955" s="1"/>
  <c r="AG88" i="955"/>
  <c r="F395" i="955" s="1"/>
  <c r="AE88" i="955"/>
  <c r="I389" i="955" s="1"/>
  <c r="AD88" i="955"/>
  <c r="I390" i="955" s="1"/>
  <c r="AC88" i="955"/>
  <c r="I388" i="955" s="1"/>
  <c r="AB88" i="955"/>
  <c r="I391" i="955" s="1"/>
  <c r="AA88" i="955"/>
  <c r="I385" i="955" s="1"/>
  <c r="Z88" i="955"/>
  <c r="I387" i="955" s="1"/>
  <c r="Y88" i="955"/>
  <c r="I394" i="955" s="1"/>
  <c r="T87" i="955"/>
  <c r="S87" i="955"/>
  <c r="R87" i="955"/>
  <c r="Q87" i="955"/>
  <c r="P86" i="955"/>
  <c r="AN85" i="955"/>
  <c r="AK85" i="955"/>
  <c r="F381" i="955" s="1"/>
  <c r="AI85" i="955"/>
  <c r="F382" i="955" s="1"/>
  <c r="AG85" i="955"/>
  <c r="F380" i="955" s="1"/>
  <c r="AE85" i="955"/>
  <c r="I374" i="955" s="1"/>
  <c r="AD85" i="955"/>
  <c r="I375" i="955" s="1"/>
  <c r="AC85" i="955"/>
  <c r="I373" i="955" s="1"/>
  <c r="AB85" i="955"/>
  <c r="I376" i="955" s="1"/>
  <c r="AA85" i="955"/>
  <c r="I370" i="955" s="1"/>
  <c r="Z85" i="955"/>
  <c r="I372" i="955" s="1"/>
  <c r="Y85" i="955"/>
  <c r="I379" i="955" s="1"/>
  <c r="AN84" i="955"/>
  <c r="AK84" i="955"/>
  <c r="F366" i="955" s="1"/>
  <c r="AI84" i="955"/>
  <c r="F367" i="955" s="1"/>
  <c r="AG84" i="955"/>
  <c r="F365" i="955" s="1"/>
  <c r="AE84" i="955"/>
  <c r="I359" i="955" s="1"/>
  <c r="AD84" i="955"/>
  <c r="I360" i="955" s="1"/>
  <c r="AC84" i="955"/>
  <c r="I358" i="955" s="1"/>
  <c r="AB84" i="955"/>
  <c r="I361" i="955" s="1"/>
  <c r="AA84" i="955"/>
  <c r="I355" i="955" s="1"/>
  <c r="Z84" i="955"/>
  <c r="I357" i="955" s="1"/>
  <c r="Y84" i="955"/>
  <c r="I364" i="955" s="1"/>
  <c r="AN83" i="955"/>
  <c r="AK83" i="955"/>
  <c r="F351" i="955" s="1"/>
  <c r="AI83" i="955"/>
  <c r="F352" i="955" s="1"/>
  <c r="AG83" i="955"/>
  <c r="F350" i="955" s="1"/>
  <c r="AE83" i="955"/>
  <c r="I344" i="955" s="1"/>
  <c r="AD83" i="955"/>
  <c r="I345" i="955" s="1"/>
  <c r="AC83" i="955"/>
  <c r="I343" i="955" s="1"/>
  <c r="AB83" i="955"/>
  <c r="I346" i="955" s="1"/>
  <c r="AA83" i="955"/>
  <c r="I340" i="955" s="1"/>
  <c r="Z83" i="955"/>
  <c r="I342" i="955" s="1"/>
  <c r="Y83" i="955"/>
  <c r="I349" i="955" s="1"/>
  <c r="C83" i="955"/>
  <c r="AN82" i="955"/>
  <c r="AK82" i="955"/>
  <c r="F336" i="955" s="1"/>
  <c r="AI82" i="955"/>
  <c r="F337" i="955" s="1"/>
  <c r="AG82" i="955"/>
  <c r="F335" i="955" s="1"/>
  <c r="AE82" i="955"/>
  <c r="I329" i="955" s="1"/>
  <c r="AD82" i="955"/>
  <c r="I330" i="955" s="1"/>
  <c r="AC82" i="955"/>
  <c r="I328" i="955" s="1"/>
  <c r="AB82" i="955"/>
  <c r="I331" i="955" s="1"/>
  <c r="AA82" i="955"/>
  <c r="I325" i="955" s="1"/>
  <c r="Z82" i="955"/>
  <c r="I327" i="955" s="1"/>
  <c r="Y82" i="955"/>
  <c r="I334" i="955" s="1"/>
  <c r="AN81" i="955"/>
  <c r="AK81" i="955"/>
  <c r="F321" i="955" s="1"/>
  <c r="AI81" i="955"/>
  <c r="AG81" i="955"/>
  <c r="AE81" i="955"/>
  <c r="I314" i="955" s="1"/>
  <c r="AD81" i="955"/>
  <c r="I315" i="955" s="1"/>
  <c r="AC81" i="955"/>
  <c r="I313" i="955" s="1"/>
  <c r="AB81" i="955"/>
  <c r="I316" i="955" s="1"/>
  <c r="AA81" i="955"/>
  <c r="I310" i="955" s="1"/>
  <c r="Z81" i="955"/>
  <c r="I312" i="955" s="1"/>
  <c r="Y81" i="955"/>
  <c r="I319" i="955" s="1"/>
  <c r="N81" i="955"/>
  <c r="T80" i="955"/>
  <c r="S80" i="955"/>
  <c r="R80" i="955"/>
  <c r="Q80" i="955"/>
  <c r="N80" i="955"/>
  <c r="P79" i="955"/>
  <c r="N79" i="955"/>
  <c r="T78" i="955"/>
  <c r="S78" i="955"/>
  <c r="Q78" i="955"/>
  <c r="P78" i="955"/>
  <c r="N78" i="955"/>
  <c r="T77" i="955"/>
  <c r="S77" i="955"/>
  <c r="Q77" i="955"/>
  <c r="P77" i="955"/>
  <c r="N77" i="955"/>
  <c r="Q76" i="955"/>
  <c r="P76" i="955"/>
  <c r="N76" i="955"/>
  <c r="AB75" i="955"/>
  <c r="I916" i="955" s="1"/>
  <c r="AA75" i="955"/>
  <c r="Z75" i="955"/>
  <c r="Y75" i="955"/>
  <c r="V75" i="955"/>
  <c r="I1033" i="955" s="1"/>
  <c r="U75" i="955"/>
  <c r="I1027" i="955" s="1"/>
  <c r="T75" i="955"/>
  <c r="S75" i="955"/>
  <c r="R75" i="955"/>
  <c r="Q75" i="955"/>
  <c r="P75" i="955"/>
  <c r="N75" i="955"/>
  <c r="R74" i="955"/>
  <c r="Q74" i="955"/>
  <c r="N74" i="955"/>
  <c r="V73" i="955"/>
  <c r="U73" i="955"/>
  <c r="T73" i="955"/>
  <c r="S73" i="955"/>
  <c r="Q73" i="955"/>
  <c r="P73" i="955"/>
  <c r="N73" i="955"/>
  <c r="P72" i="955"/>
  <c r="N72" i="955"/>
  <c r="N71" i="955"/>
  <c r="N70" i="955"/>
  <c r="C70" i="955"/>
  <c r="J69" i="955"/>
  <c r="I69" i="955"/>
  <c r="N69" i="955" s="1"/>
  <c r="C69" i="955"/>
  <c r="J68" i="955"/>
  <c r="I68" i="955"/>
  <c r="N68" i="955" s="1"/>
  <c r="C68" i="955"/>
  <c r="J67" i="955"/>
  <c r="I67" i="955"/>
  <c r="C67" i="955"/>
  <c r="J66" i="955"/>
  <c r="I66" i="955"/>
  <c r="N66" i="955" s="1"/>
  <c r="C66" i="955"/>
  <c r="J65" i="955"/>
  <c r="I65" i="955"/>
  <c r="N65" i="955" s="1"/>
  <c r="C65" i="955"/>
  <c r="J64" i="955"/>
  <c r="I64" i="955"/>
  <c r="C64" i="955"/>
  <c r="J63" i="955"/>
  <c r="I63" i="955"/>
  <c r="C63" i="955"/>
  <c r="N61" i="955"/>
  <c r="L61" i="955"/>
  <c r="B61" i="955"/>
  <c r="N60" i="955"/>
  <c r="L60" i="955"/>
  <c r="B60" i="955"/>
  <c r="N59" i="955"/>
  <c r="L59" i="955"/>
  <c r="B59" i="955"/>
  <c r="N58" i="955"/>
  <c r="L58" i="955"/>
  <c r="B58" i="955"/>
  <c r="N57" i="955"/>
  <c r="L57" i="955"/>
  <c r="B57" i="955"/>
  <c r="N56" i="955"/>
  <c r="L56" i="955"/>
  <c r="B56" i="955"/>
  <c r="N55" i="955"/>
  <c r="L55" i="955"/>
  <c r="B55" i="955"/>
  <c r="N54" i="955"/>
  <c r="L54" i="955"/>
  <c r="B54" i="955"/>
  <c r="N53" i="955"/>
  <c r="L53" i="955"/>
  <c r="B53" i="955"/>
  <c r="N52" i="955"/>
  <c r="L52" i="955"/>
  <c r="B52" i="955"/>
  <c r="N51" i="955"/>
  <c r="L51" i="955"/>
  <c r="B51" i="955"/>
  <c r="N50" i="955"/>
  <c r="L50" i="955"/>
  <c r="B50" i="955"/>
  <c r="N49" i="955"/>
  <c r="L49" i="955"/>
  <c r="B49" i="955"/>
  <c r="N48" i="955"/>
  <c r="L48" i="955"/>
  <c r="B48" i="955"/>
  <c r="N47" i="955"/>
  <c r="L47" i="955"/>
  <c r="B47" i="955"/>
  <c r="N46" i="955"/>
  <c r="L46" i="955"/>
  <c r="B46" i="955"/>
  <c r="N45" i="955"/>
  <c r="L45" i="955"/>
  <c r="B45" i="955"/>
  <c r="N44" i="955"/>
  <c r="L44" i="955"/>
  <c r="B44" i="955"/>
  <c r="AY43" i="955" a="1"/>
  <c r="AY43" i="955" s="1"/>
  <c r="N43" i="955"/>
  <c r="L43" i="955"/>
  <c r="B43" i="955"/>
  <c r="AY42" i="955" a="1"/>
  <c r="AY42" i="955" s="1"/>
  <c r="N42" i="955"/>
  <c r="L42" i="955"/>
  <c r="B42" i="955"/>
  <c r="AY41" i="955" a="1"/>
  <c r="AY41" i="955" s="1"/>
  <c r="N41" i="955"/>
  <c r="L41" i="955"/>
  <c r="B41" i="955"/>
  <c r="AY40" i="955" a="1"/>
  <c r="AY40" i="955" s="1"/>
  <c r="N40" i="955"/>
  <c r="L40" i="955"/>
  <c r="B40" i="955"/>
  <c r="AY39" i="955" a="1"/>
  <c r="AY39" i="955" s="1"/>
  <c r="N39" i="955"/>
  <c r="L39" i="955"/>
  <c r="B39" i="955"/>
  <c r="AY38" i="955" a="1"/>
  <c r="AY38" i="955" s="1"/>
  <c r="N38" i="955"/>
  <c r="L38" i="955"/>
  <c r="B38" i="955"/>
  <c r="AY37" i="955" a="1"/>
  <c r="AY37" i="955" s="1"/>
  <c r="N37" i="955"/>
  <c r="L37" i="955"/>
  <c r="B37" i="955"/>
  <c r="AY36" i="955" a="1"/>
  <c r="AY36" i="955" s="1"/>
  <c r="N36" i="955"/>
  <c r="AY35" i="955" a="1"/>
  <c r="AY35" i="955" s="1"/>
  <c r="N35" i="955"/>
  <c r="L35" i="955"/>
  <c r="B35" i="955"/>
  <c r="AY34" i="955" a="1"/>
  <c r="AY34" i="955" s="1"/>
  <c r="N34" i="955"/>
  <c r="L34" i="955"/>
  <c r="B34" i="955"/>
  <c r="AY33" i="955" a="1"/>
  <c r="AY33" i="955" s="1"/>
  <c r="N33" i="955"/>
  <c r="L33" i="955"/>
  <c r="B33" i="955"/>
  <c r="AY32" i="955" a="1"/>
  <c r="AY32" i="955" s="1"/>
  <c r="N32" i="955"/>
  <c r="L32" i="955"/>
  <c r="B32" i="955"/>
  <c r="AY31" i="955" a="1"/>
  <c r="AY31" i="955" s="1"/>
  <c r="N31" i="955"/>
  <c r="L31" i="955"/>
  <c r="B31" i="955"/>
  <c r="AY30" i="955" a="1"/>
  <c r="AY30" i="955" s="1"/>
  <c r="N30" i="955"/>
  <c r="L30" i="955"/>
  <c r="B30" i="955"/>
  <c r="AY29" i="955" a="1"/>
  <c r="AY29" i="955" s="1"/>
  <c r="N29" i="955"/>
  <c r="L29" i="955"/>
  <c r="B29" i="955"/>
  <c r="AY28" i="955" a="1"/>
  <c r="AY28" i="955" s="1"/>
  <c r="N28" i="955"/>
  <c r="L28" i="955"/>
  <c r="B28" i="955"/>
  <c r="AY27" i="955" a="1"/>
  <c r="AY27" i="955" s="1"/>
  <c r="N27" i="955"/>
  <c r="L27" i="955"/>
  <c r="B27" i="955"/>
  <c r="AY26" i="955" a="1"/>
  <c r="AY26" i="955" s="1"/>
  <c r="N26" i="955"/>
  <c r="L26" i="955"/>
  <c r="B26" i="955"/>
  <c r="AY25" i="955" a="1"/>
  <c r="AY25" i="955" s="1"/>
  <c r="N25" i="955"/>
  <c r="L25" i="955"/>
  <c r="B25" i="955"/>
  <c r="AY24" i="955" a="1"/>
  <c r="AY24" i="955" s="1"/>
  <c r="AK24" i="955"/>
  <c r="AK25" i="955" s="1"/>
  <c r="N24" i="955"/>
  <c r="L24" i="955"/>
  <c r="B24" i="955"/>
  <c r="AY23" i="955" a="1"/>
  <c r="AY23" i="955" s="1"/>
  <c r="N23" i="955"/>
  <c r="L23" i="955"/>
  <c r="B23" i="955"/>
  <c r="N22" i="955"/>
  <c r="AH21" i="955"/>
  <c r="AG21" i="955"/>
  <c r="AF21" i="955" s="1"/>
  <c r="AD21" i="955"/>
  <c r="AC21" i="955"/>
  <c r="AB21" i="955"/>
  <c r="N21" i="955"/>
  <c r="L21" i="955"/>
  <c r="B21" i="955"/>
  <c r="AJ20" i="955"/>
  <c r="AC20" i="955"/>
  <c r="T20" i="955"/>
  <c r="S20" i="955"/>
  <c r="N20" i="955"/>
  <c r="L20" i="955"/>
  <c r="B20" i="955"/>
  <c r="AC19" i="955"/>
  <c r="AF19" i="955" s="1"/>
  <c r="S19" i="955"/>
  <c r="N19" i="955"/>
  <c r="L19" i="955"/>
  <c r="B19" i="955"/>
  <c r="AC18" i="955"/>
  <c r="AF18" i="955" s="1"/>
  <c r="N18" i="955"/>
  <c r="L18" i="955"/>
  <c r="B18" i="955"/>
  <c r="AC17" i="955"/>
  <c r="AF17" i="955" s="1"/>
  <c r="N17" i="955"/>
  <c r="L17" i="955"/>
  <c r="B17" i="955"/>
  <c r="AC16" i="955"/>
  <c r="AF16" i="955" s="1"/>
  <c r="W16" i="955"/>
  <c r="V16" i="955"/>
  <c r="U16" i="955"/>
  <c r="S16" i="955"/>
  <c r="N16" i="955"/>
  <c r="L16" i="955"/>
  <c r="B16" i="955"/>
  <c r="AD15" i="955"/>
  <c r="N15" i="955"/>
  <c r="W14" i="955"/>
  <c r="V14" i="955"/>
  <c r="U14" i="955"/>
  <c r="S14" i="955"/>
  <c r="N14" i="955"/>
  <c r="L14" i="955"/>
  <c r="B14" i="955"/>
  <c r="AF13" i="955"/>
  <c r="AF12" i="955" s="1"/>
  <c r="AE13" i="955"/>
  <c r="N13" i="955"/>
  <c r="L13" i="955"/>
  <c r="B13" i="955"/>
  <c r="AY12" i="955" a="1"/>
  <c r="AY12" i="955" s="1"/>
  <c r="AE12" i="955"/>
  <c r="S12" i="955"/>
  <c r="N12" i="955"/>
  <c r="BE11" i="955" a="1"/>
  <c r="BE11" i="955" s="1"/>
  <c r="AY11" i="955" a="1"/>
  <c r="AY11" i="955" s="1"/>
  <c r="BE10" i="955" a="1"/>
  <c r="BE10" i="955" s="1"/>
  <c r="AY10" i="955" a="1"/>
  <c r="AY10" i="955" s="1"/>
  <c r="AC10" i="955"/>
  <c r="W10" i="955"/>
  <c r="T10" i="955"/>
  <c r="S10" i="955"/>
  <c r="P10" i="955"/>
  <c r="BE9" i="955" a="1"/>
  <c r="BE9" i="955" s="1"/>
  <c r="AY9" i="955" a="1"/>
  <c r="AY9" i="955" s="1"/>
  <c r="AC9" i="955"/>
  <c r="W9" i="955"/>
  <c r="T9" i="955"/>
  <c r="S9" i="955"/>
  <c r="P9" i="955"/>
  <c r="BE8" i="955" a="1"/>
  <c r="BE8" i="955" s="1"/>
  <c r="AY8" i="955" a="1"/>
  <c r="AY8" i="955" s="1"/>
  <c r="AC8" i="955"/>
  <c r="W8" i="955"/>
  <c r="T8" i="955"/>
  <c r="S8" i="955"/>
  <c r="P8" i="955"/>
  <c r="BE7" i="955" a="1"/>
  <c r="BE7" i="955" s="1"/>
  <c r="AY7" i="955" a="1"/>
  <c r="AY7" i="955" s="1"/>
  <c r="AF7" i="955" a="1"/>
  <c r="AF7" i="955" s="1"/>
  <c r="AF150" i="955" s="1"/>
  <c r="I728" i="955" s="1"/>
  <c r="AE7" i="955" a="1"/>
  <c r="AE7" i="955" s="1"/>
  <c r="AC7" i="955"/>
  <c r="BE6" i="955" a="1"/>
  <c r="BE6" i="955" s="1"/>
  <c r="AY6" i="955" a="1"/>
  <c r="AY6" i="955" s="1"/>
  <c r="AF6" i="955" a="1"/>
  <c r="AF6" i="955" s="1"/>
  <c r="AE6" i="955" a="1"/>
  <c r="AE6" i="955" s="1"/>
  <c r="AD6" i="955"/>
  <c r="AB6" i="955"/>
  <c r="AA6" i="955"/>
  <c r="W6" i="955"/>
  <c r="V6" i="955"/>
  <c r="U6" i="955"/>
  <c r="T6" i="955"/>
  <c r="S6" i="955"/>
  <c r="R6" i="955"/>
  <c r="Q6" i="955"/>
  <c r="P6" i="955"/>
  <c r="BE5" i="955" a="1"/>
  <c r="BE5" i="955" s="1"/>
  <c r="AY5" i="955" a="1"/>
  <c r="AY5" i="955" s="1"/>
  <c r="AF5" i="955" a="1"/>
  <c r="AF5" i="955" s="1"/>
  <c r="AF137" i="955" s="1"/>
  <c r="I623" i="955" s="1"/>
  <c r="AE5" i="955" a="1"/>
  <c r="AE5" i="955" s="1"/>
  <c r="AF82" i="955" s="1"/>
  <c r="I338" i="955" s="1"/>
  <c r="AD5" i="955"/>
  <c r="AB5" i="955" s="1"/>
  <c r="AA5" i="955"/>
  <c r="P12" i="955" s="1"/>
  <c r="Q5" i="955"/>
  <c r="O5" i="955"/>
  <c r="AA4" i="955"/>
  <c r="Z4" i="955"/>
  <c r="S147" i="955" s="1"/>
  <c r="AB3" i="955"/>
  <c r="Z3" i="955"/>
  <c r="J2" i="955"/>
  <c r="G1323" i="954"/>
  <c r="H1322" i="954"/>
  <c r="G1318" i="954"/>
  <c r="H1163" i="954"/>
  <c r="H1162" i="954"/>
  <c r="H1161" i="954"/>
  <c r="H1160" i="954"/>
  <c r="H1159" i="954"/>
  <c r="H1158" i="954"/>
  <c r="H1157" i="954"/>
  <c r="H1156" i="954"/>
  <c r="H1155" i="954"/>
  <c r="H1154" i="954"/>
  <c r="H1153" i="954"/>
  <c r="H1152" i="954"/>
  <c r="H1151" i="954"/>
  <c r="H1150" i="954"/>
  <c r="H1149" i="954"/>
  <c r="H1141" i="954"/>
  <c r="I1119" i="954"/>
  <c r="I1118" i="954"/>
  <c r="I1117" i="954"/>
  <c r="I1116" i="954"/>
  <c r="I1115" i="954"/>
  <c r="I1114" i="954"/>
  <c r="I1113" i="954"/>
  <c r="I1111" i="954"/>
  <c r="I1110" i="954"/>
  <c r="I1108" i="954"/>
  <c r="I1107" i="954"/>
  <c r="I1106" i="954"/>
  <c r="I1105" i="954"/>
  <c r="I1104" i="954"/>
  <c r="I1103" i="954"/>
  <c r="I1102" i="954"/>
  <c r="I1101" i="954"/>
  <c r="I1100" i="954"/>
  <c r="I1099" i="954"/>
  <c r="I1098" i="954"/>
  <c r="I1097" i="954"/>
  <c r="I1095" i="954"/>
  <c r="I1094" i="954"/>
  <c r="I1093" i="954"/>
  <c r="I1092" i="954"/>
  <c r="I1091" i="954"/>
  <c r="I1090" i="954"/>
  <c r="I1088" i="954"/>
  <c r="I1087" i="954"/>
  <c r="I1086" i="954"/>
  <c r="I1085" i="954"/>
  <c r="I1084" i="954"/>
  <c r="I1083" i="954"/>
  <c r="I1081" i="954"/>
  <c r="I1080" i="954"/>
  <c r="I1079" i="954"/>
  <c r="G1059" i="954"/>
  <c r="G1058" i="954"/>
  <c r="G1057" i="954"/>
  <c r="G1056" i="954"/>
  <c r="G1055" i="954"/>
  <c r="G1054" i="954"/>
  <c r="G1053" i="954"/>
  <c r="G1052" i="954"/>
  <c r="G1051" i="954"/>
  <c r="G1050" i="954"/>
  <c r="G1049" i="954"/>
  <c r="G1048" i="954"/>
  <c r="I1046" i="954"/>
  <c r="I1045" i="954"/>
  <c r="I1044" i="954"/>
  <c r="I1043" i="954"/>
  <c r="I1037" i="954"/>
  <c r="G1036" i="954"/>
  <c r="G1035" i="954"/>
  <c r="G1034" i="954"/>
  <c r="G1033" i="954"/>
  <c r="G1032" i="954"/>
  <c r="G1031" i="954"/>
  <c r="G1030" i="954"/>
  <c r="G1029" i="954"/>
  <c r="G1028" i="954"/>
  <c r="G1027" i="954"/>
  <c r="I1026" i="954"/>
  <c r="I1025" i="954"/>
  <c r="I1017" i="954"/>
  <c r="I1016" i="954"/>
  <c r="I1015" i="954"/>
  <c r="I1012" i="954"/>
  <c r="I1011" i="954"/>
  <c r="I1010" i="954"/>
  <c r="I1009" i="954"/>
  <c r="I1008" i="954"/>
  <c r="I1007" i="954"/>
  <c r="I1006" i="954"/>
  <c r="I1005" i="954"/>
  <c r="I1004" i="954"/>
  <c r="I1003" i="954"/>
  <c r="I1002" i="954"/>
  <c r="I1001" i="954"/>
  <c r="I1000" i="954"/>
  <c r="I999" i="954"/>
  <c r="I998" i="954"/>
  <c r="I997" i="954"/>
  <c r="I996" i="954"/>
  <c r="I995" i="954"/>
  <c r="I994" i="954"/>
  <c r="I993" i="954"/>
  <c r="I992" i="954"/>
  <c r="I991" i="954"/>
  <c r="I990" i="954"/>
  <c r="I983" i="954"/>
  <c r="I982" i="954"/>
  <c r="I981" i="954"/>
  <c r="G981" i="954"/>
  <c r="I980" i="954"/>
  <c r="G980" i="954"/>
  <c r="I978" i="954"/>
  <c r="I977" i="954"/>
  <c r="I976" i="954"/>
  <c r="I975" i="954"/>
  <c r="I971" i="954"/>
  <c r="I979" i="954" s="1"/>
  <c r="C971" i="954"/>
  <c r="I970" i="954"/>
  <c r="I968" i="954"/>
  <c r="G935" i="954"/>
  <c r="G933" i="954"/>
  <c r="G932" i="954"/>
  <c r="G931" i="954"/>
  <c r="G930" i="954"/>
  <c r="G929" i="954"/>
  <c r="G928" i="954"/>
  <c r="I926" i="954"/>
  <c r="I925" i="954"/>
  <c r="I924" i="954"/>
  <c r="I923" i="954"/>
  <c r="I917" i="954"/>
  <c r="E917" i="954"/>
  <c r="C917" i="954"/>
  <c r="G917" i="954" s="1"/>
  <c r="G916" i="954"/>
  <c r="G915" i="954"/>
  <c r="G914" i="954"/>
  <c r="G913" i="954"/>
  <c r="G912" i="954"/>
  <c r="G911" i="954"/>
  <c r="G910" i="954"/>
  <c r="G909" i="954"/>
  <c r="G908" i="954"/>
  <c r="I888" i="954"/>
  <c r="I887" i="954"/>
  <c r="I885" i="954"/>
  <c r="I884" i="954"/>
  <c r="I883" i="954"/>
  <c r="I882" i="954"/>
  <c r="G882" i="954"/>
  <c r="I881" i="954"/>
  <c r="I879" i="954"/>
  <c r="I878" i="954"/>
  <c r="I877" i="954"/>
  <c r="I876" i="954"/>
  <c r="I875" i="954"/>
  <c r="I874" i="954"/>
  <c r="I873" i="954"/>
  <c r="I872" i="954"/>
  <c r="I871" i="954"/>
  <c r="I870" i="954"/>
  <c r="I869" i="954"/>
  <c r="I867" i="954"/>
  <c r="I866" i="954"/>
  <c r="I865" i="954"/>
  <c r="I864" i="954"/>
  <c r="I863" i="954"/>
  <c r="C863" i="954"/>
  <c r="I862" i="954"/>
  <c r="I868" i="954" s="1"/>
  <c r="C862" i="954"/>
  <c r="I861" i="954"/>
  <c r="I860" i="954"/>
  <c r="I859" i="954"/>
  <c r="I854" i="954"/>
  <c r="I853" i="954"/>
  <c r="I852" i="954"/>
  <c r="I851" i="954"/>
  <c r="I850" i="954"/>
  <c r="I849" i="954"/>
  <c r="I848" i="954"/>
  <c r="I847" i="954"/>
  <c r="I846" i="954"/>
  <c r="I845" i="954"/>
  <c r="I844" i="954"/>
  <c r="I843" i="954"/>
  <c r="I841" i="954"/>
  <c r="I840" i="954"/>
  <c r="I839" i="954"/>
  <c r="I838" i="954"/>
  <c r="I837" i="954"/>
  <c r="I835" i="954"/>
  <c r="I834" i="954"/>
  <c r="I833" i="954"/>
  <c r="I832" i="954"/>
  <c r="I831" i="954"/>
  <c r="I830" i="954"/>
  <c r="I829" i="954"/>
  <c r="I828" i="954"/>
  <c r="I827" i="954"/>
  <c r="I819" i="954"/>
  <c r="I818" i="954"/>
  <c r="I817" i="954"/>
  <c r="I816" i="954"/>
  <c r="I815" i="954"/>
  <c r="I814" i="954"/>
  <c r="I813" i="954"/>
  <c r="I812" i="954"/>
  <c r="H811" i="954"/>
  <c r="I811" i="954" s="1"/>
  <c r="H810" i="954"/>
  <c r="I810" i="954" s="1"/>
  <c r="I809" i="954"/>
  <c r="I808" i="954"/>
  <c r="I807" i="954"/>
  <c r="N790" i="954"/>
  <c r="N789" i="954"/>
  <c r="N788" i="954"/>
  <c r="L788" i="954"/>
  <c r="N787" i="954"/>
  <c r="L787" i="954"/>
  <c r="N786" i="954"/>
  <c r="L786" i="954"/>
  <c r="N785" i="954"/>
  <c r="L785" i="954"/>
  <c r="I784" i="954"/>
  <c r="L784" i="954" s="1"/>
  <c r="G784" i="954"/>
  <c r="I783" i="954"/>
  <c r="L783" i="954" s="1"/>
  <c r="G783" i="954"/>
  <c r="I782" i="954"/>
  <c r="L782" i="954" s="1"/>
  <c r="G782" i="954"/>
  <c r="I781" i="954"/>
  <c r="G781" i="954"/>
  <c r="I780" i="954"/>
  <c r="L780" i="954" s="1"/>
  <c r="G780" i="954"/>
  <c r="I779" i="954"/>
  <c r="N779" i="954" s="1"/>
  <c r="G779" i="954"/>
  <c r="I778" i="954"/>
  <c r="L778" i="954" s="1"/>
  <c r="G778" i="954"/>
  <c r="I777" i="954"/>
  <c r="G777" i="954"/>
  <c r="I776" i="954"/>
  <c r="G776" i="954"/>
  <c r="N775" i="954"/>
  <c r="L775" i="954"/>
  <c r="N773" i="954"/>
  <c r="L773" i="954"/>
  <c r="N772" i="954"/>
  <c r="L772" i="954"/>
  <c r="N771" i="954"/>
  <c r="L771" i="954"/>
  <c r="N770" i="954"/>
  <c r="L770" i="954"/>
  <c r="N769" i="954"/>
  <c r="L769" i="954"/>
  <c r="G768" i="954"/>
  <c r="N767" i="954"/>
  <c r="L767" i="954"/>
  <c r="N766" i="954"/>
  <c r="L766" i="954"/>
  <c r="N765" i="954"/>
  <c r="L765" i="954"/>
  <c r="N764" i="954"/>
  <c r="L764" i="954"/>
  <c r="N763" i="954"/>
  <c r="L763" i="954"/>
  <c r="N762" i="954"/>
  <c r="L762" i="954"/>
  <c r="N761" i="954"/>
  <c r="L761" i="954"/>
  <c r="N760" i="954"/>
  <c r="L760" i="954"/>
  <c r="C759" i="954"/>
  <c r="F758" i="954"/>
  <c r="C758" i="954"/>
  <c r="I757" i="954"/>
  <c r="N757" i="954" s="1"/>
  <c r="H757" i="954"/>
  <c r="F757" i="954"/>
  <c r="N756" i="954"/>
  <c r="L756" i="954"/>
  <c r="I755" i="954"/>
  <c r="H755" i="954"/>
  <c r="F755" i="954"/>
  <c r="G754" i="954"/>
  <c r="G753" i="954"/>
  <c r="G752" i="954"/>
  <c r="G751" i="954"/>
  <c r="G750" i="954"/>
  <c r="G749" i="954"/>
  <c r="G748" i="954"/>
  <c r="N747" i="954"/>
  <c r="L747" i="954"/>
  <c r="G746" i="954"/>
  <c r="N745" i="954"/>
  <c r="L745" i="954"/>
  <c r="C744" i="954"/>
  <c r="F743" i="954"/>
  <c r="C743" i="954"/>
  <c r="I742" i="954"/>
  <c r="L742" i="954" s="1"/>
  <c r="H742" i="954"/>
  <c r="F742" i="954"/>
  <c r="N741" i="954"/>
  <c r="L741" i="954"/>
  <c r="I740" i="954"/>
  <c r="H740" i="954"/>
  <c r="F740" i="954"/>
  <c r="G739" i="954"/>
  <c r="G738" i="954"/>
  <c r="G737" i="954"/>
  <c r="G736" i="954"/>
  <c r="G735" i="954"/>
  <c r="G734" i="954"/>
  <c r="G733" i="954"/>
  <c r="N732" i="954"/>
  <c r="L732" i="954"/>
  <c r="G731" i="954"/>
  <c r="N730" i="954"/>
  <c r="L730" i="954"/>
  <c r="C729" i="954"/>
  <c r="F728" i="954"/>
  <c r="C728" i="954"/>
  <c r="I727" i="954"/>
  <c r="H727" i="954"/>
  <c r="F727" i="954"/>
  <c r="N726" i="954"/>
  <c r="L726" i="954"/>
  <c r="I725" i="954"/>
  <c r="N725" i="954" s="1"/>
  <c r="H725" i="954"/>
  <c r="F725" i="954"/>
  <c r="G724" i="954"/>
  <c r="G723" i="954"/>
  <c r="G722" i="954"/>
  <c r="G721" i="954"/>
  <c r="G720" i="954"/>
  <c r="G719" i="954"/>
  <c r="G718" i="954"/>
  <c r="N717" i="954"/>
  <c r="L717" i="954"/>
  <c r="G716" i="954"/>
  <c r="N715" i="954"/>
  <c r="L715" i="954"/>
  <c r="C714" i="954"/>
  <c r="F713" i="954"/>
  <c r="C713" i="954"/>
  <c r="I712" i="954"/>
  <c r="L712" i="954" s="1"/>
  <c r="H712" i="954"/>
  <c r="F712" i="954"/>
  <c r="N711" i="954"/>
  <c r="L711" i="954"/>
  <c r="I710" i="954"/>
  <c r="H710" i="954"/>
  <c r="F710" i="954"/>
  <c r="G709" i="954"/>
  <c r="G708" i="954"/>
  <c r="G707" i="954"/>
  <c r="G706" i="954"/>
  <c r="G705" i="954"/>
  <c r="G704" i="954"/>
  <c r="G703" i="954"/>
  <c r="N702" i="954"/>
  <c r="L702" i="954"/>
  <c r="G701" i="954"/>
  <c r="N700" i="954"/>
  <c r="L700" i="954"/>
  <c r="C699" i="954"/>
  <c r="F698" i="954"/>
  <c r="C698" i="954"/>
  <c r="I697" i="954"/>
  <c r="L697" i="954" s="1"/>
  <c r="H697" i="954"/>
  <c r="F697" i="954"/>
  <c r="I696" i="954"/>
  <c r="H696" i="954"/>
  <c r="F696" i="954"/>
  <c r="I695" i="954"/>
  <c r="H695" i="954"/>
  <c r="F695" i="954"/>
  <c r="G694" i="954"/>
  <c r="G693" i="954"/>
  <c r="N692" i="954"/>
  <c r="L692" i="954"/>
  <c r="G691" i="954"/>
  <c r="N690" i="954"/>
  <c r="L690" i="954"/>
  <c r="N689" i="954"/>
  <c r="L689" i="954"/>
  <c r="N688" i="954"/>
  <c r="L688" i="954"/>
  <c r="N687" i="954"/>
  <c r="L687" i="954"/>
  <c r="N686" i="954"/>
  <c r="L686" i="954"/>
  <c r="N685" i="954"/>
  <c r="L685" i="954"/>
  <c r="C684" i="954"/>
  <c r="F683" i="954"/>
  <c r="C683" i="954"/>
  <c r="I682" i="954"/>
  <c r="N682" i="954" s="1"/>
  <c r="H682" i="954"/>
  <c r="F682" i="954"/>
  <c r="I681" i="954"/>
  <c r="N681" i="954" s="1"/>
  <c r="H681" i="954"/>
  <c r="F681" i="954"/>
  <c r="I680" i="954"/>
  <c r="N680" i="954" s="1"/>
  <c r="H680" i="954"/>
  <c r="F680" i="954"/>
  <c r="G679" i="954"/>
  <c r="G678" i="954"/>
  <c r="N677" i="954"/>
  <c r="L677" i="954"/>
  <c r="G676" i="954"/>
  <c r="N675" i="954"/>
  <c r="L675" i="954"/>
  <c r="N674" i="954"/>
  <c r="L674" i="954"/>
  <c r="N673" i="954"/>
  <c r="L673" i="954"/>
  <c r="N672" i="954"/>
  <c r="L672" i="954"/>
  <c r="N671" i="954"/>
  <c r="L671" i="954"/>
  <c r="N670" i="954"/>
  <c r="L670" i="954"/>
  <c r="C669" i="954"/>
  <c r="F668" i="954"/>
  <c r="C668" i="954"/>
  <c r="I667" i="954"/>
  <c r="H667" i="954"/>
  <c r="F667" i="954"/>
  <c r="I666" i="954"/>
  <c r="N666" i="954" s="1"/>
  <c r="H666" i="954"/>
  <c r="F666" i="954"/>
  <c r="I665" i="954"/>
  <c r="H665" i="954"/>
  <c r="F665" i="954"/>
  <c r="G664" i="954"/>
  <c r="G663" i="954"/>
  <c r="N662" i="954"/>
  <c r="L662" i="954"/>
  <c r="G661" i="954"/>
  <c r="N660" i="954"/>
  <c r="L660" i="954"/>
  <c r="N659" i="954"/>
  <c r="L659" i="954"/>
  <c r="N658" i="954"/>
  <c r="L658" i="954"/>
  <c r="N657" i="954"/>
  <c r="L657" i="954"/>
  <c r="N656" i="954"/>
  <c r="L656" i="954"/>
  <c r="N655" i="954"/>
  <c r="L655" i="954"/>
  <c r="C654" i="954"/>
  <c r="F653" i="954"/>
  <c r="C653" i="954"/>
  <c r="I652" i="954"/>
  <c r="H652" i="954"/>
  <c r="F652" i="954"/>
  <c r="I651" i="954"/>
  <c r="L651" i="954" s="1"/>
  <c r="H651" i="954"/>
  <c r="F651" i="954"/>
  <c r="I650" i="954"/>
  <c r="H650" i="954"/>
  <c r="F650" i="954"/>
  <c r="G649" i="954"/>
  <c r="G648" i="954"/>
  <c r="N647" i="954"/>
  <c r="L647" i="954"/>
  <c r="G646" i="954"/>
  <c r="N645" i="954"/>
  <c r="L645" i="954"/>
  <c r="N644" i="954"/>
  <c r="L644" i="954"/>
  <c r="N643" i="954"/>
  <c r="L643" i="954"/>
  <c r="N642" i="954"/>
  <c r="L642" i="954"/>
  <c r="N641" i="954"/>
  <c r="L641" i="954"/>
  <c r="N640" i="954"/>
  <c r="L640" i="954"/>
  <c r="C639" i="954"/>
  <c r="F638" i="954"/>
  <c r="C638" i="954"/>
  <c r="I637" i="954"/>
  <c r="N637" i="954" s="1"/>
  <c r="H637" i="954"/>
  <c r="F637" i="954"/>
  <c r="I636" i="954"/>
  <c r="N636" i="954" s="1"/>
  <c r="H636" i="954"/>
  <c r="F636" i="954"/>
  <c r="I635" i="954"/>
  <c r="N635" i="954" s="1"/>
  <c r="H635" i="954"/>
  <c r="F635" i="954"/>
  <c r="G634" i="954"/>
  <c r="G633" i="954"/>
  <c r="N632" i="954"/>
  <c r="L632" i="954"/>
  <c r="G631" i="954"/>
  <c r="N630" i="954"/>
  <c r="L630" i="954"/>
  <c r="N629" i="954"/>
  <c r="L629" i="954"/>
  <c r="N628" i="954"/>
  <c r="L628" i="954"/>
  <c r="N627" i="954"/>
  <c r="L627" i="954"/>
  <c r="N626" i="954"/>
  <c r="L626" i="954"/>
  <c r="N625" i="954"/>
  <c r="L625" i="954"/>
  <c r="C624" i="954"/>
  <c r="F623" i="954"/>
  <c r="C623" i="954"/>
  <c r="I622" i="954"/>
  <c r="N622" i="954" s="1"/>
  <c r="H622" i="954"/>
  <c r="F622" i="954"/>
  <c r="I621" i="954"/>
  <c r="L621" i="954" s="1"/>
  <c r="H621" i="954"/>
  <c r="F621" i="954"/>
  <c r="I620" i="954"/>
  <c r="H620" i="954"/>
  <c r="F620" i="954"/>
  <c r="G619" i="954"/>
  <c r="G618" i="954"/>
  <c r="N617" i="954"/>
  <c r="L617" i="954"/>
  <c r="G616" i="954"/>
  <c r="G615" i="954"/>
  <c r="G614" i="954"/>
  <c r="G613" i="954"/>
  <c r="I612" i="954"/>
  <c r="L612" i="954" s="1"/>
  <c r="G612" i="954"/>
  <c r="N611" i="954"/>
  <c r="L611" i="954"/>
  <c r="N610" i="954"/>
  <c r="L610" i="954"/>
  <c r="C609" i="954"/>
  <c r="F608" i="954"/>
  <c r="C608" i="954"/>
  <c r="I607" i="954"/>
  <c r="H607" i="954"/>
  <c r="F607" i="954"/>
  <c r="I606" i="954"/>
  <c r="L606" i="954" s="1"/>
  <c r="H606" i="954"/>
  <c r="F606" i="954"/>
  <c r="I605" i="954"/>
  <c r="H605" i="954"/>
  <c r="F605" i="954"/>
  <c r="G604" i="954"/>
  <c r="G603" i="954"/>
  <c r="N602" i="954"/>
  <c r="L602" i="954"/>
  <c r="G601" i="954"/>
  <c r="G600" i="954"/>
  <c r="G599" i="954"/>
  <c r="G598" i="954"/>
  <c r="I597" i="954"/>
  <c r="G597" i="954"/>
  <c r="N596" i="954"/>
  <c r="L596" i="954"/>
  <c r="N595" i="954"/>
  <c r="L595" i="954"/>
  <c r="C594" i="954"/>
  <c r="F593" i="954"/>
  <c r="C593" i="954"/>
  <c r="I592" i="954"/>
  <c r="L592" i="954" s="1"/>
  <c r="H592" i="954"/>
  <c r="F592" i="954"/>
  <c r="I591" i="954"/>
  <c r="H591" i="954"/>
  <c r="F591" i="954"/>
  <c r="I590" i="954"/>
  <c r="N590" i="954" s="1"/>
  <c r="H590" i="954"/>
  <c r="F590" i="954"/>
  <c r="G589" i="954"/>
  <c r="G588" i="954"/>
  <c r="N587" i="954"/>
  <c r="L587" i="954"/>
  <c r="G586" i="954"/>
  <c r="G585" i="954"/>
  <c r="G584" i="954"/>
  <c r="G583" i="954"/>
  <c r="I582" i="954"/>
  <c r="N582" i="954" s="1"/>
  <c r="G582" i="954"/>
  <c r="N581" i="954"/>
  <c r="L581" i="954"/>
  <c r="N580" i="954"/>
  <c r="L580" i="954"/>
  <c r="C579" i="954"/>
  <c r="F578" i="954"/>
  <c r="C578" i="954"/>
  <c r="I577" i="954"/>
  <c r="H577" i="954"/>
  <c r="F577" i="954"/>
  <c r="I576" i="954"/>
  <c r="L576" i="954" s="1"/>
  <c r="H576" i="954"/>
  <c r="F576" i="954"/>
  <c r="I575" i="954"/>
  <c r="H575" i="954"/>
  <c r="F575" i="954"/>
  <c r="G574" i="954"/>
  <c r="G573" i="954"/>
  <c r="N572" i="954"/>
  <c r="L572" i="954"/>
  <c r="G571" i="954"/>
  <c r="G570" i="954"/>
  <c r="G569" i="954"/>
  <c r="G568" i="954"/>
  <c r="I567" i="954"/>
  <c r="G567" i="954"/>
  <c r="N566" i="954"/>
  <c r="L566" i="954"/>
  <c r="N565" i="954"/>
  <c r="L565" i="954"/>
  <c r="C564" i="954"/>
  <c r="F563" i="954"/>
  <c r="C563" i="954"/>
  <c r="I562" i="954"/>
  <c r="H562" i="954"/>
  <c r="F562" i="954"/>
  <c r="I561" i="954"/>
  <c r="H561" i="954"/>
  <c r="F561" i="954"/>
  <c r="I560" i="954"/>
  <c r="L560" i="954" s="1"/>
  <c r="H560" i="954"/>
  <c r="F560" i="954"/>
  <c r="G559" i="954"/>
  <c r="G558" i="954"/>
  <c r="N557" i="954"/>
  <c r="L557" i="954"/>
  <c r="G556" i="954"/>
  <c r="G555" i="954"/>
  <c r="G554" i="954"/>
  <c r="G553" i="954"/>
  <c r="I552" i="954"/>
  <c r="G552" i="954"/>
  <c r="N551" i="954"/>
  <c r="L551" i="954"/>
  <c r="N550" i="954"/>
  <c r="L550" i="954"/>
  <c r="C549" i="954"/>
  <c r="N548" i="954"/>
  <c r="L548" i="954"/>
  <c r="N547" i="954"/>
  <c r="L547" i="954"/>
  <c r="N546" i="954"/>
  <c r="L546" i="954"/>
  <c r="N545" i="954"/>
  <c r="L545" i="954"/>
  <c r="I544" i="954"/>
  <c r="L544" i="954" s="1"/>
  <c r="G544" i="954"/>
  <c r="F543" i="954"/>
  <c r="I543" i="954" s="1"/>
  <c r="I542" i="954"/>
  <c r="N542" i="954" s="1"/>
  <c r="G542" i="954"/>
  <c r="I541" i="954"/>
  <c r="L541" i="954" s="1"/>
  <c r="G541" i="954"/>
  <c r="I540" i="954"/>
  <c r="N540" i="954" s="1"/>
  <c r="G540" i="954"/>
  <c r="I539" i="954"/>
  <c r="N539" i="954" s="1"/>
  <c r="G539" i="954"/>
  <c r="I538" i="954"/>
  <c r="N538" i="954" s="1"/>
  <c r="G538" i="954"/>
  <c r="I537" i="954"/>
  <c r="L537" i="954" s="1"/>
  <c r="G537" i="954"/>
  <c r="C537" i="954"/>
  <c r="I536" i="954"/>
  <c r="G536" i="954"/>
  <c r="C536" i="954"/>
  <c r="I535" i="954"/>
  <c r="L535" i="954" s="1"/>
  <c r="G535" i="954"/>
  <c r="N533" i="954"/>
  <c r="L533" i="954"/>
  <c r="N532" i="954"/>
  <c r="L532" i="954"/>
  <c r="N531" i="954"/>
  <c r="L531" i="954"/>
  <c r="N530" i="954"/>
  <c r="L530" i="954"/>
  <c r="G529" i="954"/>
  <c r="F528" i="954"/>
  <c r="I528" i="954" s="1"/>
  <c r="N527" i="954"/>
  <c r="L527" i="954"/>
  <c r="N526" i="954"/>
  <c r="L526" i="954"/>
  <c r="G525" i="954"/>
  <c r="G524" i="954"/>
  <c r="G523" i="954"/>
  <c r="N522" i="954"/>
  <c r="L522" i="954"/>
  <c r="N521" i="954"/>
  <c r="L521" i="954"/>
  <c r="G520" i="954"/>
  <c r="C519" i="954"/>
  <c r="F518" i="954"/>
  <c r="C518" i="954"/>
  <c r="H517" i="954"/>
  <c r="N516" i="954"/>
  <c r="L516" i="954"/>
  <c r="H516" i="954"/>
  <c r="H515" i="954"/>
  <c r="G514" i="954"/>
  <c r="N513" i="954"/>
  <c r="L513" i="954"/>
  <c r="G512" i="954"/>
  <c r="G511" i="954"/>
  <c r="G510" i="954"/>
  <c r="G509" i="954"/>
  <c r="G508" i="954"/>
  <c r="G507" i="954"/>
  <c r="C507" i="954"/>
  <c r="G506" i="954"/>
  <c r="C506" i="954"/>
  <c r="N505" i="954"/>
  <c r="L505" i="954"/>
  <c r="C504" i="954"/>
  <c r="F503" i="954"/>
  <c r="C503" i="954"/>
  <c r="H502" i="954"/>
  <c r="N501" i="954"/>
  <c r="L501" i="954"/>
  <c r="H501" i="954"/>
  <c r="H500" i="954"/>
  <c r="G499" i="954"/>
  <c r="N498" i="954"/>
  <c r="L498" i="954"/>
  <c r="G497" i="954"/>
  <c r="G496" i="954"/>
  <c r="G495" i="954"/>
  <c r="G494" i="954"/>
  <c r="G493" i="954"/>
  <c r="G492" i="954"/>
  <c r="C492" i="954"/>
  <c r="G491" i="954"/>
  <c r="C491" i="954"/>
  <c r="N490" i="954"/>
  <c r="L490" i="954"/>
  <c r="C489" i="954"/>
  <c r="F488" i="954"/>
  <c r="C488" i="954"/>
  <c r="H487" i="954"/>
  <c r="N486" i="954"/>
  <c r="L486" i="954"/>
  <c r="H486" i="954"/>
  <c r="H485" i="954"/>
  <c r="G484" i="954"/>
  <c r="N483" i="954"/>
  <c r="L483" i="954"/>
  <c r="G482" i="954"/>
  <c r="G481" i="954"/>
  <c r="G480" i="954"/>
  <c r="G479" i="954"/>
  <c r="G478" i="954"/>
  <c r="G477" i="954"/>
  <c r="C477" i="954"/>
  <c r="G476" i="954"/>
  <c r="C476" i="954"/>
  <c r="N475" i="954"/>
  <c r="L475" i="954"/>
  <c r="C474" i="954"/>
  <c r="F473" i="954"/>
  <c r="C473" i="954"/>
  <c r="H472" i="954"/>
  <c r="N471" i="954"/>
  <c r="L471" i="954"/>
  <c r="H471" i="954"/>
  <c r="H470" i="954"/>
  <c r="G469" i="954"/>
  <c r="N468" i="954"/>
  <c r="L468" i="954"/>
  <c r="G467" i="954"/>
  <c r="G466" i="954"/>
  <c r="G465" i="954"/>
  <c r="G464" i="954"/>
  <c r="G463" i="954"/>
  <c r="G462" i="954"/>
  <c r="C462" i="954"/>
  <c r="G461" i="954"/>
  <c r="C461" i="954"/>
  <c r="N460" i="954"/>
  <c r="L460" i="954"/>
  <c r="C459" i="954"/>
  <c r="F458" i="954"/>
  <c r="C458" i="954"/>
  <c r="H457" i="954"/>
  <c r="N456" i="954"/>
  <c r="L456" i="954"/>
  <c r="H456" i="954"/>
  <c r="H455" i="954"/>
  <c r="G454" i="954"/>
  <c r="N453" i="954"/>
  <c r="L453" i="954"/>
  <c r="N452" i="954"/>
  <c r="L452" i="954"/>
  <c r="G451" i="954"/>
  <c r="G450" i="954"/>
  <c r="G449" i="954"/>
  <c r="G448" i="954"/>
  <c r="G447" i="954"/>
  <c r="C447" i="954"/>
  <c r="N446" i="954"/>
  <c r="L446" i="954"/>
  <c r="G445" i="954"/>
  <c r="C444" i="954"/>
  <c r="F443" i="954"/>
  <c r="C443" i="954"/>
  <c r="H442" i="954"/>
  <c r="N441" i="954"/>
  <c r="L441" i="954"/>
  <c r="H441" i="954"/>
  <c r="H440" i="954"/>
  <c r="G439" i="954"/>
  <c r="N438" i="954"/>
  <c r="L438" i="954"/>
  <c r="N437" i="954"/>
  <c r="L437" i="954"/>
  <c r="G436" i="954"/>
  <c r="G435" i="954"/>
  <c r="G434" i="954"/>
  <c r="G433" i="954"/>
  <c r="G432" i="954"/>
  <c r="C432" i="954"/>
  <c r="AQ431" i="954"/>
  <c r="AP431" i="954"/>
  <c r="N431" i="954"/>
  <c r="L431" i="954"/>
  <c r="AQ430" i="954"/>
  <c r="AP430" i="954"/>
  <c r="G430" i="954"/>
  <c r="AQ429" i="954"/>
  <c r="AP429" i="954"/>
  <c r="C429" i="954"/>
  <c r="AQ428" i="954"/>
  <c r="AP428" i="954"/>
  <c r="F428" i="954"/>
  <c r="C428" i="954"/>
  <c r="AQ427" i="954"/>
  <c r="AP427" i="954"/>
  <c r="H427" i="954"/>
  <c r="AQ426" i="954"/>
  <c r="AP426" i="954"/>
  <c r="N426" i="954"/>
  <c r="L426" i="954"/>
  <c r="H426" i="954"/>
  <c r="AQ425" i="954"/>
  <c r="AP425" i="954"/>
  <c r="H425" i="954"/>
  <c r="AQ424" i="954"/>
  <c r="AP424" i="954"/>
  <c r="G424" i="954"/>
  <c r="AQ423" i="954"/>
  <c r="AP423" i="954"/>
  <c r="N423" i="954"/>
  <c r="L423" i="954"/>
  <c r="AQ422" i="954"/>
  <c r="AP422" i="954"/>
  <c r="N422" i="954"/>
  <c r="L422" i="954"/>
  <c r="AQ421" i="954"/>
  <c r="AP421" i="954"/>
  <c r="G421" i="954"/>
  <c r="AQ420" i="954"/>
  <c r="AP420" i="954"/>
  <c r="G420" i="954"/>
  <c r="AQ419" i="954"/>
  <c r="AP419" i="954"/>
  <c r="G419" i="954"/>
  <c r="AQ418" i="954"/>
  <c r="AP418" i="954"/>
  <c r="G418" i="954"/>
  <c r="AQ417" i="954"/>
  <c r="AP417" i="954"/>
  <c r="G417" i="954"/>
  <c r="C417" i="954"/>
  <c r="AQ416" i="954"/>
  <c r="AP416" i="954"/>
  <c r="N416" i="954"/>
  <c r="L416" i="954"/>
  <c r="AQ415" i="954"/>
  <c r="AP415" i="954"/>
  <c r="G415" i="954"/>
  <c r="AQ414" i="954"/>
  <c r="AP414" i="954"/>
  <c r="C414" i="954"/>
  <c r="AQ413" i="954"/>
  <c r="AP413" i="954"/>
  <c r="F413" i="954"/>
  <c r="C413" i="954"/>
  <c r="AQ412" i="954"/>
  <c r="AP412" i="954"/>
  <c r="H412" i="954"/>
  <c r="AQ411" i="954"/>
  <c r="AP411" i="954"/>
  <c r="N411" i="954"/>
  <c r="L411" i="954"/>
  <c r="H411" i="954"/>
  <c r="AQ410" i="954"/>
  <c r="AP410" i="954"/>
  <c r="H410" i="954"/>
  <c r="AQ409" i="954"/>
  <c r="AP409" i="954"/>
  <c r="G409" i="954"/>
  <c r="AQ408" i="954"/>
  <c r="AP408" i="954"/>
  <c r="N408" i="954"/>
  <c r="L408" i="954"/>
  <c r="AQ407" i="954"/>
  <c r="AP407" i="954"/>
  <c r="N407" i="954"/>
  <c r="L407" i="954"/>
  <c r="AQ406" i="954"/>
  <c r="AP406" i="954"/>
  <c r="G406" i="954"/>
  <c r="AQ405" i="954"/>
  <c r="AP405" i="954"/>
  <c r="G405" i="954"/>
  <c r="AQ404" i="954"/>
  <c r="AP404" i="954"/>
  <c r="G404" i="954"/>
  <c r="AQ403" i="954"/>
  <c r="AP403" i="954"/>
  <c r="G403" i="954"/>
  <c r="AQ402" i="954"/>
  <c r="AP402" i="954"/>
  <c r="G402" i="954"/>
  <c r="C402" i="954"/>
  <c r="AQ401" i="954"/>
  <c r="AP401" i="954"/>
  <c r="N401" i="954"/>
  <c r="L401" i="954"/>
  <c r="AQ400" i="954"/>
  <c r="AP400" i="954"/>
  <c r="G400" i="954"/>
  <c r="AQ399" i="954"/>
  <c r="AP399" i="954"/>
  <c r="C399" i="954"/>
  <c r="AQ398" i="954"/>
  <c r="AP398" i="954"/>
  <c r="F398" i="954"/>
  <c r="C398" i="954"/>
  <c r="AQ397" i="954"/>
  <c r="AP397" i="954"/>
  <c r="H397" i="954"/>
  <c r="AQ396" i="954"/>
  <c r="AP396" i="954"/>
  <c r="N396" i="954"/>
  <c r="L396" i="954"/>
  <c r="H396" i="954"/>
  <c r="AQ395" i="954"/>
  <c r="AP395" i="954"/>
  <c r="H395" i="954"/>
  <c r="AQ394" i="954"/>
  <c r="AP394" i="954"/>
  <c r="G394" i="954"/>
  <c r="AQ393" i="954"/>
  <c r="AP393" i="954"/>
  <c r="N393" i="954"/>
  <c r="L393" i="954"/>
  <c r="AQ392" i="954"/>
  <c r="AP392" i="954"/>
  <c r="N392" i="954"/>
  <c r="L392" i="954"/>
  <c r="AQ391" i="954"/>
  <c r="AP391" i="954"/>
  <c r="G391" i="954"/>
  <c r="AQ390" i="954"/>
  <c r="AP390" i="954"/>
  <c r="G390" i="954"/>
  <c r="AQ389" i="954"/>
  <c r="AP389" i="954"/>
  <c r="G389" i="954"/>
  <c r="AQ388" i="954"/>
  <c r="AP388" i="954"/>
  <c r="G388" i="954"/>
  <c r="AQ387" i="954"/>
  <c r="AP387" i="954"/>
  <c r="G387" i="954"/>
  <c r="C387" i="954"/>
  <c r="N386" i="954"/>
  <c r="L386" i="954"/>
  <c r="G385" i="954"/>
  <c r="C384" i="954"/>
  <c r="F383" i="954"/>
  <c r="C383" i="954"/>
  <c r="H382" i="954"/>
  <c r="H381" i="954"/>
  <c r="H380" i="954"/>
  <c r="G379" i="954"/>
  <c r="N378" i="954"/>
  <c r="L378" i="954"/>
  <c r="N377" i="954"/>
  <c r="L377" i="954"/>
  <c r="G376" i="954"/>
  <c r="G375" i="954"/>
  <c r="G374" i="954"/>
  <c r="G373" i="954"/>
  <c r="G372" i="954"/>
  <c r="C372" i="954"/>
  <c r="N371" i="954"/>
  <c r="L371" i="954"/>
  <c r="G370" i="954"/>
  <c r="C369" i="954"/>
  <c r="F368" i="954"/>
  <c r="C368" i="954"/>
  <c r="H367" i="954"/>
  <c r="H366" i="954"/>
  <c r="H365" i="954"/>
  <c r="G364" i="954"/>
  <c r="N363" i="954"/>
  <c r="L363" i="954"/>
  <c r="N362" i="954"/>
  <c r="L362" i="954"/>
  <c r="G361" i="954"/>
  <c r="G360" i="954"/>
  <c r="G359" i="954"/>
  <c r="G358" i="954"/>
  <c r="G357" i="954"/>
  <c r="C357" i="954"/>
  <c r="N356" i="954"/>
  <c r="L356" i="954"/>
  <c r="G355" i="954"/>
  <c r="C354" i="954"/>
  <c r="F353" i="954"/>
  <c r="C353" i="954"/>
  <c r="H352" i="954"/>
  <c r="H351" i="954"/>
  <c r="H350" i="954"/>
  <c r="G349" i="954"/>
  <c r="N348" i="954"/>
  <c r="L348" i="954"/>
  <c r="N347" i="954"/>
  <c r="L347" i="954"/>
  <c r="G346" i="954"/>
  <c r="G345" i="954"/>
  <c r="G344" i="954"/>
  <c r="G343" i="954"/>
  <c r="G342" i="954"/>
  <c r="C342" i="954"/>
  <c r="N341" i="954"/>
  <c r="L341" i="954"/>
  <c r="G340" i="954"/>
  <c r="C339" i="954"/>
  <c r="F338" i="954"/>
  <c r="C338" i="954"/>
  <c r="H337" i="954"/>
  <c r="H336" i="954"/>
  <c r="H335" i="954"/>
  <c r="G334" i="954"/>
  <c r="N333" i="954"/>
  <c r="L333" i="954"/>
  <c r="N332" i="954"/>
  <c r="L332" i="954"/>
  <c r="G331" i="954"/>
  <c r="G330" i="954"/>
  <c r="G329" i="954"/>
  <c r="G328" i="954"/>
  <c r="G327" i="954"/>
  <c r="C327" i="954"/>
  <c r="N326" i="954"/>
  <c r="L326" i="954"/>
  <c r="G325" i="954"/>
  <c r="C324" i="954"/>
  <c r="F323" i="954"/>
  <c r="C323" i="954"/>
  <c r="H322" i="954"/>
  <c r="H321" i="954"/>
  <c r="H320" i="954"/>
  <c r="G319" i="954"/>
  <c r="N318" i="954"/>
  <c r="L318" i="954"/>
  <c r="N317" i="954"/>
  <c r="L317" i="954"/>
  <c r="G316" i="954"/>
  <c r="G315" i="954"/>
  <c r="G314" i="954"/>
  <c r="G313" i="954"/>
  <c r="G312" i="954"/>
  <c r="C312" i="954"/>
  <c r="N311" i="954"/>
  <c r="L311" i="954"/>
  <c r="G310" i="954"/>
  <c r="C309" i="954"/>
  <c r="N308" i="954"/>
  <c r="N307" i="954"/>
  <c r="N306" i="954"/>
  <c r="N305" i="954"/>
  <c r="N304" i="954"/>
  <c r="N303" i="954"/>
  <c r="N302" i="954"/>
  <c r="N301" i="954"/>
  <c r="N300" i="954"/>
  <c r="N299" i="954"/>
  <c r="E295" i="954"/>
  <c r="D295" i="954"/>
  <c r="C295" i="954"/>
  <c r="E294" i="954"/>
  <c r="D294" i="954"/>
  <c r="C294" i="954"/>
  <c r="E293" i="954"/>
  <c r="D293" i="954"/>
  <c r="C293" i="954"/>
  <c r="E292" i="954"/>
  <c r="D292" i="954"/>
  <c r="C292" i="954"/>
  <c r="E291" i="954"/>
  <c r="D291" i="954"/>
  <c r="C291" i="954"/>
  <c r="E290" i="954"/>
  <c r="D290" i="954"/>
  <c r="C290" i="954"/>
  <c r="E289" i="954"/>
  <c r="D289" i="954"/>
  <c r="C289" i="954"/>
  <c r="E288" i="954"/>
  <c r="D288" i="954"/>
  <c r="C288" i="954"/>
  <c r="E287" i="954"/>
  <c r="D287" i="954"/>
  <c r="C287" i="954"/>
  <c r="E286" i="954"/>
  <c r="D286" i="954"/>
  <c r="C286" i="954"/>
  <c r="AC285" i="954"/>
  <c r="AA285" i="954"/>
  <c r="Y285" i="954"/>
  <c r="E285" i="954"/>
  <c r="D285" i="954"/>
  <c r="C285" i="954"/>
  <c r="AC284" i="954"/>
  <c r="AA284" i="954"/>
  <c r="Y284" i="954"/>
  <c r="E284" i="954"/>
  <c r="D284" i="954"/>
  <c r="C284" i="954"/>
  <c r="AC283" i="954"/>
  <c r="AA283" i="954"/>
  <c r="Y283" i="954"/>
  <c r="E283" i="954"/>
  <c r="D283" i="954"/>
  <c r="C283" i="954"/>
  <c r="AC282" i="954"/>
  <c r="AA282" i="954"/>
  <c r="Y282" i="954"/>
  <c r="E282" i="954"/>
  <c r="D282" i="954"/>
  <c r="C282" i="954"/>
  <c r="AC281" i="954"/>
  <c r="AA281" i="954"/>
  <c r="Y281" i="954"/>
  <c r="E281" i="954"/>
  <c r="D281" i="954"/>
  <c r="C281" i="954"/>
  <c r="AC280" i="954"/>
  <c r="AA280" i="954"/>
  <c r="Y280" i="954"/>
  <c r="E280" i="954"/>
  <c r="D280" i="954"/>
  <c r="C280" i="954"/>
  <c r="AC279" i="954"/>
  <c r="AA279" i="954"/>
  <c r="Y279" i="954"/>
  <c r="E279" i="954"/>
  <c r="D279" i="954"/>
  <c r="C279" i="954"/>
  <c r="AC278" i="954"/>
  <c r="AA278" i="954"/>
  <c r="Y278" i="954"/>
  <c r="E278" i="954"/>
  <c r="D278" i="954"/>
  <c r="C278" i="954"/>
  <c r="AC277" i="954"/>
  <c r="AA277" i="954"/>
  <c r="Y277" i="954"/>
  <c r="E277" i="954"/>
  <c r="D277" i="954"/>
  <c r="C277" i="954"/>
  <c r="AC276" i="954"/>
  <c r="AA276" i="954"/>
  <c r="Y276" i="954"/>
  <c r="E276" i="954"/>
  <c r="D276" i="954"/>
  <c r="C276" i="954"/>
  <c r="AC275" i="954"/>
  <c r="AA275" i="954"/>
  <c r="Y275" i="954"/>
  <c r="E275" i="954"/>
  <c r="D275" i="954"/>
  <c r="C275" i="954"/>
  <c r="AC274" i="954"/>
  <c r="AA274" i="954"/>
  <c r="Y274" i="954"/>
  <c r="E274" i="954"/>
  <c r="D274" i="954"/>
  <c r="C274" i="954"/>
  <c r="AC273" i="954"/>
  <c r="AA273" i="954"/>
  <c r="Y273" i="954"/>
  <c r="E273" i="954"/>
  <c r="D273" i="954"/>
  <c r="C273" i="954"/>
  <c r="AC272" i="954"/>
  <c r="AA272" i="954"/>
  <c r="Y272" i="954"/>
  <c r="E272" i="954"/>
  <c r="D272" i="954"/>
  <c r="C272" i="954"/>
  <c r="AC271" i="954"/>
  <c r="AA271" i="954"/>
  <c r="Y271" i="954"/>
  <c r="E271" i="954"/>
  <c r="D271" i="954"/>
  <c r="C271" i="954"/>
  <c r="AC270" i="954"/>
  <c r="AA270" i="954"/>
  <c r="Y270" i="954"/>
  <c r="E270" i="954"/>
  <c r="D270" i="954"/>
  <c r="C270" i="954"/>
  <c r="AC269" i="954"/>
  <c r="AA269" i="954"/>
  <c r="Y269" i="954"/>
  <c r="E269" i="954"/>
  <c r="D269" i="954"/>
  <c r="C269" i="954"/>
  <c r="AC268" i="954"/>
  <c r="AA268" i="954"/>
  <c r="Y268" i="954"/>
  <c r="E268" i="954"/>
  <c r="D268" i="954"/>
  <c r="C268" i="954"/>
  <c r="AC267" i="954"/>
  <c r="AA267" i="954"/>
  <c r="Y267" i="954"/>
  <c r="E267" i="954"/>
  <c r="D267" i="954"/>
  <c r="C267" i="954"/>
  <c r="AC266" i="954"/>
  <c r="AA266" i="954"/>
  <c r="Y266" i="954"/>
  <c r="E266" i="954"/>
  <c r="D266" i="954"/>
  <c r="C266" i="954"/>
  <c r="AC265" i="954"/>
  <c r="AA265" i="954"/>
  <c r="Y265" i="954"/>
  <c r="E265" i="954"/>
  <c r="D265" i="954"/>
  <c r="C265" i="954"/>
  <c r="AC264" i="954"/>
  <c r="AA264" i="954"/>
  <c r="Y264" i="954"/>
  <c r="E264" i="954"/>
  <c r="D264" i="954"/>
  <c r="C264" i="954"/>
  <c r="AC263" i="954"/>
  <c r="AA263" i="954"/>
  <c r="Y263" i="954"/>
  <c r="E263" i="954"/>
  <c r="D263" i="954"/>
  <c r="C263" i="954"/>
  <c r="AC262" i="954"/>
  <c r="AA262" i="954"/>
  <c r="Y262" i="954"/>
  <c r="E262" i="954"/>
  <c r="D262" i="954"/>
  <c r="C262" i="954"/>
  <c r="AC261" i="954"/>
  <c r="AA261" i="954"/>
  <c r="Y261" i="954"/>
  <c r="E261" i="954"/>
  <c r="D261" i="954"/>
  <c r="C261" i="954"/>
  <c r="AC260" i="954"/>
  <c r="AA260" i="954"/>
  <c r="Y260" i="954"/>
  <c r="E260" i="954"/>
  <c r="D260" i="954"/>
  <c r="C260" i="954"/>
  <c r="AC259" i="954"/>
  <c r="AA259" i="954"/>
  <c r="Y259" i="954"/>
  <c r="E259" i="954"/>
  <c r="D259" i="954"/>
  <c r="C259" i="954"/>
  <c r="AC258" i="954"/>
  <c r="AA258" i="954"/>
  <c r="Y258" i="954"/>
  <c r="E258" i="954"/>
  <c r="D258" i="954"/>
  <c r="C258" i="954"/>
  <c r="AC257" i="954"/>
  <c r="AA257" i="954"/>
  <c r="Y257" i="954"/>
  <c r="E257" i="954"/>
  <c r="D257" i="954"/>
  <c r="C257" i="954"/>
  <c r="AC256" i="954"/>
  <c r="AA256" i="954"/>
  <c r="Y256" i="954"/>
  <c r="E256" i="954"/>
  <c r="D256" i="954"/>
  <c r="C256" i="954"/>
  <c r="AC255" i="954"/>
  <c r="AA255" i="954"/>
  <c r="Y255" i="954"/>
  <c r="E255" i="954"/>
  <c r="D255" i="954"/>
  <c r="C255" i="954"/>
  <c r="AC254" i="954"/>
  <c r="AA254" i="954"/>
  <c r="Y254" i="954"/>
  <c r="E254" i="954"/>
  <c r="D254" i="954"/>
  <c r="C254" i="954"/>
  <c r="AC253" i="954"/>
  <c r="AA253" i="954"/>
  <c r="Y253" i="954"/>
  <c r="E253" i="954"/>
  <c r="D253" i="954"/>
  <c r="C253" i="954"/>
  <c r="AC252" i="954"/>
  <c r="AA252" i="954"/>
  <c r="Y252" i="954"/>
  <c r="E252" i="954"/>
  <c r="D252" i="954"/>
  <c r="C252" i="954"/>
  <c r="AC251" i="954"/>
  <c r="AA251" i="954"/>
  <c r="Y251" i="954"/>
  <c r="E251" i="954"/>
  <c r="D251" i="954"/>
  <c r="C251" i="954"/>
  <c r="AC250" i="954"/>
  <c r="AA250" i="954"/>
  <c r="Y250" i="954"/>
  <c r="E250" i="954"/>
  <c r="D250" i="954"/>
  <c r="C250" i="954"/>
  <c r="AC249" i="954"/>
  <c r="AA249" i="954"/>
  <c r="Y249" i="954"/>
  <c r="E249" i="954"/>
  <c r="D249" i="954"/>
  <c r="C249" i="954"/>
  <c r="AC248" i="954"/>
  <c r="AA248" i="954"/>
  <c r="Y248" i="954"/>
  <c r="E248" i="954"/>
  <c r="D248" i="954"/>
  <c r="C248" i="954"/>
  <c r="AC247" i="954"/>
  <c r="AA247" i="954"/>
  <c r="Y247" i="954"/>
  <c r="E247" i="954"/>
  <c r="D247" i="954"/>
  <c r="C247" i="954"/>
  <c r="AC246" i="954"/>
  <c r="AA246" i="954"/>
  <c r="Y246" i="954"/>
  <c r="E246" i="954"/>
  <c r="D246" i="954"/>
  <c r="C246" i="954"/>
  <c r="AC245" i="954"/>
  <c r="AA245" i="954"/>
  <c r="Y245" i="954"/>
  <c r="E245" i="954"/>
  <c r="D245" i="954"/>
  <c r="C245" i="954"/>
  <c r="AC244" i="954"/>
  <c r="AA244" i="954"/>
  <c r="Y244" i="954"/>
  <c r="E244" i="954"/>
  <c r="D244" i="954"/>
  <c r="C244" i="954"/>
  <c r="AC243" i="954"/>
  <c r="AA243" i="954"/>
  <c r="Y243" i="954"/>
  <c r="E243" i="954"/>
  <c r="D243" i="954"/>
  <c r="C243" i="954"/>
  <c r="AC242" i="954"/>
  <c r="AA242" i="954"/>
  <c r="Y242" i="954"/>
  <c r="E242" i="954"/>
  <c r="D242" i="954"/>
  <c r="C242" i="954"/>
  <c r="AC241" i="954"/>
  <c r="AA241" i="954"/>
  <c r="Y241" i="954"/>
  <c r="E241" i="954"/>
  <c r="D241" i="954"/>
  <c r="C241" i="954"/>
  <c r="AC240" i="954"/>
  <c r="AA240" i="954"/>
  <c r="Y240" i="954"/>
  <c r="E240" i="954"/>
  <c r="D240" i="954"/>
  <c r="C240" i="954"/>
  <c r="AC239" i="954"/>
  <c r="AA239" i="954"/>
  <c r="Y239" i="954"/>
  <c r="E239" i="954"/>
  <c r="D239" i="954"/>
  <c r="C239" i="954"/>
  <c r="AC238" i="954"/>
  <c r="AA238" i="954"/>
  <c r="Y238" i="954"/>
  <c r="E238" i="954"/>
  <c r="D238" i="954"/>
  <c r="C238" i="954"/>
  <c r="AC237" i="954"/>
  <c r="AA237" i="954"/>
  <c r="Y237" i="954"/>
  <c r="V237" i="954"/>
  <c r="S237" i="954"/>
  <c r="P237" i="954"/>
  <c r="E237" i="954"/>
  <c r="D237" i="954"/>
  <c r="C237" i="954"/>
  <c r="AC236" i="954"/>
  <c r="AA236" i="954"/>
  <c r="Y236" i="954"/>
  <c r="V236" i="954"/>
  <c r="S236" i="954"/>
  <c r="P236" i="954"/>
  <c r="E236" i="954"/>
  <c r="D236" i="954"/>
  <c r="C236" i="954"/>
  <c r="AC235" i="954"/>
  <c r="AA235" i="954"/>
  <c r="Y235" i="954"/>
  <c r="V235" i="954"/>
  <c r="S235" i="954"/>
  <c r="P235" i="954"/>
  <c r="E235" i="954"/>
  <c r="D235" i="954"/>
  <c r="C235" i="954"/>
  <c r="AC234" i="954"/>
  <c r="AA234" i="954"/>
  <c r="Y234" i="954"/>
  <c r="V234" i="954"/>
  <c r="S234" i="954"/>
  <c r="P234" i="954"/>
  <c r="E234" i="954"/>
  <c r="D234" i="954"/>
  <c r="C234" i="954"/>
  <c r="AC233" i="954"/>
  <c r="AA233" i="954"/>
  <c r="Y233" i="954"/>
  <c r="E233" i="954"/>
  <c r="D233" i="954"/>
  <c r="C233" i="954"/>
  <c r="W232" i="954"/>
  <c r="V232" i="954"/>
  <c r="T232" i="954"/>
  <c r="S232" i="954"/>
  <c r="Q232" i="954"/>
  <c r="P232" i="954"/>
  <c r="E232" i="954"/>
  <c r="D232" i="954"/>
  <c r="C232" i="954"/>
  <c r="E231" i="954"/>
  <c r="D231" i="954"/>
  <c r="C231" i="954"/>
  <c r="AC230" i="954"/>
  <c r="AD254" i="954" s="1"/>
  <c r="AA230" i="954"/>
  <c r="AB254" i="954" s="1"/>
  <c r="Y230" i="954"/>
  <c r="Z254" i="954" s="1"/>
  <c r="E230" i="954"/>
  <c r="D230" i="954"/>
  <c r="C230" i="954"/>
  <c r="E229" i="954"/>
  <c r="D229" i="954"/>
  <c r="C229" i="954"/>
  <c r="E228" i="954"/>
  <c r="D228" i="954"/>
  <c r="C228" i="954"/>
  <c r="E227" i="954"/>
  <c r="D227" i="954"/>
  <c r="C227" i="954"/>
  <c r="E226" i="954"/>
  <c r="D226" i="954"/>
  <c r="C226" i="954"/>
  <c r="I225" i="954"/>
  <c r="B225" i="954" s="1"/>
  <c r="E225" i="954"/>
  <c r="D225" i="954"/>
  <c r="C225" i="954"/>
  <c r="N224" i="954"/>
  <c r="Y223" i="954"/>
  <c r="N223" i="954"/>
  <c r="Y222" i="954"/>
  <c r="N222" i="954"/>
  <c r="N221" i="954"/>
  <c r="N220" i="954"/>
  <c r="N219" i="954"/>
  <c r="N218" i="954"/>
  <c r="N217" i="954"/>
  <c r="J216" i="954"/>
  <c r="I216" i="954"/>
  <c r="N216" i="954" s="1"/>
  <c r="E216" i="954"/>
  <c r="D216" i="954"/>
  <c r="C216" i="954"/>
  <c r="J215" i="954"/>
  <c r="I215" i="954"/>
  <c r="N215" i="954" s="1"/>
  <c r="E215" i="954"/>
  <c r="D215" i="954"/>
  <c r="C215" i="954"/>
  <c r="J214" i="954"/>
  <c r="I214" i="954"/>
  <c r="N214" i="954" s="1"/>
  <c r="E214" i="954"/>
  <c r="D214" i="954"/>
  <c r="C214" i="954"/>
  <c r="J213" i="954"/>
  <c r="I213" i="954"/>
  <c r="N213" i="954" s="1"/>
  <c r="E213" i="954"/>
  <c r="D213" i="954"/>
  <c r="C213" i="954"/>
  <c r="J212" i="954"/>
  <c r="I212" i="954"/>
  <c r="N212" i="954" s="1"/>
  <c r="E212" i="954"/>
  <c r="D212" i="954"/>
  <c r="C212" i="954"/>
  <c r="J211" i="954"/>
  <c r="I211" i="954"/>
  <c r="N211" i="954" s="1"/>
  <c r="E211" i="954"/>
  <c r="D211" i="954"/>
  <c r="C211" i="954"/>
  <c r="J210" i="954"/>
  <c r="I210" i="954"/>
  <c r="N210" i="954" s="1"/>
  <c r="E210" i="954"/>
  <c r="D210" i="954"/>
  <c r="C210" i="954"/>
  <c r="J209" i="954"/>
  <c r="I209" i="954"/>
  <c r="N209" i="954" s="1"/>
  <c r="E209" i="954"/>
  <c r="D209" i="954"/>
  <c r="C209" i="954"/>
  <c r="J208" i="954"/>
  <c r="I208" i="954"/>
  <c r="N208" i="954" s="1"/>
  <c r="E208" i="954"/>
  <c r="D208" i="954"/>
  <c r="C208" i="954"/>
  <c r="J207" i="954"/>
  <c r="I207" i="954"/>
  <c r="N207" i="954" s="1"/>
  <c r="E207" i="954"/>
  <c r="D207" i="954"/>
  <c r="C207" i="954"/>
  <c r="J206" i="954"/>
  <c r="I206" i="954"/>
  <c r="N206" i="954" s="1"/>
  <c r="E206" i="954"/>
  <c r="D206" i="954"/>
  <c r="C206" i="954"/>
  <c r="J205" i="954"/>
  <c r="I205" i="954"/>
  <c r="N205" i="954" s="1"/>
  <c r="E205" i="954"/>
  <c r="D205" i="954"/>
  <c r="C205" i="954"/>
  <c r="J204" i="954"/>
  <c r="I204" i="954"/>
  <c r="N204" i="954" s="1"/>
  <c r="E204" i="954"/>
  <c r="D204" i="954"/>
  <c r="C204" i="954"/>
  <c r="J203" i="954"/>
  <c r="I203" i="954"/>
  <c r="N203" i="954" s="1"/>
  <c r="E203" i="954"/>
  <c r="D203" i="954"/>
  <c r="C203" i="954"/>
  <c r="J202" i="954"/>
  <c r="I202" i="954"/>
  <c r="N202" i="954" s="1"/>
  <c r="E202" i="954"/>
  <c r="D202" i="954"/>
  <c r="C202" i="954"/>
  <c r="J201" i="954"/>
  <c r="I201" i="954"/>
  <c r="N201" i="954" s="1"/>
  <c r="E201" i="954"/>
  <c r="D201" i="954"/>
  <c r="C201" i="954"/>
  <c r="J200" i="954"/>
  <c r="I200" i="954"/>
  <c r="N200" i="954" s="1"/>
  <c r="E200" i="954"/>
  <c r="D200" i="954"/>
  <c r="C200" i="954"/>
  <c r="J199" i="954"/>
  <c r="I199" i="954"/>
  <c r="N199" i="954" s="1"/>
  <c r="E199" i="954"/>
  <c r="D199" i="954"/>
  <c r="C199" i="954"/>
  <c r="J198" i="954"/>
  <c r="I198" i="954"/>
  <c r="N198" i="954" s="1"/>
  <c r="E198" i="954"/>
  <c r="D198" i="954"/>
  <c r="C198" i="954"/>
  <c r="J197" i="954"/>
  <c r="I197" i="954"/>
  <c r="N197" i="954" s="1"/>
  <c r="E197" i="954"/>
  <c r="D197" i="954"/>
  <c r="C197" i="954"/>
  <c r="J196" i="954"/>
  <c r="I196" i="954"/>
  <c r="N196" i="954" s="1"/>
  <c r="E196" i="954"/>
  <c r="D196" i="954"/>
  <c r="C196" i="954"/>
  <c r="J195" i="954"/>
  <c r="I195" i="954"/>
  <c r="N195" i="954" s="1"/>
  <c r="E195" i="954"/>
  <c r="D195" i="954"/>
  <c r="C195" i="954"/>
  <c r="J194" i="954"/>
  <c r="I194" i="954"/>
  <c r="N194" i="954" s="1"/>
  <c r="E194" i="954"/>
  <c r="D194" i="954"/>
  <c r="C194" i="954"/>
  <c r="J193" i="954"/>
  <c r="I193" i="954"/>
  <c r="N193" i="954" s="1"/>
  <c r="E193" i="954"/>
  <c r="D193" i="954"/>
  <c r="C193" i="954"/>
  <c r="J192" i="954"/>
  <c r="I192" i="954"/>
  <c r="N192" i="954" s="1"/>
  <c r="E192" i="954"/>
  <c r="D192" i="954"/>
  <c r="C192" i="954"/>
  <c r="J191" i="954"/>
  <c r="I191" i="954"/>
  <c r="N191" i="954" s="1"/>
  <c r="E191" i="954"/>
  <c r="D191" i="954"/>
  <c r="C191" i="954"/>
  <c r="J190" i="954"/>
  <c r="I190" i="954"/>
  <c r="N190" i="954" s="1"/>
  <c r="E190" i="954"/>
  <c r="D190" i="954"/>
  <c r="C190" i="954"/>
  <c r="J189" i="954"/>
  <c r="I189" i="954"/>
  <c r="N189" i="954" s="1"/>
  <c r="E189" i="954"/>
  <c r="D189" i="954"/>
  <c r="C189" i="954"/>
  <c r="J188" i="954"/>
  <c r="I188" i="954"/>
  <c r="N188" i="954" s="1"/>
  <c r="E188" i="954"/>
  <c r="D188" i="954"/>
  <c r="C188" i="954"/>
  <c r="J187" i="954"/>
  <c r="I187" i="954"/>
  <c r="N187" i="954" s="1"/>
  <c r="E187" i="954"/>
  <c r="D187" i="954"/>
  <c r="C187" i="954"/>
  <c r="AD186" i="954"/>
  <c r="AC186" i="954"/>
  <c r="I974" i="954" s="1"/>
  <c r="J186" i="954"/>
  <c r="I186" i="954"/>
  <c r="N186" i="954" s="1"/>
  <c r="E186" i="954"/>
  <c r="D186" i="954"/>
  <c r="C186" i="954"/>
  <c r="J185" i="954"/>
  <c r="I185" i="954"/>
  <c r="N185" i="954" s="1"/>
  <c r="E185" i="954"/>
  <c r="D185" i="954"/>
  <c r="C185" i="954"/>
  <c r="J184" i="954"/>
  <c r="I184" i="954"/>
  <c r="N184" i="954" s="1"/>
  <c r="E184" i="954"/>
  <c r="D184" i="954"/>
  <c r="C184" i="954"/>
  <c r="J183" i="954"/>
  <c r="I183" i="954"/>
  <c r="N183" i="954" s="1"/>
  <c r="E183" i="954"/>
  <c r="D183" i="954"/>
  <c r="C183" i="954"/>
  <c r="J182" i="954"/>
  <c r="I182" i="954"/>
  <c r="N182" i="954" s="1"/>
  <c r="E182" i="954"/>
  <c r="D182" i="954"/>
  <c r="C182" i="954"/>
  <c r="J181" i="954"/>
  <c r="I181" i="954"/>
  <c r="N181" i="954" s="1"/>
  <c r="E181" i="954"/>
  <c r="D181" i="954"/>
  <c r="C181" i="954"/>
  <c r="J180" i="954"/>
  <c r="I180" i="954"/>
  <c r="N180" i="954" s="1"/>
  <c r="E180" i="954"/>
  <c r="D180" i="954"/>
  <c r="C180" i="954"/>
  <c r="J179" i="954"/>
  <c r="I179" i="954"/>
  <c r="N179" i="954" s="1"/>
  <c r="E179" i="954"/>
  <c r="D179" i="954"/>
  <c r="C179" i="954"/>
  <c r="J178" i="954"/>
  <c r="I178" i="954"/>
  <c r="N178" i="954" s="1"/>
  <c r="E178" i="954"/>
  <c r="D178" i="954"/>
  <c r="C178" i="954"/>
  <c r="J177" i="954"/>
  <c r="I177" i="954"/>
  <c r="N177" i="954" s="1"/>
  <c r="E177" i="954"/>
  <c r="D177" i="954"/>
  <c r="C177" i="954"/>
  <c r="V176" i="954"/>
  <c r="S176" i="954"/>
  <c r="J176" i="954"/>
  <c r="I176" i="954"/>
  <c r="N176" i="954" s="1"/>
  <c r="E176" i="954"/>
  <c r="D176" i="954"/>
  <c r="C176" i="954"/>
  <c r="V175" i="954"/>
  <c r="S175" i="954"/>
  <c r="J175" i="954"/>
  <c r="I175" i="954"/>
  <c r="N175" i="954" s="1"/>
  <c r="E175" i="954"/>
  <c r="D175" i="954"/>
  <c r="C175" i="954"/>
  <c r="V174" i="954"/>
  <c r="S174" i="954"/>
  <c r="J174" i="954"/>
  <c r="I174" i="954"/>
  <c r="N174" i="954" s="1"/>
  <c r="E174" i="954"/>
  <c r="D174" i="954"/>
  <c r="C174" i="954"/>
  <c r="V173" i="954"/>
  <c r="S173" i="954"/>
  <c r="J173" i="954"/>
  <c r="I173" i="954"/>
  <c r="N173" i="954" s="1"/>
  <c r="E173" i="954"/>
  <c r="D173" i="954"/>
  <c r="C173" i="954"/>
  <c r="V172" i="954"/>
  <c r="S172" i="954"/>
  <c r="J172" i="954"/>
  <c r="I172" i="954"/>
  <c r="N172" i="954" s="1"/>
  <c r="E172" i="954"/>
  <c r="D172" i="954"/>
  <c r="C172" i="954"/>
  <c r="J171" i="954"/>
  <c r="I171" i="954"/>
  <c r="N171" i="954" s="1"/>
  <c r="E171" i="954"/>
  <c r="D171" i="954"/>
  <c r="C171" i="954"/>
  <c r="R170" i="954"/>
  <c r="T170" i="954" s="1"/>
  <c r="J170" i="954"/>
  <c r="I170" i="954"/>
  <c r="N170" i="954" s="1"/>
  <c r="E170" i="954"/>
  <c r="D170" i="954"/>
  <c r="C170" i="954"/>
  <c r="J169" i="954"/>
  <c r="I169" i="954"/>
  <c r="N169" i="954" s="1"/>
  <c r="E169" i="954"/>
  <c r="D169" i="954"/>
  <c r="C169" i="954"/>
  <c r="J168" i="954"/>
  <c r="I168" i="954"/>
  <c r="N168" i="954" s="1"/>
  <c r="E168" i="954"/>
  <c r="D168" i="954"/>
  <c r="C168" i="954"/>
  <c r="J167" i="954"/>
  <c r="I167" i="954"/>
  <c r="N167" i="954" s="1"/>
  <c r="E167" i="954"/>
  <c r="D167" i="954"/>
  <c r="C167" i="954"/>
  <c r="J166" i="954"/>
  <c r="I166" i="954"/>
  <c r="N166" i="954" s="1"/>
  <c r="E166" i="954"/>
  <c r="D166" i="954"/>
  <c r="C166" i="954"/>
  <c r="J165" i="954"/>
  <c r="I165" i="954"/>
  <c r="N165" i="954" s="1"/>
  <c r="E165" i="954"/>
  <c r="D165" i="954"/>
  <c r="C165" i="954"/>
  <c r="J164" i="954"/>
  <c r="I164" i="954"/>
  <c r="N164" i="954" s="1"/>
  <c r="E164" i="954"/>
  <c r="D164" i="954"/>
  <c r="C164" i="954"/>
  <c r="R163" i="954"/>
  <c r="P163" i="954"/>
  <c r="J163" i="954"/>
  <c r="I163" i="954"/>
  <c r="N163" i="954" s="1"/>
  <c r="E163" i="954"/>
  <c r="D163" i="954"/>
  <c r="C163" i="954"/>
  <c r="R162" i="954"/>
  <c r="P162" i="954"/>
  <c r="J162" i="954"/>
  <c r="I162" i="954"/>
  <c r="N162" i="954" s="1"/>
  <c r="E162" i="954"/>
  <c r="D162" i="954"/>
  <c r="C162" i="954"/>
  <c r="T161" i="954"/>
  <c r="R161" i="954"/>
  <c r="P161" i="954"/>
  <c r="J161" i="954"/>
  <c r="I161" i="954"/>
  <c r="N161" i="954" s="1"/>
  <c r="E161" i="954"/>
  <c r="D161" i="954"/>
  <c r="C161" i="954"/>
  <c r="P160" i="954"/>
  <c r="C774" i="954" s="1"/>
  <c r="J160" i="954"/>
  <c r="I160" i="954"/>
  <c r="E160" i="954"/>
  <c r="D160" i="954"/>
  <c r="C160" i="954"/>
  <c r="J159" i="954"/>
  <c r="I159" i="954"/>
  <c r="N159" i="954" s="1"/>
  <c r="E159" i="954"/>
  <c r="D159" i="954"/>
  <c r="C159" i="954"/>
  <c r="J158" i="954"/>
  <c r="I158" i="954"/>
  <c r="N158" i="954" s="1"/>
  <c r="E158" i="954"/>
  <c r="D158" i="954"/>
  <c r="C158" i="954"/>
  <c r="J157" i="954"/>
  <c r="I157" i="954"/>
  <c r="N157" i="954" s="1"/>
  <c r="E157" i="954"/>
  <c r="D157" i="954"/>
  <c r="C157" i="954"/>
  <c r="Z156" i="954"/>
  <c r="I768" i="954" s="1"/>
  <c r="S156" i="954"/>
  <c r="J156" i="954"/>
  <c r="I156" i="954"/>
  <c r="N156" i="954" s="1"/>
  <c r="E156" i="954"/>
  <c r="D156" i="954"/>
  <c r="C156" i="954"/>
  <c r="J155" i="954"/>
  <c r="I155" i="954"/>
  <c r="N155" i="954" s="1"/>
  <c r="E155" i="954"/>
  <c r="D155" i="954"/>
  <c r="C155" i="954"/>
  <c r="T154" i="954"/>
  <c r="S154" i="954"/>
  <c r="J154" i="954"/>
  <c r="I154" i="954"/>
  <c r="N154" i="954" s="1"/>
  <c r="E154" i="954"/>
  <c r="D154" i="954"/>
  <c r="C154" i="954"/>
  <c r="R153" i="954"/>
  <c r="J153" i="954"/>
  <c r="I153" i="954"/>
  <c r="N153" i="954" s="1"/>
  <c r="E153" i="954"/>
  <c r="D153" i="954"/>
  <c r="C153" i="954"/>
  <c r="AN152" i="954"/>
  <c r="AD152" i="954"/>
  <c r="I749" i="954" s="1"/>
  <c r="AC152" i="954"/>
  <c r="I750" i="954" s="1"/>
  <c r="AB152" i="954"/>
  <c r="I748" i="954" s="1"/>
  <c r="AA152" i="954"/>
  <c r="Z152" i="954"/>
  <c r="I753" i="954" s="1"/>
  <c r="Y152" i="954"/>
  <c r="J152" i="954"/>
  <c r="I152" i="954"/>
  <c r="N152" i="954" s="1"/>
  <c r="E152" i="954"/>
  <c r="D152" i="954"/>
  <c r="C152" i="954"/>
  <c r="AN151" i="954"/>
  <c r="AD151" i="954"/>
  <c r="I734" i="954" s="1"/>
  <c r="AC151" i="954"/>
  <c r="I735" i="954" s="1"/>
  <c r="AB151" i="954"/>
  <c r="I733" i="954" s="1"/>
  <c r="AA151" i="954"/>
  <c r="Z151" i="954"/>
  <c r="I738" i="954" s="1"/>
  <c r="Y151" i="954"/>
  <c r="I739" i="954" s="1"/>
  <c r="J151" i="954"/>
  <c r="I151" i="954"/>
  <c r="E151" i="954"/>
  <c r="D151" i="954"/>
  <c r="C151" i="954"/>
  <c r="AN150" i="954"/>
  <c r="AD150" i="954"/>
  <c r="I719" i="954" s="1"/>
  <c r="AC150" i="954"/>
  <c r="I720" i="954" s="1"/>
  <c r="AB150" i="954"/>
  <c r="I718" i="954" s="1"/>
  <c r="AA150" i="954"/>
  <c r="Z150" i="954"/>
  <c r="I723" i="954" s="1"/>
  <c r="Y150" i="954"/>
  <c r="I724" i="954" s="1"/>
  <c r="J150" i="954"/>
  <c r="I150" i="954"/>
  <c r="N150" i="954" s="1"/>
  <c r="E150" i="954"/>
  <c r="D150" i="954"/>
  <c r="C150" i="954"/>
  <c r="AN149" i="954"/>
  <c r="AD149" i="954"/>
  <c r="I704" i="954" s="1"/>
  <c r="AC149" i="954"/>
  <c r="I705" i="954" s="1"/>
  <c r="AB149" i="954"/>
  <c r="I703" i="954" s="1"/>
  <c r="AA149" i="954"/>
  <c r="Z149" i="954"/>
  <c r="I708" i="954" s="1"/>
  <c r="Y149" i="954"/>
  <c r="I709" i="954" s="1"/>
  <c r="J149" i="954"/>
  <c r="I149" i="954"/>
  <c r="N149" i="954" s="1"/>
  <c r="E149" i="954"/>
  <c r="D149" i="954"/>
  <c r="C149" i="954"/>
  <c r="J148" i="954"/>
  <c r="I148" i="954"/>
  <c r="N148" i="954" s="1"/>
  <c r="E148" i="954"/>
  <c r="D148" i="954"/>
  <c r="C148" i="954"/>
  <c r="T147" i="954"/>
  <c r="Q147" i="954"/>
  <c r="J147" i="954"/>
  <c r="I147" i="954"/>
  <c r="E147" i="954"/>
  <c r="D147" i="954"/>
  <c r="C147" i="954"/>
  <c r="Q146" i="954"/>
  <c r="J146" i="954"/>
  <c r="I146" i="954"/>
  <c r="N146" i="954" s="1"/>
  <c r="E146" i="954"/>
  <c r="D146" i="954"/>
  <c r="C146" i="954"/>
  <c r="AN145" i="954"/>
  <c r="Z145" i="954"/>
  <c r="I693" i="954" s="1"/>
  <c r="Y145" i="954"/>
  <c r="I694" i="954" s="1"/>
  <c r="J145" i="954"/>
  <c r="I145" i="954"/>
  <c r="E145" i="954"/>
  <c r="D145" i="954"/>
  <c r="C145" i="954"/>
  <c r="AN144" i="954"/>
  <c r="Z144" i="954"/>
  <c r="I678" i="954" s="1"/>
  <c r="Y144" i="954"/>
  <c r="I679" i="954" s="1"/>
  <c r="J144" i="954"/>
  <c r="I144" i="954"/>
  <c r="N144" i="954" s="1"/>
  <c r="E144" i="954"/>
  <c r="D144" i="954"/>
  <c r="C144" i="954"/>
  <c r="AN143" i="954"/>
  <c r="Z143" i="954"/>
  <c r="I663" i="954" s="1"/>
  <c r="Y143" i="954"/>
  <c r="J143" i="954"/>
  <c r="I143" i="954"/>
  <c r="N143" i="954" s="1"/>
  <c r="E143" i="954"/>
  <c r="D143" i="954"/>
  <c r="C143" i="954"/>
  <c r="AN142" i="954"/>
  <c r="Z142" i="954"/>
  <c r="I648" i="954" s="1"/>
  <c r="Y142" i="954"/>
  <c r="I649" i="954" s="1"/>
  <c r="J142" i="954"/>
  <c r="I142" i="954"/>
  <c r="N142" i="954" s="1"/>
  <c r="E142" i="954"/>
  <c r="D142" i="954"/>
  <c r="C142" i="954"/>
  <c r="AN141" i="954"/>
  <c r="Z141" i="954"/>
  <c r="I633" i="954" s="1"/>
  <c r="Y141" i="954"/>
  <c r="I634" i="954" s="1"/>
  <c r="J141" i="954"/>
  <c r="I141" i="954"/>
  <c r="N141" i="954" s="1"/>
  <c r="E141" i="954"/>
  <c r="D141" i="954"/>
  <c r="C141" i="954"/>
  <c r="J140" i="954"/>
  <c r="I140" i="954"/>
  <c r="N140" i="954" s="1"/>
  <c r="E140" i="954"/>
  <c r="D140" i="954"/>
  <c r="C140" i="954"/>
  <c r="T139" i="954"/>
  <c r="S139" i="954"/>
  <c r="R139" i="954"/>
  <c r="Q139" i="954"/>
  <c r="J139" i="954"/>
  <c r="I139" i="954"/>
  <c r="N139" i="954" s="1"/>
  <c r="E139" i="954"/>
  <c r="D139" i="954"/>
  <c r="C139" i="954"/>
  <c r="P138" i="954"/>
  <c r="J138" i="954"/>
  <c r="I138" i="954"/>
  <c r="N138" i="954" s="1"/>
  <c r="E138" i="954"/>
  <c r="D138" i="954"/>
  <c r="C138" i="954"/>
  <c r="AN137" i="954"/>
  <c r="AD137" i="954"/>
  <c r="I614" i="954" s="1"/>
  <c r="AC137" i="954"/>
  <c r="I615" i="954" s="1"/>
  <c r="AB137" i="954"/>
  <c r="I613" i="954" s="1"/>
  <c r="Z137" i="954"/>
  <c r="I618" i="954" s="1"/>
  <c r="Y137" i="954"/>
  <c r="I619" i="954" s="1"/>
  <c r="J137" i="954"/>
  <c r="I137" i="954"/>
  <c r="C137" i="954"/>
  <c r="AN136" i="954"/>
  <c r="AD136" i="954"/>
  <c r="I599" i="954" s="1"/>
  <c r="AC136" i="954"/>
  <c r="I600" i="954" s="1"/>
  <c r="AB136" i="954"/>
  <c r="I598" i="954" s="1"/>
  <c r="Z136" i="954"/>
  <c r="I603" i="954" s="1"/>
  <c r="Y136" i="954"/>
  <c r="I604" i="954" s="1"/>
  <c r="N136" i="954"/>
  <c r="AN135" i="954"/>
  <c r="AD135" i="954"/>
  <c r="I584" i="954" s="1"/>
  <c r="AC135" i="954"/>
  <c r="I585" i="954" s="1"/>
  <c r="AB135" i="954"/>
  <c r="I583" i="954" s="1"/>
  <c r="Z135" i="954"/>
  <c r="I588" i="954" s="1"/>
  <c r="Y135" i="954"/>
  <c r="I589" i="954" s="1"/>
  <c r="N135" i="954"/>
  <c r="AN134" i="954"/>
  <c r="AD134" i="954"/>
  <c r="I569" i="954" s="1"/>
  <c r="AC134" i="954"/>
  <c r="I570" i="954" s="1"/>
  <c r="AB134" i="954"/>
  <c r="I568" i="954" s="1"/>
  <c r="Z134" i="954"/>
  <c r="I573" i="954" s="1"/>
  <c r="Y134" i="954"/>
  <c r="I574" i="954" s="1"/>
  <c r="N134" i="954"/>
  <c r="AN133" i="954"/>
  <c r="AD133" i="954"/>
  <c r="I554" i="954" s="1"/>
  <c r="AC133" i="954"/>
  <c r="I555" i="954" s="1"/>
  <c r="AB133" i="954"/>
  <c r="I553" i="954" s="1"/>
  <c r="Z133" i="954"/>
  <c r="I558" i="954" s="1"/>
  <c r="Y133" i="954"/>
  <c r="I559" i="954" s="1"/>
  <c r="N133" i="954"/>
  <c r="N132" i="954"/>
  <c r="T131" i="954"/>
  <c r="S131" i="954"/>
  <c r="R131" i="954"/>
  <c r="Q131" i="954"/>
  <c r="N131" i="954"/>
  <c r="P130" i="954"/>
  <c r="N130" i="954"/>
  <c r="N129" i="954"/>
  <c r="C126" i="954"/>
  <c r="C123" i="954"/>
  <c r="N125" i="954" s="1"/>
  <c r="C120" i="954"/>
  <c r="N122" i="954" s="1"/>
  <c r="N119" i="954"/>
  <c r="N118" i="954"/>
  <c r="N117" i="954"/>
  <c r="N116" i="954"/>
  <c r="F116" i="954"/>
  <c r="C116" i="954" s="1"/>
  <c r="U111" i="954"/>
  <c r="U110" i="954"/>
  <c r="T106" i="954"/>
  <c r="R106" i="954"/>
  <c r="P106" i="954"/>
  <c r="C106" i="954"/>
  <c r="T105" i="954"/>
  <c r="R105" i="954"/>
  <c r="P105" i="954"/>
  <c r="C105" i="954"/>
  <c r="T104" i="954"/>
  <c r="R104" i="954"/>
  <c r="P104" i="954"/>
  <c r="C104" i="954"/>
  <c r="P103" i="954"/>
  <c r="C534" i="954" s="1"/>
  <c r="C103" i="954"/>
  <c r="F103" i="954" s="1"/>
  <c r="C102" i="954"/>
  <c r="F102" i="954" s="1"/>
  <c r="AN101" i="954"/>
  <c r="AC101" i="954"/>
  <c r="I524" i="954" s="1"/>
  <c r="AB101" i="954"/>
  <c r="I525" i="954" s="1"/>
  <c r="AA101" i="954"/>
  <c r="I523" i="954" s="1"/>
  <c r="Z101" i="954"/>
  <c r="I520" i="954" s="1"/>
  <c r="Y101" i="954"/>
  <c r="I529" i="954" s="1"/>
  <c r="S100" i="954"/>
  <c r="R100" i="954"/>
  <c r="Q99" i="954"/>
  <c r="AN98" i="954"/>
  <c r="AK98" i="954"/>
  <c r="F516" i="954" s="1"/>
  <c r="AI98" i="954"/>
  <c r="F517" i="954" s="1"/>
  <c r="AG98" i="954"/>
  <c r="F515" i="954" s="1"/>
  <c r="AE98" i="954"/>
  <c r="I509" i="954" s="1"/>
  <c r="AD98" i="954"/>
  <c r="I510" i="954" s="1"/>
  <c r="AC98" i="954"/>
  <c r="I508" i="954" s="1"/>
  <c r="AB98" i="954"/>
  <c r="I511" i="954" s="1"/>
  <c r="AA98" i="954"/>
  <c r="Z98" i="954"/>
  <c r="I507" i="954" s="1"/>
  <c r="Y98" i="954"/>
  <c r="I514" i="954" s="1"/>
  <c r="AN97" i="954"/>
  <c r="AK97" i="954"/>
  <c r="F501" i="954" s="1"/>
  <c r="AI97" i="954"/>
  <c r="F502" i="954" s="1"/>
  <c r="AG97" i="954"/>
  <c r="F500" i="954" s="1"/>
  <c r="AE97" i="954"/>
  <c r="I494" i="954" s="1"/>
  <c r="AD97" i="954"/>
  <c r="I495" i="954" s="1"/>
  <c r="AC97" i="954"/>
  <c r="I493" i="954" s="1"/>
  <c r="AB97" i="954"/>
  <c r="I496" i="954" s="1"/>
  <c r="AA97" i="954"/>
  <c r="Z97" i="954"/>
  <c r="I492" i="954" s="1"/>
  <c r="Y97" i="954"/>
  <c r="I499" i="954" s="1"/>
  <c r="AN96" i="954"/>
  <c r="AK96" i="954"/>
  <c r="F486" i="954" s="1"/>
  <c r="AI96" i="954"/>
  <c r="F487" i="954" s="1"/>
  <c r="AG96" i="954"/>
  <c r="F485" i="954" s="1"/>
  <c r="AE96" i="954"/>
  <c r="I479" i="954" s="1"/>
  <c r="AD96" i="954"/>
  <c r="I480" i="954" s="1"/>
  <c r="AC96" i="954"/>
  <c r="I478" i="954" s="1"/>
  <c r="AB96" i="954"/>
  <c r="I481" i="954" s="1"/>
  <c r="AA96" i="954"/>
  <c r="Z96" i="954"/>
  <c r="I477" i="954" s="1"/>
  <c r="Y96" i="954"/>
  <c r="I484" i="954" s="1"/>
  <c r="AN95" i="954"/>
  <c r="AK95" i="954"/>
  <c r="F471" i="954" s="1"/>
  <c r="AI95" i="954"/>
  <c r="F472" i="954" s="1"/>
  <c r="AG95" i="954"/>
  <c r="AE95" i="954"/>
  <c r="I464" i="954" s="1"/>
  <c r="AD95" i="954"/>
  <c r="I465" i="954" s="1"/>
  <c r="AC95" i="954"/>
  <c r="I463" i="954" s="1"/>
  <c r="AB95" i="954"/>
  <c r="I466" i="954" s="1"/>
  <c r="AA95" i="954"/>
  <c r="Z95" i="954"/>
  <c r="I462" i="954" s="1"/>
  <c r="Y95" i="954"/>
  <c r="I469" i="954" s="1"/>
  <c r="T94" i="954"/>
  <c r="S94" i="954"/>
  <c r="R94" i="954"/>
  <c r="Q93" i="954"/>
  <c r="AN92" i="954"/>
  <c r="AK92" i="954"/>
  <c r="F456" i="954" s="1"/>
  <c r="AI92" i="954"/>
  <c r="F457" i="954" s="1"/>
  <c r="AG92" i="954"/>
  <c r="F455" i="954" s="1"/>
  <c r="AE92" i="954"/>
  <c r="I449" i="954" s="1"/>
  <c r="AD92" i="954"/>
  <c r="I450" i="954" s="1"/>
  <c r="AC92" i="954"/>
  <c r="I448" i="954" s="1"/>
  <c r="AB92" i="954"/>
  <c r="I451" i="954" s="1"/>
  <c r="AA92" i="954"/>
  <c r="I445" i="954" s="1"/>
  <c r="Z92" i="954"/>
  <c r="I447" i="954" s="1"/>
  <c r="Y92" i="954"/>
  <c r="I454" i="954" s="1"/>
  <c r="AN91" i="954"/>
  <c r="AK91" i="954"/>
  <c r="F441" i="954" s="1"/>
  <c r="AI91" i="954"/>
  <c r="F442" i="954" s="1"/>
  <c r="AG91" i="954"/>
  <c r="F440" i="954" s="1"/>
  <c r="AE91" i="954"/>
  <c r="I434" i="954" s="1"/>
  <c r="AD91" i="954"/>
  <c r="I435" i="954" s="1"/>
  <c r="AC91" i="954"/>
  <c r="I433" i="954" s="1"/>
  <c r="AB91" i="954"/>
  <c r="I436" i="954" s="1"/>
  <c r="AA91" i="954"/>
  <c r="I430" i="954" s="1"/>
  <c r="Z91" i="954"/>
  <c r="I432" i="954" s="1"/>
  <c r="Y91" i="954"/>
  <c r="I439" i="954" s="1"/>
  <c r="AN90" i="954"/>
  <c r="AK90" i="954"/>
  <c r="F426" i="954" s="1"/>
  <c r="AI90" i="954"/>
  <c r="F427" i="954" s="1"/>
  <c r="AG90" i="954"/>
  <c r="AE90" i="954"/>
  <c r="I419" i="954" s="1"/>
  <c r="AD90" i="954"/>
  <c r="I420" i="954" s="1"/>
  <c r="AC90" i="954"/>
  <c r="I418" i="954" s="1"/>
  <c r="AB90" i="954"/>
  <c r="I421" i="954" s="1"/>
  <c r="AA90" i="954"/>
  <c r="I415" i="954" s="1"/>
  <c r="Z90" i="954"/>
  <c r="I417" i="954" s="1"/>
  <c r="Y90" i="954"/>
  <c r="I424" i="954" s="1"/>
  <c r="AN89" i="954"/>
  <c r="AK89" i="954"/>
  <c r="F411" i="954" s="1"/>
  <c r="AI89" i="954"/>
  <c r="F412" i="954" s="1"/>
  <c r="AG89" i="954"/>
  <c r="F410" i="954" s="1"/>
  <c r="AE89" i="954"/>
  <c r="I404" i="954" s="1"/>
  <c r="AD89" i="954"/>
  <c r="I405" i="954" s="1"/>
  <c r="AC89" i="954"/>
  <c r="I403" i="954" s="1"/>
  <c r="AB89" i="954"/>
  <c r="I406" i="954" s="1"/>
  <c r="AA89" i="954"/>
  <c r="I400" i="954" s="1"/>
  <c r="Z89" i="954"/>
  <c r="I402" i="954" s="1"/>
  <c r="Y89" i="954"/>
  <c r="I409" i="954" s="1"/>
  <c r="AN88" i="954"/>
  <c r="AK88" i="954"/>
  <c r="F396" i="954" s="1"/>
  <c r="AI88" i="954"/>
  <c r="F397" i="954" s="1"/>
  <c r="AG88" i="954"/>
  <c r="F395" i="954" s="1"/>
  <c r="AE88" i="954"/>
  <c r="I389" i="954" s="1"/>
  <c r="AD88" i="954"/>
  <c r="I390" i="954" s="1"/>
  <c r="AC88" i="954"/>
  <c r="I388" i="954" s="1"/>
  <c r="AB88" i="954"/>
  <c r="I391" i="954" s="1"/>
  <c r="AA88" i="954"/>
  <c r="I385" i="954" s="1"/>
  <c r="Z88" i="954"/>
  <c r="I387" i="954" s="1"/>
  <c r="Y88" i="954"/>
  <c r="I394" i="954" s="1"/>
  <c r="T87" i="954"/>
  <c r="S87" i="954"/>
  <c r="R87" i="954"/>
  <c r="Q87" i="954"/>
  <c r="P86" i="954"/>
  <c r="AN85" i="954"/>
  <c r="AK85" i="954"/>
  <c r="F381" i="954" s="1"/>
  <c r="AI85" i="954"/>
  <c r="F382" i="954" s="1"/>
  <c r="AG85" i="954"/>
  <c r="F380" i="954" s="1"/>
  <c r="AE85" i="954"/>
  <c r="I374" i="954" s="1"/>
  <c r="AD85" i="954"/>
  <c r="I375" i="954" s="1"/>
  <c r="AC85" i="954"/>
  <c r="I373" i="954" s="1"/>
  <c r="AB85" i="954"/>
  <c r="I376" i="954" s="1"/>
  <c r="AA85" i="954"/>
  <c r="I370" i="954" s="1"/>
  <c r="Z85" i="954"/>
  <c r="I372" i="954" s="1"/>
  <c r="Y85" i="954"/>
  <c r="I379" i="954" s="1"/>
  <c r="AN84" i="954"/>
  <c r="AK84" i="954"/>
  <c r="F366" i="954" s="1"/>
  <c r="AI84" i="954"/>
  <c r="F367" i="954" s="1"/>
  <c r="AG84" i="954"/>
  <c r="F365" i="954" s="1"/>
  <c r="AE84" i="954"/>
  <c r="I359" i="954" s="1"/>
  <c r="AD84" i="954"/>
  <c r="I360" i="954" s="1"/>
  <c r="AC84" i="954"/>
  <c r="I358" i="954" s="1"/>
  <c r="AB84" i="954"/>
  <c r="I361" i="954" s="1"/>
  <c r="AA84" i="954"/>
  <c r="I355" i="954" s="1"/>
  <c r="Z84" i="954"/>
  <c r="I357" i="954" s="1"/>
  <c r="Y84" i="954"/>
  <c r="I364" i="954" s="1"/>
  <c r="AN83" i="954"/>
  <c r="AK83" i="954"/>
  <c r="F351" i="954" s="1"/>
  <c r="AI83" i="954"/>
  <c r="F352" i="954" s="1"/>
  <c r="AG83" i="954"/>
  <c r="F350" i="954" s="1"/>
  <c r="AE83" i="954"/>
  <c r="I344" i="954" s="1"/>
  <c r="AD83" i="954"/>
  <c r="I345" i="954" s="1"/>
  <c r="AC83" i="954"/>
  <c r="I343" i="954" s="1"/>
  <c r="AB83" i="954"/>
  <c r="I346" i="954" s="1"/>
  <c r="AA83" i="954"/>
  <c r="I340" i="954" s="1"/>
  <c r="Z83" i="954"/>
  <c r="I342" i="954" s="1"/>
  <c r="Y83" i="954"/>
  <c r="I349" i="954" s="1"/>
  <c r="C83" i="954"/>
  <c r="AN82" i="954"/>
  <c r="AK82" i="954"/>
  <c r="F336" i="954" s="1"/>
  <c r="AI82" i="954"/>
  <c r="F337" i="954" s="1"/>
  <c r="AG82" i="954"/>
  <c r="F335" i="954" s="1"/>
  <c r="AE82" i="954"/>
  <c r="I329" i="954" s="1"/>
  <c r="AD82" i="954"/>
  <c r="I330" i="954" s="1"/>
  <c r="AC82" i="954"/>
  <c r="I328" i="954" s="1"/>
  <c r="AB82" i="954"/>
  <c r="I331" i="954" s="1"/>
  <c r="AA82" i="954"/>
  <c r="I325" i="954" s="1"/>
  <c r="Z82" i="954"/>
  <c r="I327" i="954" s="1"/>
  <c r="Y82" i="954"/>
  <c r="I334" i="954" s="1"/>
  <c r="AN81" i="954"/>
  <c r="AK81" i="954"/>
  <c r="AI81" i="954"/>
  <c r="AG81" i="954"/>
  <c r="AE81" i="954"/>
  <c r="I314" i="954" s="1"/>
  <c r="AD81" i="954"/>
  <c r="I315" i="954" s="1"/>
  <c r="AC81" i="954"/>
  <c r="I313" i="954" s="1"/>
  <c r="AB81" i="954"/>
  <c r="I316" i="954" s="1"/>
  <c r="AA81" i="954"/>
  <c r="I310" i="954" s="1"/>
  <c r="Z81" i="954"/>
  <c r="I312" i="954" s="1"/>
  <c r="Y81" i="954"/>
  <c r="I319" i="954" s="1"/>
  <c r="N81" i="954"/>
  <c r="T80" i="954"/>
  <c r="S80" i="954"/>
  <c r="R80" i="954"/>
  <c r="Q80" i="954"/>
  <c r="N80" i="954"/>
  <c r="P79" i="954"/>
  <c r="N79" i="954"/>
  <c r="T78" i="954"/>
  <c r="S78" i="954"/>
  <c r="Q78" i="954"/>
  <c r="P78" i="954"/>
  <c r="N78" i="954"/>
  <c r="T77" i="954"/>
  <c r="S77" i="954"/>
  <c r="Q77" i="954"/>
  <c r="P77" i="954"/>
  <c r="N77" i="954"/>
  <c r="Q76" i="954"/>
  <c r="P76" i="954"/>
  <c r="N76" i="954"/>
  <c r="AB75" i="954"/>
  <c r="I916" i="954" s="1"/>
  <c r="AA75" i="954"/>
  <c r="Z75" i="954"/>
  <c r="Y75" i="954"/>
  <c r="AD75" i="954" s="1"/>
  <c r="V75" i="954"/>
  <c r="I1033" i="954" s="1"/>
  <c r="U75" i="954"/>
  <c r="I1027" i="954" s="1"/>
  <c r="T75" i="954"/>
  <c r="S75" i="954"/>
  <c r="R75" i="954"/>
  <c r="Q75" i="954"/>
  <c r="P75" i="954"/>
  <c r="N75" i="954"/>
  <c r="R74" i="954"/>
  <c r="Q74" i="954"/>
  <c r="N74" i="954"/>
  <c r="V73" i="954"/>
  <c r="U73" i="954"/>
  <c r="T73" i="954"/>
  <c r="S73" i="954"/>
  <c r="Q73" i="954"/>
  <c r="P73" i="954"/>
  <c r="N73" i="954"/>
  <c r="P72" i="954"/>
  <c r="N72" i="954"/>
  <c r="N71" i="954"/>
  <c r="N70" i="954"/>
  <c r="C70" i="954"/>
  <c r="J69" i="954"/>
  <c r="I69" i="954"/>
  <c r="N69" i="954" s="1"/>
  <c r="C69" i="954"/>
  <c r="J68" i="954"/>
  <c r="I68" i="954"/>
  <c r="N68" i="954" s="1"/>
  <c r="C68" i="954"/>
  <c r="J67" i="954"/>
  <c r="I67" i="954"/>
  <c r="L67" i="954" s="1"/>
  <c r="C67" i="954"/>
  <c r="J66" i="954"/>
  <c r="I66" i="954"/>
  <c r="N66" i="954" s="1"/>
  <c r="C66" i="954"/>
  <c r="J65" i="954"/>
  <c r="I65" i="954"/>
  <c r="N65" i="954" s="1"/>
  <c r="C65" i="954"/>
  <c r="J64" i="954"/>
  <c r="I64" i="954"/>
  <c r="N64" i="954" s="1"/>
  <c r="C64" i="954"/>
  <c r="J63" i="954"/>
  <c r="I63" i="954"/>
  <c r="N63" i="954" s="1"/>
  <c r="C63" i="954"/>
  <c r="N61" i="954"/>
  <c r="L61" i="954"/>
  <c r="B61" i="954"/>
  <c r="N60" i="954"/>
  <c r="L60" i="954"/>
  <c r="B60" i="954"/>
  <c r="N59" i="954"/>
  <c r="L59" i="954"/>
  <c r="B59" i="954"/>
  <c r="N58" i="954"/>
  <c r="L58" i="954"/>
  <c r="B58" i="954"/>
  <c r="N57" i="954"/>
  <c r="L57" i="954"/>
  <c r="B57" i="954"/>
  <c r="N56" i="954"/>
  <c r="L56" i="954"/>
  <c r="B56" i="954"/>
  <c r="N55" i="954"/>
  <c r="L55" i="954"/>
  <c r="B55" i="954"/>
  <c r="N54" i="954"/>
  <c r="L54" i="954"/>
  <c r="B54" i="954"/>
  <c r="N53" i="954"/>
  <c r="L53" i="954"/>
  <c r="B53" i="954"/>
  <c r="N52" i="954"/>
  <c r="L52" i="954"/>
  <c r="B52" i="954"/>
  <c r="N51" i="954"/>
  <c r="L51" i="954"/>
  <c r="B51" i="954"/>
  <c r="N50" i="954"/>
  <c r="L50" i="954"/>
  <c r="B50" i="954"/>
  <c r="N49" i="954"/>
  <c r="L49" i="954"/>
  <c r="B49" i="954"/>
  <c r="N48" i="954"/>
  <c r="L48" i="954"/>
  <c r="B48" i="954"/>
  <c r="N47" i="954"/>
  <c r="L47" i="954"/>
  <c r="B47" i="954"/>
  <c r="N46" i="954"/>
  <c r="L46" i="954"/>
  <c r="B46" i="954"/>
  <c r="N45" i="954"/>
  <c r="L45" i="954"/>
  <c r="B45" i="954"/>
  <c r="N44" i="954"/>
  <c r="L44" i="954"/>
  <c r="B44" i="954"/>
  <c r="AY43" i="954" a="1"/>
  <c r="AY43" i="954" s="1"/>
  <c r="N43" i="954"/>
  <c r="L43" i="954"/>
  <c r="B43" i="954"/>
  <c r="AY42" i="954" a="1"/>
  <c r="AY42" i="954" s="1"/>
  <c r="N42" i="954"/>
  <c r="L42" i="954"/>
  <c r="B42" i="954"/>
  <c r="AY41" i="954" a="1"/>
  <c r="AY41" i="954" s="1"/>
  <c r="N41" i="954"/>
  <c r="L41" i="954"/>
  <c r="B41" i="954"/>
  <c r="AY40" i="954" a="1"/>
  <c r="AY40" i="954" s="1"/>
  <c r="N40" i="954"/>
  <c r="L40" i="954"/>
  <c r="B40" i="954"/>
  <c r="AY39" i="954" a="1"/>
  <c r="AY39" i="954" s="1"/>
  <c r="N39" i="954"/>
  <c r="L39" i="954"/>
  <c r="B39" i="954"/>
  <c r="AY38" i="954" a="1"/>
  <c r="AY38" i="954" s="1"/>
  <c r="N38" i="954"/>
  <c r="L38" i="954"/>
  <c r="B38" i="954"/>
  <c r="AY37" i="954" a="1"/>
  <c r="AY37" i="954" s="1"/>
  <c r="N37" i="954"/>
  <c r="L37" i="954"/>
  <c r="B37" i="954"/>
  <c r="AY36" i="954" a="1"/>
  <c r="AY36" i="954" s="1"/>
  <c r="N36" i="954"/>
  <c r="AY35" i="954" a="1"/>
  <c r="AY35" i="954" s="1"/>
  <c r="N35" i="954"/>
  <c r="L35" i="954"/>
  <c r="B35" i="954"/>
  <c r="AY34" i="954" a="1"/>
  <c r="AY34" i="954" s="1"/>
  <c r="N34" i="954"/>
  <c r="L34" i="954"/>
  <c r="B34" i="954"/>
  <c r="AY33" i="954" a="1"/>
  <c r="AY33" i="954" s="1"/>
  <c r="N33" i="954"/>
  <c r="L33" i="954"/>
  <c r="B33" i="954"/>
  <c r="AY32" i="954" a="1"/>
  <c r="AY32" i="954" s="1"/>
  <c r="N32" i="954"/>
  <c r="L32" i="954"/>
  <c r="B32" i="954"/>
  <c r="AY31" i="954" a="1"/>
  <c r="AY31" i="954" s="1"/>
  <c r="N31" i="954"/>
  <c r="L31" i="954"/>
  <c r="B31" i="954"/>
  <c r="AY30" i="954" a="1"/>
  <c r="AY30" i="954" s="1"/>
  <c r="N30" i="954"/>
  <c r="L30" i="954"/>
  <c r="B30" i="954"/>
  <c r="AY29" i="954" a="1"/>
  <c r="AY29" i="954" s="1"/>
  <c r="N29" i="954"/>
  <c r="L29" i="954"/>
  <c r="B29" i="954"/>
  <c r="AY28" i="954" a="1"/>
  <c r="AY28" i="954" s="1"/>
  <c r="N28" i="954"/>
  <c r="L28" i="954"/>
  <c r="B28" i="954"/>
  <c r="AY27" i="954" a="1"/>
  <c r="AY27" i="954" s="1"/>
  <c r="N27" i="954"/>
  <c r="L27" i="954"/>
  <c r="B27" i="954"/>
  <c r="AY26" i="954" a="1"/>
  <c r="AY26" i="954" s="1"/>
  <c r="N26" i="954"/>
  <c r="L26" i="954"/>
  <c r="B26" i="954"/>
  <c r="AY25" i="954" a="1"/>
  <c r="AY25" i="954" s="1"/>
  <c r="N25" i="954"/>
  <c r="L25" i="954"/>
  <c r="B25" i="954"/>
  <c r="AY24" i="954" a="1"/>
  <c r="AY24" i="954" s="1"/>
  <c r="AK24" i="954"/>
  <c r="AK25" i="954" s="1"/>
  <c r="N24" i="954"/>
  <c r="L24" i="954"/>
  <c r="B24" i="954"/>
  <c r="AY23" i="954" a="1"/>
  <c r="AY23" i="954" s="1"/>
  <c r="N23" i="954"/>
  <c r="L23" i="954"/>
  <c r="B23" i="954"/>
  <c r="N22" i="954"/>
  <c r="AH21" i="954"/>
  <c r="AG21" i="954"/>
  <c r="AF21" i="954" s="1"/>
  <c r="AD21" i="954"/>
  <c r="AC21" i="954"/>
  <c r="AB21" i="954"/>
  <c r="N21" i="954"/>
  <c r="L21" i="954"/>
  <c r="B21" i="954"/>
  <c r="AJ20" i="954"/>
  <c r="AC20" i="954"/>
  <c r="T20" i="954"/>
  <c r="S20" i="954"/>
  <c r="N20" i="954"/>
  <c r="L20" i="954"/>
  <c r="B20" i="954"/>
  <c r="AC19" i="954"/>
  <c r="AF19" i="954" s="1"/>
  <c r="S19" i="954"/>
  <c r="N19" i="954"/>
  <c r="L19" i="954"/>
  <c r="B19" i="954"/>
  <c r="AC18" i="954"/>
  <c r="AF18" i="954" s="1"/>
  <c r="N18" i="954"/>
  <c r="L18" i="954"/>
  <c r="B18" i="954"/>
  <c r="AC17" i="954"/>
  <c r="N17" i="954"/>
  <c r="L17" i="954"/>
  <c r="B17" i="954"/>
  <c r="AC16" i="954"/>
  <c r="AF16" i="954" s="1"/>
  <c r="W16" i="954"/>
  <c r="V16" i="954"/>
  <c r="U16" i="954"/>
  <c r="S16" i="954"/>
  <c r="N16" i="954"/>
  <c r="L16" i="954"/>
  <c r="B16" i="954"/>
  <c r="AD15" i="954"/>
  <c r="N15" i="954"/>
  <c r="W14" i="954"/>
  <c r="V14" i="954"/>
  <c r="U14" i="954"/>
  <c r="S14" i="954"/>
  <c r="N14" i="954"/>
  <c r="L14" i="954"/>
  <c r="B14" i="954"/>
  <c r="AF13" i="954"/>
  <c r="AF12" i="954" s="1"/>
  <c r="AE13" i="954"/>
  <c r="N13" i="954"/>
  <c r="L13" i="954"/>
  <c r="B13" i="954"/>
  <c r="AY12" i="954" a="1"/>
  <c r="AY12" i="954" s="1"/>
  <c r="AE12" i="954"/>
  <c r="S12" i="954"/>
  <c r="N12" i="954"/>
  <c r="BE11" i="954" a="1"/>
  <c r="BE11" i="954" s="1"/>
  <c r="AY11" i="954" a="1"/>
  <c r="AY11" i="954" s="1"/>
  <c r="BE10" i="954" a="1"/>
  <c r="BE10" i="954" s="1"/>
  <c r="AY10" i="954" a="1"/>
  <c r="AY10" i="954" s="1"/>
  <c r="AC10" i="954"/>
  <c r="W10" i="954"/>
  <c r="T10" i="954"/>
  <c r="S10" i="954"/>
  <c r="P10" i="954"/>
  <c r="BE9" i="954" a="1"/>
  <c r="BE9" i="954" s="1"/>
  <c r="AY9" i="954" a="1"/>
  <c r="AY9" i="954" s="1"/>
  <c r="AC9" i="954"/>
  <c r="W9" i="954"/>
  <c r="T9" i="954"/>
  <c r="S9" i="954"/>
  <c r="P9" i="954"/>
  <c r="BE8" i="954" a="1"/>
  <c r="BE8" i="954" s="1"/>
  <c r="AY8" i="954" a="1"/>
  <c r="AY8" i="954" s="1"/>
  <c r="AC8" i="954"/>
  <c r="W8" i="954"/>
  <c r="T8" i="954"/>
  <c r="S8" i="954"/>
  <c r="P8" i="954"/>
  <c r="BE7" i="954" a="1"/>
  <c r="BE7" i="954" s="1"/>
  <c r="AY7" i="954" a="1"/>
  <c r="AY7" i="954" s="1"/>
  <c r="AF7" i="954" a="1"/>
  <c r="AF7" i="954" s="1"/>
  <c r="AF150" i="954" s="1"/>
  <c r="I728" i="954" s="1"/>
  <c r="AE7" i="954" a="1"/>
  <c r="AE7" i="954" s="1"/>
  <c r="AC7" i="954"/>
  <c r="BE6" i="954" a="1"/>
  <c r="BE6" i="954" s="1"/>
  <c r="AY6" i="954" a="1"/>
  <c r="AY6" i="954" s="1"/>
  <c r="AF6" i="954" a="1"/>
  <c r="AF6" i="954" s="1"/>
  <c r="AF143" i="954" s="1"/>
  <c r="I668" i="954" s="1"/>
  <c r="AE6" i="954" a="1"/>
  <c r="AE6" i="954" s="1"/>
  <c r="AF90" i="954" s="1"/>
  <c r="I428" i="954" s="1"/>
  <c r="AD6" i="954"/>
  <c r="AB6" i="954"/>
  <c r="AA6" i="954"/>
  <c r="W6" i="954"/>
  <c r="V6" i="954"/>
  <c r="U6" i="954"/>
  <c r="T6" i="954"/>
  <c r="S6" i="954"/>
  <c r="R6" i="954"/>
  <c r="Q6" i="954"/>
  <c r="P6" i="954"/>
  <c r="BE5" i="954" a="1"/>
  <c r="BE5" i="954" s="1"/>
  <c r="AY5" i="954" a="1"/>
  <c r="AY5" i="954" s="1"/>
  <c r="AF5" i="954" a="1"/>
  <c r="AF5" i="954" s="1"/>
  <c r="AF137" i="954" s="1"/>
  <c r="I623" i="954" s="1"/>
  <c r="AE5" i="954" a="1"/>
  <c r="AE5" i="954" s="1"/>
  <c r="AF83" i="954" s="1"/>
  <c r="I353" i="954" s="1"/>
  <c r="AD5" i="954"/>
  <c r="AB5" i="954" s="1"/>
  <c r="AA5" i="954"/>
  <c r="Q13" i="954" s="1"/>
  <c r="Q5" i="954"/>
  <c r="O5" i="954"/>
  <c r="AA4" i="954"/>
  <c r="Z4" i="954"/>
  <c r="S147" i="954" s="1"/>
  <c r="AB3" i="954"/>
  <c r="Z3" i="954"/>
  <c r="J2" i="954"/>
  <c r="G1323" i="953"/>
  <c r="H1322" i="953"/>
  <c r="G1318" i="953"/>
  <c r="H1163" i="953"/>
  <c r="H1162" i="953"/>
  <c r="H1161" i="953"/>
  <c r="H1160" i="953"/>
  <c r="H1159" i="953"/>
  <c r="H1158" i="953"/>
  <c r="H1157" i="953"/>
  <c r="H1156" i="953"/>
  <c r="H1155" i="953"/>
  <c r="H1154" i="953"/>
  <c r="H1153" i="953"/>
  <c r="H1152" i="953"/>
  <c r="H1151" i="953"/>
  <c r="H1150" i="953"/>
  <c r="H1149" i="953"/>
  <c r="H1141" i="953"/>
  <c r="I1119" i="953"/>
  <c r="I1118" i="953"/>
  <c r="I1117" i="953"/>
  <c r="I1116" i="953"/>
  <c r="I1115" i="953"/>
  <c r="I1114" i="953"/>
  <c r="I1113" i="953"/>
  <c r="I1111" i="953"/>
  <c r="I1110" i="953"/>
  <c r="I1108" i="953"/>
  <c r="I1107" i="953"/>
  <c r="I1106" i="953"/>
  <c r="I1105" i="953"/>
  <c r="I1104" i="953"/>
  <c r="I1103" i="953"/>
  <c r="I1102" i="953"/>
  <c r="I1101" i="953"/>
  <c r="I1100" i="953"/>
  <c r="I1099" i="953"/>
  <c r="I1098" i="953"/>
  <c r="I1097" i="953"/>
  <c r="I1095" i="953"/>
  <c r="I1094" i="953"/>
  <c r="I1093" i="953"/>
  <c r="I1092" i="953"/>
  <c r="I1091" i="953"/>
  <c r="I1090" i="953"/>
  <c r="I1088" i="953"/>
  <c r="I1087" i="953"/>
  <c r="I1086" i="953"/>
  <c r="I1085" i="953"/>
  <c r="I1084" i="953"/>
  <c r="I1083" i="953"/>
  <c r="I1081" i="953"/>
  <c r="I1080" i="953"/>
  <c r="I1079" i="953"/>
  <c r="G1059" i="953"/>
  <c r="G1058" i="953"/>
  <c r="G1057" i="953"/>
  <c r="G1056" i="953"/>
  <c r="G1055" i="953"/>
  <c r="G1054" i="953"/>
  <c r="G1053" i="953"/>
  <c r="G1052" i="953"/>
  <c r="G1051" i="953"/>
  <c r="G1050" i="953"/>
  <c r="G1049" i="953"/>
  <c r="G1048" i="953"/>
  <c r="I1037" i="953"/>
  <c r="G1036" i="953"/>
  <c r="G1035" i="953"/>
  <c r="G1034" i="953"/>
  <c r="G1033" i="953"/>
  <c r="G1032" i="953"/>
  <c r="G1031" i="953"/>
  <c r="G1030" i="953"/>
  <c r="G1029" i="953"/>
  <c r="G1028" i="953"/>
  <c r="G1027" i="953"/>
  <c r="I1026" i="953"/>
  <c r="I1025" i="953"/>
  <c r="I1017" i="953"/>
  <c r="I1016" i="953"/>
  <c r="I1015" i="953"/>
  <c r="I1012" i="953"/>
  <c r="I1011" i="953"/>
  <c r="I1010" i="953"/>
  <c r="I1009" i="953"/>
  <c r="I1008" i="953"/>
  <c r="I1007" i="953"/>
  <c r="I1006" i="953"/>
  <c r="I1005" i="953"/>
  <c r="I1004" i="953"/>
  <c r="I1003" i="953"/>
  <c r="I1002" i="953"/>
  <c r="I1001" i="953"/>
  <c r="I1000" i="953"/>
  <c r="I999" i="953"/>
  <c r="I998" i="953"/>
  <c r="I997" i="953"/>
  <c r="I996" i="953"/>
  <c r="I995" i="953"/>
  <c r="I994" i="953"/>
  <c r="I993" i="953"/>
  <c r="I992" i="953"/>
  <c r="I991" i="953"/>
  <c r="I990" i="953"/>
  <c r="I983" i="953"/>
  <c r="I982" i="953"/>
  <c r="I981" i="953"/>
  <c r="G981" i="953"/>
  <c r="I980" i="953"/>
  <c r="G980" i="953"/>
  <c r="I978" i="953"/>
  <c r="I977" i="953"/>
  <c r="I976" i="953"/>
  <c r="I975" i="953"/>
  <c r="I971" i="953"/>
  <c r="I979" i="953" s="1"/>
  <c r="C971" i="953"/>
  <c r="I970" i="953"/>
  <c r="I968" i="953"/>
  <c r="G935" i="953"/>
  <c r="G933" i="953"/>
  <c r="G932" i="953"/>
  <c r="G931" i="953"/>
  <c r="G930" i="953"/>
  <c r="G929" i="953"/>
  <c r="G928" i="953"/>
  <c r="I926" i="953"/>
  <c r="I925" i="953"/>
  <c r="I924" i="953"/>
  <c r="I923" i="953"/>
  <c r="I917" i="953"/>
  <c r="E917" i="953"/>
  <c r="C917" i="953"/>
  <c r="G917" i="953" s="1"/>
  <c r="G916" i="953"/>
  <c r="G915" i="953"/>
  <c r="G914" i="953"/>
  <c r="G913" i="953"/>
  <c r="G912" i="953"/>
  <c r="G911" i="953"/>
  <c r="G910" i="953"/>
  <c r="G909" i="953"/>
  <c r="G908" i="953"/>
  <c r="I888" i="953"/>
  <c r="I887" i="953"/>
  <c r="I885" i="953"/>
  <c r="I884" i="953"/>
  <c r="I883" i="953"/>
  <c r="I882" i="953"/>
  <c r="G882" i="953"/>
  <c r="I881" i="953"/>
  <c r="I879" i="953"/>
  <c r="I878" i="953"/>
  <c r="I877" i="953"/>
  <c r="I876" i="953"/>
  <c r="I875" i="953"/>
  <c r="I874" i="953"/>
  <c r="I873" i="953"/>
  <c r="I872" i="953"/>
  <c r="I871" i="953"/>
  <c r="I870" i="953"/>
  <c r="I869" i="953"/>
  <c r="I867" i="953"/>
  <c r="I866" i="953"/>
  <c r="I865" i="953"/>
  <c r="I864" i="953"/>
  <c r="I863" i="953"/>
  <c r="C863" i="953"/>
  <c r="I862" i="953"/>
  <c r="I868" i="953" s="1"/>
  <c r="C862" i="953"/>
  <c r="I861" i="953"/>
  <c r="I860" i="953"/>
  <c r="I859" i="953"/>
  <c r="I854" i="953"/>
  <c r="I853" i="953"/>
  <c r="I852" i="953"/>
  <c r="I851" i="953"/>
  <c r="I850" i="953"/>
  <c r="I849" i="953"/>
  <c r="I848" i="953"/>
  <c r="I847" i="953"/>
  <c r="I846" i="953"/>
  <c r="I845" i="953"/>
  <c r="I844" i="953"/>
  <c r="I843" i="953"/>
  <c r="I841" i="953"/>
  <c r="I840" i="953"/>
  <c r="I839" i="953"/>
  <c r="I838" i="953"/>
  <c r="I837" i="953"/>
  <c r="I835" i="953"/>
  <c r="I834" i="953"/>
  <c r="I833" i="953"/>
  <c r="I832" i="953"/>
  <c r="I831" i="953"/>
  <c r="I830" i="953"/>
  <c r="I829" i="953"/>
  <c r="I828" i="953"/>
  <c r="I827" i="953"/>
  <c r="I819" i="953"/>
  <c r="I818" i="953"/>
  <c r="I817" i="953"/>
  <c r="I816" i="953"/>
  <c r="I815" i="953"/>
  <c r="I814" i="953"/>
  <c r="I813" i="953"/>
  <c r="I812" i="953"/>
  <c r="H811" i="953"/>
  <c r="I811" i="953" s="1"/>
  <c r="H810" i="953"/>
  <c r="I810" i="953" s="1"/>
  <c r="I809" i="953"/>
  <c r="I808" i="953"/>
  <c r="I807" i="953"/>
  <c r="N790" i="953"/>
  <c r="N789" i="953"/>
  <c r="N788" i="953"/>
  <c r="L788" i="953"/>
  <c r="N787" i="953"/>
  <c r="L787" i="953"/>
  <c r="N786" i="953"/>
  <c r="L786" i="953"/>
  <c r="N785" i="953"/>
  <c r="L785" i="953"/>
  <c r="I784" i="953"/>
  <c r="G784" i="953"/>
  <c r="I783" i="953"/>
  <c r="L783" i="953" s="1"/>
  <c r="G783" i="953"/>
  <c r="I782" i="953"/>
  <c r="G782" i="953"/>
  <c r="I781" i="953"/>
  <c r="N781" i="953" s="1"/>
  <c r="G781" i="953"/>
  <c r="I780" i="953"/>
  <c r="L780" i="953" s="1"/>
  <c r="G780" i="953"/>
  <c r="I779" i="953"/>
  <c r="N779" i="953" s="1"/>
  <c r="G779" i="953"/>
  <c r="I778" i="953"/>
  <c r="G778" i="953"/>
  <c r="I777" i="953"/>
  <c r="N777" i="953" s="1"/>
  <c r="G777" i="953"/>
  <c r="I776" i="953"/>
  <c r="N776" i="953" s="1"/>
  <c r="G776" i="953"/>
  <c r="N775" i="953"/>
  <c r="L775" i="953"/>
  <c r="N773" i="953"/>
  <c r="L773" i="953"/>
  <c r="N772" i="953"/>
  <c r="L772" i="953"/>
  <c r="N771" i="953"/>
  <c r="L771" i="953"/>
  <c r="N770" i="953"/>
  <c r="L770" i="953"/>
  <c r="N769" i="953"/>
  <c r="L769" i="953"/>
  <c r="G768" i="953"/>
  <c r="N767" i="953"/>
  <c r="L767" i="953"/>
  <c r="N766" i="953"/>
  <c r="L766" i="953"/>
  <c r="N765" i="953"/>
  <c r="L765" i="953"/>
  <c r="N764" i="953"/>
  <c r="L764" i="953"/>
  <c r="N763" i="953"/>
  <c r="L763" i="953"/>
  <c r="N762" i="953"/>
  <c r="L762" i="953"/>
  <c r="N761" i="953"/>
  <c r="L761" i="953"/>
  <c r="N760" i="953"/>
  <c r="L760" i="953"/>
  <c r="C759" i="953"/>
  <c r="F758" i="953"/>
  <c r="C758" i="953"/>
  <c r="I757" i="953"/>
  <c r="N757" i="953" s="1"/>
  <c r="H757" i="953"/>
  <c r="F757" i="953"/>
  <c r="N756" i="953"/>
  <c r="L756" i="953"/>
  <c r="I755" i="953"/>
  <c r="N755" i="953" s="1"/>
  <c r="H755" i="953"/>
  <c r="F755" i="953"/>
  <c r="G754" i="953"/>
  <c r="G753" i="953"/>
  <c r="G752" i="953"/>
  <c r="G751" i="953"/>
  <c r="G750" i="953"/>
  <c r="G749" i="953"/>
  <c r="G748" i="953"/>
  <c r="N747" i="953"/>
  <c r="L747" i="953"/>
  <c r="G746" i="953"/>
  <c r="N745" i="953"/>
  <c r="L745" i="953"/>
  <c r="C744" i="953"/>
  <c r="F743" i="953"/>
  <c r="C743" i="953"/>
  <c r="I742" i="953"/>
  <c r="H742" i="953"/>
  <c r="F742" i="953"/>
  <c r="N741" i="953"/>
  <c r="L741" i="953"/>
  <c r="I740" i="953"/>
  <c r="L740" i="953" s="1"/>
  <c r="H740" i="953"/>
  <c r="F740" i="953"/>
  <c r="G739" i="953"/>
  <c r="G738" i="953"/>
  <c r="G737" i="953"/>
  <c r="G736" i="953"/>
  <c r="G735" i="953"/>
  <c r="G734" i="953"/>
  <c r="G733" i="953"/>
  <c r="N732" i="953"/>
  <c r="L732" i="953"/>
  <c r="G731" i="953"/>
  <c r="N730" i="953"/>
  <c r="L730" i="953"/>
  <c r="C729" i="953"/>
  <c r="F728" i="953"/>
  <c r="C728" i="953"/>
  <c r="I727" i="953"/>
  <c r="N727" i="953" s="1"/>
  <c r="H727" i="953"/>
  <c r="F727" i="953"/>
  <c r="N726" i="953"/>
  <c r="L726" i="953"/>
  <c r="I725" i="953"/>
  <c r="H725" i="953"/>
  <c r="F725" i="953"/>
  <c r="G724" i="953"/>
  <c r="G723" i="953"/>
  <c r="G722" i="953"/>
  <c r="G721" i="953"/>
  <c r="G720" i="953"/>
  <c r="G719" i="953"/>
  <c r="G718" i="953"/>
  <c r="N717" i="953"/>
  <c r="L717" i="953"/>
  <c r="G716" i="953"/>
  <c r="N715" i="953"/>
  <c r="L715" i="953"/>
  <c r="C714" i="953"/>
  <c r="F713" i="953"/>
  <c r="C713" i="953"/>
  <c r="I712" i="953"/>
  <c r="L712" i="953" s="1"/>
  <c r="H712" i="953"/>
  <c r="F712" i="953"/>
  <c r="N711" i="953"/>
  <c r="L711" i="953"/>
  <c r="I710" i="953"/>
  <c r="L710" i="953" s="1"/>
  <c r="H710" i="953"/>
  <c r="F710" i="953"/>
  <c r="G709" i="953"/>
  <c r="G708" i="953"/>
  <c r="G707" i="953"/>
  <c r="G706" i="953"/>
  <c r="G705" i="953"/>
  <c r="G704" i="953"/>
  <c r="G703" i="953"/>
  <c r="N702" i="953"/>
  <c r="L702" i="953"/>
  <c r="G701" i="953"/>
  <c r="N700" i="953"/>
  <c r="L700" i="953"/>
  <c r="C699" i="953"/>
  <c r="F698" i="953"/>
  <c r="C698" i="953"/>
  <c r="I697" i="953"/>
  <c r="H697" i="953"/>
  <c r="F697" i="953"/>
  <c r="I696" i="953"/>
  <c r="L696" i="953" s="1"/>
  <c r="H696" i="953"/>
  <c r="F696" i="953"/>
  <c r="I695" i="953"/>
  <c r="H695" i="953"/>
  <c r="F695" i="953"/>
  <c r="G694" i="953"/>
  <c r="G693" i="953"/>
  <c r="N692" i="953"/>
  <c r="L692" i="953"/>
  <c r="G691" i="953"/>
  <c r="N690" i="953"/>
  <c r="L690" i="953"/>
  <c r="N689" i="953"/>
  <c r="L689" i="953"/>
  <c r="N688" i="953"/>
  <c r="L688" i="953"/>
  <c r="N687" i="953"/>
  <c r="L687" i="953"/>
  <c r="N686" i="953"/>
  <c r="L686" i="953"/>
  <c r="N685" i="953"/>
  <c r="L685" i="953"/>
  <c r="C684" i="953"/>
  <c r="F683" i="953"/>
  <c r="C683" i="953"/>
  <c r="I682" i="953"/>
  <c r="H682" i="953"/>
  <c r="F682" i="953"/>
  <c r="I681" i="953"/>
  <c r="L681" i="953" s="1"/>
  <c r="H681" i="953"/>
  <c r="F681" i="953"/>
  <c r="I680" i="953"/>
  <c r="L680" i="953" s="1"/>
  <c r="H680" i="953"/>
  <c r="F680" i="953"/>
  <c r="G679" i="953"/>
  <c r="G678" i="953"/>
  <c r="N677" i="953"/>
  <c r="L677" i="953"/>
  <c r="G676" i="953"/>
  <c r="N675" i="953"/>
  <c r="L675" i="953"/>
  <c r="N674" i="953"/>
  <c r="L674" i="953"/>
  <c r="N673" i="953"/>
  <c r="L673" i="953"/>
  <c r="N672" i="953"/>
  <c r="L672" i="953"/>
  <c r="N671" i="953"/>
  <c r="L671" i="953"/>
  <c r="N670" i="953"/>
  <c r="L670" i="953"/>
  <c r="C669" i="953"/>
  <c r="F668" i="953"/>
  <c r="C668" i="953"/>
  <c r="I667" i="953"/>
  <c r="N667" i="953" s="1"/>
  <c r="H667" i="953"/>
  <c r="F667" i="953"/>
  <c r="I666" i="953"/>
  <c r="N666" i="953" s="1"/>
  <c r="H666" i="953"/>
  <c r="F666" i="953"/>
  <c r="I665" i="953"/>
  <c r="L665" i="953" s="1"/>
  <c r="H665" i="953"/>
  <c r="F665" i="953"/>
  <c r="G664" i="953"/>
  <c r="G663" i="953"/>
  <c r="N662" i="953"/>
  <c r="L662" i="953"/>
  <c r="G661" i="953"/>
  <c r="N660" i="953"/>
  <c r="L660" i="953"/>
  <c r="N659" i="953"/>
  <c r="L659" i="953"/>
  <c r="N658" i="953"/>
  <c r="L658" i="953"/>
  <c r="N657" i="953"/>
  <c r="L657" i="953"/>
  <c r="N656" i="953"/>
  <c r="L656" i="953"/>
  <c r="N655" i="953"/>
  <c r="L655" i="953"/>
  <c r="C654" i="953"/>
  <c r="F653" i="953"/>
  <c r="C653" i="953"/>
  <c r="I652" i="953"/>
  <c r="H652" i="953"/>
  <c r="F652" i="953"/>
  <c r="I651" i="953"/>
  <c r="L651" i="953" s="1"/>
  <c r="H651" i="953"/>
  <c r="F651" i="953"/>
  <c r="I650" i="953"/>
  <c r="H650" i="953"/>
  <c r="F650" i="953"/>
  <c r="G649" i="953"/>
  <c r="G648" i="953"/>
  <c r="N647" i="953"/>
  <c r="L647" i="953"/>
  <c r="G646" i="953"/>
  <c r="N645" i="953"/>
  <c r="L645" i="953"/>
  <c r="N644" i="953"/>
  <c r="L644" i="953"/>
  <c r="N643" i="953"/>
  <c r="L643" i="953"/>
  <c r="N642" i="953"/>
  <c r="L642" i="953"/>
  <c r="N641" i="953"/>
  <c r="L641" i="953"/>
  <c r="N640" i="953"/>
  <c r="L640" i="953"/>
  <c r="C639" i="953"/>
  <c r="F638" i="953"/>
  <c r="C638" i="953"/>
  <c r="I637" i="953"/>
  <c r="L637" i="953" s="1"/>
  <c r="H637" i="953"/>
  <c r="F637" i="953"/>
  <c r="I636" i="953"/>
  <c r="L636" i="953" s="1"/>
  <c r="H636" i="953"/>
  <c r="F636" i="953"/>
  <c r="I635" i="953"/>
  <c r="L635" i="953" s="1"/>
  <c r="H635" i="953"/>
  <c r="F635" i="953"/>
  <c r="G634" i="953"/>
  <c r="G633" i="953"/>
  <c r="N632" i="953"/>
  <c r="L632" i="953"/>
  <c r="G631" i="953"/>
  <c r="N630" i="953"/>
  <c r="L630" i="953"/>
  <c r="N629" i="953"/>
  <c r="L629" i="953"/>
  <c r="N628" i="953"/>
  <c r="L628" i="953"/>
  <c r="N627" i="953"/>
  <c r="L627" i="953"/>
  <c r="N626" i="953"/>
  <c r="L626" i="953"/>
  <c r="N625" i="953"/>
  <c r="L625" i="953"/>
  <c r="C624" i="953"/>
  <c r="F623" i="953"/>
  <c r="C623" i="953"/>
  <c r="I622" i="953"/>
  <c r="N622" i="953" s="1"/>
  <c r="H622" i="953"/>
  <c r="F622" i="953"/>
  <c r="I621" i="953"/>
  <c r="L621" i="953" s="1"/>
  <c r="H621" i="953"/>
  <c r="F621" i="953"/>
  <c r="I620" i="953"/>
  <c r="N620" i="953" s="1"/>
  <c r="H620" i="953"/>
  <c r="F620" i="953"/>
  <c r="G619" i="953"/>
  <c r="G618" i="953"/>
  <c r="N617" i="953"/>
  <c r="L617" i="953"/>
  <c r="G616" i="953"/>
  <c r="G615" i="953"/>
  <c r="G614" i="953"/>
  <c r="G613" i="953"/>
  <c r="I612" i="953"/>
  <c r="G612" i="953"/>
  <c r="N611" i="953"/>
  <c r="L611" i="953"/>
  <c r="N610" i="953"/>
  <c r="L610" i="953"/>
  <c r="C609" i="953"/>
  <c r="F608" i="953"/>
  <c r="C608" i="953"/>
  <c r="I607" i="953"/>
  <c r="L607" i="953" s="1"/>
  <c r="H607" i="953"/>
  <c r="F607" i="953"/>
  <c r="I606" i="953"/>
  <c r="L606" i="953" s="1"/>
  <c r="H606" i="953"/>
  <c r="F606" i="953"/>
  <c r="I605" i="953"/>
  <c r="N605" i="953" s="1"/>
  <c r="H605" i="953"/>
  <c r="F605" i="953"/>
  <c r="G604" i="953"/>
  <c r="G603" i="953"/>
  <c r="N602" i="953"/>
  <c r="L602" i="953"/>
  <c r="G601" i="953"/>
  <c r="G600" i="953"/>
  <c r="G599" i="953"/>
  <c r="G598" i="953"/>
  <c r="I597" i="953"/>
  <c r="L597" i="953" s="1"/>
  <c r="G597" i="953"/>
  <c r="N596" i="953"/>
  <c r="L596" i="953"/>
  <c r="N595" i="953"/>
  <c r="L595" i="953"/>
  <c r="C594" i="953"/>
  <c r="F593" i="953"/>
  <c r="C593" i="953"/>
  <c r="I592" i="953"/>
  <c r="L592" i="953" s="1"/>
  <c r="H592" i="953"/>
  <c r="F592" i="953"/>
  <c r="I591" i="953"/>
  <c r="H591" i="953"/>
  <c r="F591" i="953"/>
  <c r="I590" i="953"/>
  <c r="L590" i="953" s="1"/>
  <c r="H590" i="953"/>
  <c r="F590" i="953"/>
  <c r="G589" i="953"/>
  <c r="G588" i="953"/>
  <c r="N587" i="953"/>
  <c r="L587" i="953"/>
  <c r="G586" i="953"/>
  <c r="G585" i="953"/>
  <c r="G584" i="953"/>
  <c r="G583" i="953"/>
  <c r="I582" i="953"/>
  <c r="G582" i="953"/>
  <c r="N581" i="953"/>
  <c r="L581" i="953"/>
  <c r="N580" i="953"/>
  <c r="L580" i="953"/>
  <c r="C579" i="953"/>
  <c r="F578" i="953"/>
  <c r="C578" i="953"/>
  <c r="I577" i="953"/>
  <c r="L577" i="953" s="1"/>
  <c r="H577" i="953"/>
  <c r="F577" i="953"/>
  <c r="I576" i="953"/>
  <c r="L576" i="953" s="1"/>
  <c r="H576" i="953"/>
  <c r="F576" i="953"/>
  <c r="I575" i="953"/>
  <c r="L575" i="953" s="1"/>
  <c r="H575" i="953"/>
  <c r="F575" i="953"/>
  <c r="G574" i="953"/>
  <c r="G573" i="953"/>
  <c r="N572" i="953"/>
  <c r="L572" i="953"/>
  <c r="G571" i="953"/>
  <c r="G570" i="953"/>
  <c r="G569" i="953"/>
  <c r="G568" i="953"/>
  <c r="I567" i="953"/>
  <c r="G567" i="953"/>
  <c r="N566" i="953"/>
  <c r="L566" i="953"/>
  <c r="N565" i="953"/>
  <c r="L565" i="953"/>
  <c r="C564" i="953"/>
  <c r="F563" i="953"/>
  <c r="C563" i="953"/>
  <c r="I562" i="953"/>
  <c r="N562" i="953" s="1"/>
  <c r="H562" i="953"/>
  <c r="F562" i="953"/>
  <c r="I561" i="953"/>
  <c r="L561" i="953" s="1"/>
  <c r="H561" i="953"/>
  <c r="F561" i="953"/>
  <c r="I560" i="953"/>
  <c r="L560" i="953" s="1"/>
  <c r="H560" i="953"/>
  <c r="F560" i="953"/>
  <c r="G559" i="953"/>
  <c r="G558" i="953"/>
  <c r="N557" i="953"/>
  <c r="L557" i="953"/>
  <c r="G556" i="953"/>
  <c r="G555" i="953"/>
  <c r="G554" i="953"/>
  <c r="G553" i="953"/>
  <c r="I552" i="953"/>
  <c r="N552" i="953" s="1"/>
  <c r="G552" i="953"/>
  <c r="N551" i="953"/>
  <c r="L551" i="953"/>
  <c r="N550" i="953"/>
  <c r="L550" i="953"/>
  <c r="C549" i="953"/>
  <c r="N548" i="953"/>
  <c r="L548" i="953"/>
  <c r="N547" i="953"/>
  <c r="L547" i="953"/>
  <c r="N546" i="953"/>
  <c r="L546" i="953"/>
  <c r="N545" i="953"/>
  <c r="L545" i="953"/>
  <c r="I544" i="953"/>
  <c r="N544" i="953" s="1"/>
  <c r="G544" i="953"/>
  <c r="F543" i="953"/>
  <c r="I543" i="953" s="1"/>
  <c r="I542" i="953"/>
  <c r="L542" i="953" s="1"/>
  <c r="G542" i="953"/>
  <c r="I541" i="953"/>
  <c r="L541" i="953" s="1"/>
  <c r="G541" i="953"/>
  <c r="I540" i="953"/>
  <c r="N540" i="953" s="1"/>
  <c r="G540" i="953"/>
  <c r="I539" i="953"/>
  <c r="L539" i="953" s="1"/>
  <c r="G539" i="953"/>
  <c r="I538" i="953"/>
  <c r="N538" i="953" s="1"/>
  <c r="G538" i="953"/>
  <c r="I537" i="953"/>
  <c r="L537" i="953" s="1"/>
  <c r="G537" i="953"/>
  <c r="C537" i="953"/>
  <c r="I536" i="953"/>
  <c r="L536" i="953" s="1"/>
  <c r="G536" i="953"/>
  <c r="C536" i="953"/>
  <c r="I535" i="953"/>
  <c r="L535" i="953" s="1"/>
  <c r="G535" i="953"/>
  <c r="N533" i="953"/>
  <c r="L533" i="953"/>
  <c r="N532" i="953"/>
  <c r="L532" i="953"/>
  <c r="N531" i="953"/>
  <c r="L531" i="953"/>
  <c r="N530" i="953"/>
  <c r="L530" i="953"/>
  <c r="G529" i="953"/>
  <c r="F528" i="953"/>
  <c r="I528" i="953" s="1"/>
  <c r="N528" i="953" s="1"/>
  <c r="N527" i="953"/>
  <c r="L527" i="953"/>
  <c r="N526" i="953"/>
  <c r="L526" i="953"/>
  <c r="G525" i="953"/>
  <c r="G524" i="953"/>
  <c r="G523" i="953"/>
  <c r="N522" i="953"/>
  <c r="L522" i="953"/>
  <c r="N521" i="953"/>
  <c r="L521" i="953"/>
  <c r="G520" i="953"/>
  <c r="C519" i="953"/>
  <c r="F518" i="953"/>
  <c r="C518" i="953"/>
  <c r="H517" i="953"/>
  <c r="N516" i="953"/>
  <c r="L516" i="953"/>
  <c r="H516" i="953"/>
  <c r="H515" i="953"/>
  <c r="G514" i="953"/>
  <c r="N513" i="953"/>
  <c r="L513" i="953"/>
  <c r="G512" i="953"/>
  <c r="G511" i="953"/>
  <c r="G510" i="953"/>
  <c r="G509" i="953"/>
  <c r="G508" i="953"/>
  <c r="G507" i="953"/>
  <c r="C507" i="953"/>
  <c r="G506" i="953"/>
  <c r="C506" i="953"/>
  <c r="N505" i="953"/>
  <c r="L505" i="953"/>
  <c r="C504" i="953"/>
  <c r="F503" i="953"/>
  <c r="C503" i="953"/>
  <c r="H502" i="953"/>
  <c r="N501" i="953"/>
  <c r="L501" i="953"/>
  <c r="H501" i="953"/>
  <c r="H500" i="953"/>
  <c r="G499" i="953"/>
  <c r="N498" i="953"/>
  <c r="L498" i="953"/>
  <c r="G497" i="953"/>
  <c r="G496" i="953"/>
  <c r="G495" i="953"/>
  <c r="G494" i="953"/>
  <c r="G493" i="953"/>
  <c r="G492" i="953"/>
  <c r="C492" i="953"/>
  <c r="G491" i="953"/>
  <c r="C491" i="953"/>
  <c r="N490" i="953"/>
  <c r="L490" i="953"/>
  <c r="C489" i="953"/>
  <c r="F488" i="953"/>
  <c r="C488" i="953"/>
  <c r="H487" i="953"/>
  <c r="N486" i="953"/>
  <c r="L486" i="953"/>
  <c r="H486" i="953"/>
  <c r="H485" i="953"/>
  <c r="G484" i="953"/>
  <c r="N483" i="953"/>
  <c r="L483" i="953"/>
  <c r="G482" i="953"/>
  <c r="G481" i="953"/>
  <c r="G480" i="953"/>
  <c r="G479" i="953"/>
  <c r="G478" i="953"/>
  <c r="G477" i="953"/>
  <c r="C477" i="953"/>
  <c r="G476" i="953"/>
  <c r="C476" i="953"/>
  <c r="N475" i="953"/>
  <c r="L475" i="953"/>
  <c r="C474" i="953"/>
  <c r="F473" i="953"/>
  <c r="C473" i="953"/>
  <c r="H472" i="953"/>
  <c r="N471" i="953"/>
  <c r="L471" i="953"/>
  <c r="H471" i="953"/>
  <c r="H470" i="953"/>
  <c r="G469" i="953"/>
  <c r="N468" i="953"/>
  <c r="L468" i="953"/>
  <c r="G467" i="953"/>
  <c r="G466" i="953"/>
  <c r="G465" i="953"/>
  <c r="G464" i="953"/>
  <c r="G463" i="953"/>
  <c r="G462" i="953"/>
  <c r="C462" i="953"/>
  <c r="G461" i="953"/>
  <c r="C461" i="953"/>
  <c r="N460" i="953"/>
  <c r="L460" i="953"/>
  <c r="C459" i="953"/>
  <c r="F458" i="953"/>
  <c r="C458" i="953"/>
  <c r="H457" i="953"/>
  <c r="N456" i="953"/>
  <c r="L456" i="953"/>
  <c r="H456" i="953"/>
  <c r="H455" i="953"/>
  <c r="G454" i="953"/>
  <c r="N453" i="953"/>
  <c r="L453" i="953"/>
  <c r="N452" i="953"/>
  <c r="L452" i="953"/>
  <c r="G451" i="953"/>
  <c r="G450" i="953"/>
  <c r="G449" i="953"/>
  <c r="G448" i="953"/>
  <c r="G447" i="953"/>
  <c r="C447" i="953"/>
  <c r="N446" i="953"/>
  <c r="L446" i="953"/>
  <c r="G445" i="953"/>
  <c r="C444" i="953"/>
  <c r="F443" i="953"/>
  <c r="C443" i="953"/>
  <c r="H442" i="953"/>
  <c r="N441" i="953"/>
  <c r="L441" i="953"/>
  <c r="H441" i="953"/>
  <c r="H440" i="953"/>
  <c r="G439" i="953"/>
  <c r="N438" i="953"/>
  <c r="L438" i="953"/>
  <c r="N437" i="953"/>
  <c r="L437" i="953"/>
  <c r="G436" i="953"/>
  <c r="G435" i="953"/>
  <c r="G434" i="953"/>
  <c r="G433" i="953"/>
  <c r="G432" i="953"/>
  <c r="C432" i="953"/>
  <c r="AQ431" i="953"/>
  <c r="AP431" i="953"/>
  <c r="N431" i="953"/>
  <c r="L431" i="953"/>
  <c r="AQ430" i="953"/>
  <c r="AP430" i="953"/>
  <c r="G430" i="953"/>
  <c r="AQ429" i="953"/>
  <c r="AP429" i="953"/>
  <c r="C429" i="953"/>
  <c r="AQ428" i="953"/>
  <c r="AP428" i="953"/>
  <c r="F428" i="953"/>
  <c r="C428" i="953"/>
  <c r="AQ427" i="953"/>
  <c r="AP427" i="953"/>
  <c r="H427" i="953"/>
  <c r="AQ426" i="953"/>
  <c r="AP426" i="953"/>
  <c r="N426" i="953"/>
  <c r="L426" i="953"/>
  <c r="H426" i="953"/>
  <c r="AQ425" i="953"/>
  <c r="AP425" i="953"/>
  <c r="H425" i="953"/>
  <c r="AQ424" i="953"/>
  <c r="AP424" i="953"/>
  <c r="G424" i="953"/>
  <c r="AQ423" i="953"/>
  <c r="AP423" i="953"/>
  <c r="N423" i="953"/>
  <c r="L423" i="953"/>
  <c r="AQ422" i="953"/>
  <c r="AP422" i="953"/>
  <c r="N422" i="953"/>
  <c r="L422" i="953"/>
  <c r="AQ421" i="953"/>
  <c r="AP421" i="953"/>
  <c r="G421" i="953"/>
  <c r="AQ420" i="953"/>
  <c r="AP420" i="953"/>
  <c r="G420" i="953"/>
  <c r="AQ419" i="953"/>
  <c r="AP419" i="953"/>
  <c r="G419" i="953"/>
  <c r="AQ418" i="953"/>
  <c r="AP418" i="953"/>
  <c r="G418" i="953"/>
  <c r="AQ417" i="953"/>
  <c r="AP417" i="953"/>
  <c r="G417" i="953"/>
  <c r="C417" i="953"/>
  <c r="AQ416" i="953"/>
  <c r="AP416" i="953"/>
  <c r="N416" i="953"/>
  <c r="L416" i="953"/>
  <c r="AQ415" i="953"/>
  <c r="AP415" i="953"/>
  <c r="G415" i="953"/>
  <c r="AQ414" i="953"/>
  <c r="AP414" i="953"/>
  <c r="C414" i="953"/>
  <c r="AQ413" i="953"/>
  <c r="AP413" i="953"/>
  <c r="F413" i="953"/>
  <c r="C413" i="953"/>
  <c r="AQ412" i="953"/>
  <c r="AP412" i="953"/>
  <c r="H412" i="953"/>
  <c r="AQ411" i="953"/>
  <c r="AP411" i="953"/>
  <c r="N411" i="953"/>
  <c r="L411" i="953"/>
  <c r="H411" i="953"/>
  <c r="AQ410" i="953"/>
  <c r="AP410" i="953"/>
  <c r="H410" i="953"/>
  <c r="AQ409" i="953"/>
  <c r="AP409" i="953"/>
  <c r="G409" i="953"/>
  <c r="AQ408" i="953"/>
  <c r="AP408" i="953"/>
  <c r="N408" i="953"/>
  <c r="L408" i="953"/>
  <c r="AQ407" i="953"/>
  <c r="AP407" i="953"/>
  <c r="N407" i="953"/>
  <c r="L407" i="953"/>
  <c r="AQ406" i="953"/>
  <c r="AP406" i="953"/>
  <c r="G406" i="953"/>
  <c r="AQ405" i="953"/>
  <c r="AP405" i="953"/>
  <c r="G405" i="953"/>
  <c r="AQ404" i="953"/>
  <c r="AP404" i="953"/>
  <c r="G404" i="953"/>
  <c r="AQ403" i="953"/>
  <c r="AP403" i="953"/>
  <c r="G403" i="953"/>
  <c r="AQ402" i="953"/>
  <c r="AP402" i="953"/>
  <c r="G402" i="953"/>
  <c r="C402" i="953"/>
  <c r="AQ401" i="953"/>
  <c r="AP401" i="953"/>
  <c r="N401" i="953"/>
  <c r="L401" i="953"/>
  <c r="AQ400" i="953"/>
  <c r="AP400" i="953"/>
  <c r="G400" i="953"/>
  <c r="AQ399" i="953"/>
  <c r="AP399" i="953"/>
  <c r="C399" i="953"/>
  <c r="AQ398" i="953"/>
  <c r="AP398" i="953"/>
  <c r="F398" i="953"/>
  <c r="C398" i="953"/>
  <c r="AQ397" i="953"/>
  <c r="AP397" i="953"/>
  <c r="H397" i="953"/>
  <c r="AQ396" i="953"/>
  <c r="AP396" i="953"/>
  <c r="N396" i="953"/>
  <c r="L396" i="953"/>
  <c r="H396" i="953"/>
  <c r="AQ395" i="953"/>
  <c r="AP395" i="953"/>
  <c r="H395" i="953"/>
  <c r="AQ394" i="953"/>
  <c r="AP394" i="953"/>
  <c r="G394" i="953"/>
  <c r="AQ393" i="953"/>
  <c r="AP393" i="953"/>
  <c r="N393" i="953"/>
  <c r="L393" i="953"/>
  <c r="AQ392" i="953"/>
  <c r="AP392" i="953"/>
  <c r="N392" i="953"/>
  <c r="L392" i="953"/>
  <c r="AQ391" i="953"/>
  <c r="AP391" i="953"/>
  <c r="G391" i="953"/>
  <c r="AQ390" i="953"/>
  <c r="AP390" i="953"/>
  <c r="G390" i="953"/>
  <c r="AQ389" i="953"/>
  <c r="AP389" i="953"/>
  <c r="G389" i="953"/>
  <c r="AQ388" i="953"/>
  <c r="AP388" i="953"/>
  <c r="G388" i="953"/>
  <c r="AQ387" i="953"/>
  <c r="AP387" i="953"/>
  <c r="G387" i="953"/>
  <c r="C387" i="953"/>
  <c r="N386" i="953"/>
  <c r="L386" i="953"/>
  <c r="G385" i="953"/>
  <c r="C384" i="953"/>
  <c r="F383" i="953"/>
  <c r="C383" i="953"/>
  <c r="H382" i="953"/>
  <c r="H381" i="953"/>
  <c r="H380" i="953"/>
  <c r="G379" i="953"/>
  <c r="N378" i="953"/>
  <c r="L378" i="953"/>
  <c r="N377" i="953"/>
  <c r="L377" i="953"/>
  <c r="G376" i="953"/>
  <c r="G375" i="953"/>
  <c r="G374" i="953"/>
  <c r="G373" i="953"/>
  <c r="G372" i="953"/>
  <c r="C372" i="953"/>
  <c r="N371" i="953"/>
  <c r="L371" i="953"/>
  <c r="G370" i="953"/>
  <c r="C369" i="953"/>
  <c r="F368" i="953"/>
  <c r="C368" i="953"/>
  <c r="H367" i="953"/>
  <c r="H366" i="953"/>
  <c r="H365" i="953"/>
  <c r="G364" i="953"/>
  <c r="N363" i="953"/>
  <c r="L363" i="953"/>
  <c r="N362" i="953"/>
  <c r="L362" i="953"/>
  <c r="G361" i="953"/>
  <c r="G360" i="953"/>
  <c r="G359" i="953"/>
  <c r="G358" i="953"/>
  <c r="G357" i="953"/>
  <c r="C357" i="953"/>
  <c r="N356" i="953"/>
  <c r="L356" i="953"/>
  <c r="G355" i="953"/>
  <c r="C354" i="953"/>
  <c r="F353" i="953"/>
  <c r="C353" i="953"/>
  <c r="H352" i="953"/>
  <c r="H351" i="953"/>
  <c r="H350" i="953"/>
  <c r="G349" i="953"/>
  <c r="N348" i="953"/>
  <c r="L348" i="953"/>
  <c r="N347" i="953"/>
  <c r="L347" i="953"/>
  <c r="G346" i="953"/>
  <c r="G345" i="953"/>
  <c r="G344" i="953"/>
  <c r="G343" i="953"/>
  <c r="G342" i="953"/>
  <c r="C342" i="953"/>
  <c r="N341" i="953"/>
  <c r="L341" i="953"/>
  <c r="G340" i="953"/>
  <c r="C339" i="953"/>
  <c r="F338" i="953"/>
  <c r="C338" i="953"/>
  <c r="H337" i="953"/>
  <c r="H336" i="953"/>
  <c r="H335" i="953"/>
  <c r="G334" i="953"/>
  <c r="N333" i="953"/>
  <c r="L333" i="953"/>
  <c r="N332" i="953"/>
  <c r="L332" i="953"/>
  <c r="G331" i="953"/>
  <c r="G330" i="953"/>
  <c r="G329" i="953"/>
  <c r="G328" i="953"/>
  <c r="G327" i="953"/>
  <c r="C327" i="953"/>
  <c r="N326" i="953"/>
  <c r="L326" i="953"/>
  <c r="G325" i="953"/>
  <c r="C324" i="953"/>
  <c r="F323" i="953"/>
  <c r="C323" i="953"/>
  <c r="H322" i="953"/>
  <c r="H321" i="953"/>
  <c r="H320" i="953"/>
  <c r="G319" i="953"/>
  <c r="N318" i="953"/>
  <c r="L318" i="953"/>
  <c r="N317" i="953"/>
  <c r="L317" i="953"/>
  <c r="G316" i="953"/>
  <c r="G315" i="953"/>
  <c r="G314" i="953"/>
  <c r="G313" i="953"/>
  <c r="G312" i="953"/>
  <c r="C312" i="953"/>
  <c r="N311" i="953"/>
  <c r="L311" i="953"/>
  <c r="G310" i="953"/>
  <c r="C309" i="953"/>
  <c r="N308" i="953"/>
  <c r="N307" i="953"/>
  <c r="N306" i="953"/>
  <c r="N305" i="953"/>
  <c r="N304" i="953"/>
  <c r="N303" i="953"/>
  <c r="N302" i="953"/>
  <c r="N301" i="953"/>
  <c r="N300" i="953"/>
  <c r="N299" i="953"/>
  <c r="E295" i="953"/>
  <c r="D295" i="953"/>
  <c r="C295" i="953"/>
  <c r="E294" i="953"/>
  <c r="D294" i="953"/>
  <c r="C294" i="953"/>
  <c r="E293" i="953"/>
  <c r="D293" i="953"/>
  <c r="C293" i="953"/>
  <c r="E292" i="953"/>
  <c r="D292" i="953"/>
  <c r="C292" i="953"/>
  <c r="E291" i="953"/>
  <c r="D291" i="953"/>
  <c r="C291" i="953"/>
  <c r="E290" i="953"/>
  <c r="D290" i="953"/>
  <c r="C290" i="953"/>
  <c r="E289" i="953"/>
  <c r="D289" i="953"/>
  <c r="C289" i="953"/>
  <c r="E288" i="953"/>
  <c r="D288" i="953"/>
  <c r="C288" i="953"/>
  <c r="E287" i="953"/>
  <c r="D287" i="953"/>
  <c r="C287" i="953"/>
  <c r="E286" i="953"/>
  <c r="D286" i="953"/>
  <c r="C286" i="953"/>
  <c r="AC285" i="953"/>
  <c r="AA285" i="953"/>
  <c r="Y285" i="953"/>
  <c r="E285" i="953"/>
  <c r="D285" i="953"/>
  <c r="C285" i="953"/>
  <c r="AC284" i="953"/>
  <c r="AA284" i="953"/>
  <c r="Y284" i="953"/>
  <c r="E284" i="953"/>
  <c r="D284" i="953"/>
  <c r="C284" i="953"/>
  <c r="AC283" i="953"/>
  <c r="AA283" i="953"/>
  <c r="Y283" i="953"/>
  <c r="E283" i="953"/>
  <c r="D283" i="953"/>
  <c r="C283" i="953"/>
  <c r="AC282" i="953"/>
  <c r="AA282" i="953"/>
  <c r="Y282" i="953"/>
  <c r="E282" i="953"/>
  <c r="D282" i="953"/>
  <c r="C282" i="953"/>
  <c r="AC281" i="953"/>
  <c r="AA281" i="953"/>
  <c r="Y281" i="953"/>
  <c r="E281" i="953"/>
  <c r="D281" i="953"/>
  <c r="C281" i="953"/>
  <c r="AC280" i="953"/>
  <c r="AA280" i="953"/>
  <c r="Y280" i="953"/>
  <c r="E280" i="953"/>
  <c r="D280" i="953"/>
  <c r="C280" i="953"/>
  <c r="AC279" i="953"/>
  <c r="AA279" i="953"/>
  <c r="Y279" i="953"/>
  <c r="E279" i="953"/>
  <c r="D279" i="953"/>
  <c r="C279" i="953"/>
  <c r="AC278" i="953"/>
  <c r="AA278" i="953"/>
  <c r="Y278" i="953"/>
  <c r="E278" i="953"/>
  <c r="D278" i="953"/>
  <c r="C278" i="953"/>
  <c r="AC277" i="953"/>
  <c r="AA277" i="953"/>
  <c r="Y277" i="953"/>
  <c r="E277" i="953"/>
  <c r="D277" i="953"/>
  <c r="C277" i="953"/>
  <c r="AC276" i="953"/>
  <c r="AA276" i="953"/>
  <c r="Y276" i="953"/>
  <c r="E276" i="953"/>
  <c r="D276" i="953"/>
  <c r="C276" i="953"/>
  <c r="AC275" i="953"/>
  <c r="AA275" i="953"/>
  <c r="Y275" i="953"/>
  <c r="E275" i="953"/>
  <c r="D275" i="953"/>
  <c r="C275" i="953"/>
  <c r="AC274" i="953"/>
  <c r="AA274" i="953"/>
  <c r="Y274" i="953"/>
  <c r="E274" i="953"/>
  <c r="D274" i="953"/>
  <c r="C274" i="953"/>
  <c r="AC273" i="953"/>
  <c r="AA273" i="953"/>
  <c r="Y273" i="953"/>
  <c r="E273" i="953"/>
  <c r="D273" i="953"/>
  <c r="C273" i="953"/>
  <c r="AC272" i="953"/>
  <c r="AA272" i="953"/>
  <c r="Y272" i="953"/>
  <c r="E272" i="953"/>
  <c r="D272" i="953"/>
  <c r="C272" i="953"/>
  <c r="AC271" i="953"/>
  <c r="AA271" i="953"/>
  <c r="Y271" i="953"/>
  <c r="E271" i="953"/>
  <c r="D271" i="953"/>
  <c r="C271" i="953"/>
  <c r="AC270" i="953"/>
  <c r="AA270" i="953"/>
  <c r="Y270" i="953"/>
  <c r="E270" i="953"/>
  <c r="D270" i="953"/>
  <c r="C270" i="953"/>
  <c r="AC269" i="953"/>
  <c r="AA269" i="953"/>
  <c r="Y269" i="953"/>
  <c r="E269" i="953"/>
  <c r="D269" i="953"/>
  <c r="C269" i="953"/>
  <c r="AC268" i="953"/>
  <c r="AA268" i="953"/>
  <c r="Y268" i="953"/>
  <c r="E268" i="953"/>
  <c r="D268" i="953"/>
  <c r="C268" i="953"/>
  <c r="AC267" i="953"/>
  <c r="AA267" i="953"/>
  <c r="Y267" i="953"/>
  <c r="E267" i="953"/>
  <c r="D267" i="953"/>
  <c r="C267" i="953"/>
  <c r="AC266" i="953"/>
  <c r="AA266" i="953"/>
  <c r="Y266" i="953"/>
  <c r="E266" i="953"/>
  <c r="D266" i="953"/>
  <c r="C266" i="953"/>
  <c r="AC265" i="953"/>
  <c r="AA265" i="953"/>
  <c r="Y265" i="953"/>
  <c r="E265" i="953"/>
  <c r="D265" i="953"/>
  <c r="C265" i="953"/>
  <c r="AC264" i="953"/>
  <c r="AA264" i="953"/>
  <c r="Y264" i="953"/>
  <c r="E264" i="953"/>
  <c r="D264" i="953"/>
  <c r="C264" i="953"/>
  <c r="AC263" i="953"/>
  <c r="AA263" i="953"/>
  <c r="Y263" i="953"/>
  <c r="E263" i="953"/>
  <c r="D263" i="953"/>
  <c r="C263" i="953"/>
  <c r="AC262" i="953"/>
  <c r="AA262" i="953"/>
  <c r="Y262" i="953"/>
  <c r="E262" i="953"/>
  <c r="D262" i="953"/>
  <c r="C262" i="953"/>
  <c r="AC261" i="953"/>
  <c r="AA261" i="953"/>
  <c r="Y261" i="953"/>
  <c r="E261" i="953"/>
  <c r="D261" i="953"/>
  <c r="C261" i="953"/>
  <c r="AC260" i="953"/>
  <c r="AA260" i="953"/>
  <c r="Y260" i="953"/>
  <c r="E260" i="953"/>
  <c r="D260" i="953"/>
  <c r="C260" i="953"/>
  <c r="AC259" i="953"/>
  <c r="AA259" i="953"/>
  <c r="Y259" i="953"/>
  <c r="E259" i="953"/>
  <c r="D259" i="953"/>
  <c r="C259" i="953"/>
  <c r="AC258" i="953"/>
  <c r="AA258" i="953"/>
  <c r="Y258" i="953"/>
  <c r="E258" i="953"/>
  <c r="D258" i="953"/>
  <c r="C258" i="953"/>
  <c r="AC257" i="953"/>
  <c r="AA257" i="953"/>
  <c r="Y257" i="953"/>
  <c r="E257" i="953"/>
  <c r="D257" i="953"/>
  <c r="C257" i="953"/>
  <c r="AC256" i="953"/>
  <c r="AA256" i="953"/>
  <c r="Y256" i="953"/>
  <c r="E256" i="953"/>
  <c r="D256" i="953"/>
  <c r="C256" i="953"/>
  <c r="AC255" i="953"/>
  <c r="AA255" i="953"/>
  <c r="Y255" i="953"/>
  <c r="E255" i="953"/>
  <c r="D255" i="953"/>
  <c r="C255" i="953"/>
  <c r="AC254" i="953"/>
  <c r="AA254" i="953"/>
  <c r="Y254" i="953"/>
  <c r="E254" i="953"/>
  <c r="D254" i="953"/>
  <c r="C254" i="953"/>
  <c r="AC253" i="953"/>
  <c r="AA253" i="953"/>
  <c r="Y253" i="953"/>
  <c r="E253" i="953"/>
  <c r="D253" i="953"/>
  <c r="C253" i="953"/>
  <c r="AC252" i="953"/>
  <c r="AA252" i="953"/>
  <c r="Y252" i="953"/>
  <c r="E252" i="953"/>
  <c r="D252" i="953"/>
  <c r="C252" i="953"/>
  <c r="AC251" i="953"/>
  <c r="AA251" i="953"/>
  <c r="Y251" i="953"/>
  <c r="E251" i="953"/>
  <c r="D251" i="953"/>
  <c r="C251" i="953"/>
  <c r="AC250" i="953"/>
  <c r="AA250" i="953"/>
  <c r="Y250" i="953"/>
  <c r="E250" i="953"/>
  <c r="D250" i="953"/>
  <c r="C250" i="953"/>
  <c r="AC249" i="953"/>
  <c r="AA249" i="953"/>
  <c r="Y249" i="953"/>
  <c r="E249" i="953"/>
  <c r="D249" i="953"/>
  <c r="C249" i="953"/>
  <c r="AC248" i="953"/>
  <c r="AA248" i="953"/>
  <c r="Y248" i="953"/>
  <c r="E248" i="953"/>
  <c r="D248" i="953"/>
  <c r="C248" i="953"/>
  <c r="AC247" i="953"/>
  <c r="AA247" i="953"/>
  <c r="Y247" i="953"/>
  <c r="E247" i="953"/>
  <c r="D247" i="953"/>
  <c r="C247" i="953"/>
  <c r="AC246" i="953"/>
  <c r="AA246" i="953"/>
  <c r="Y246" i="953"/>
  <c r="E246" i="953"/>
  <c r="D246" i="953"/>
  <c r="C246" i="953"/>
  <c r="AC245" i="953"/>
  <c r="AA245" i="953"/>
  <c r="Y245" i="953"/>
  <c r="E245" i="953"/>
  <c r="D245" i="953"/>
  <c r="C245" i="953"/>
  <c r="AC244" i="953"/>
  <c r="AA244" i="953"/>
  <c r="Y244" i="953"/>
  <c r="E244" i="953"/>
  <c r="D244" i="953"/>
  <c r="C244" i="953"/>
  <c r="AC243" i="953"/>
  <c r="AA243" i="953"/>
  <c r="Y243" i="953"/>
  <c r="E243" i="953"/>
  <c r="D243" i="953"/>
  <c r="C243" i="953"/>
  <c r="AC242" i="953"/>
  <c r="AA242" i="953"/>
  <c r="Y242" i="953"/>
  <c r="E242" i="953"/>
  <c r="D242" i="953"/>
  <c r="C242" i="953"/>
  <c r="AC241" i="953"/>
  <c r="AA241" i="953"/>
  <c r="Y241" i="953"/>
  <c r="E241" i="953"/>
  <c r="D241" i="953"/>
  <c r="C241" i="953"/>
  <c r="AC240" i="953"/>
  <c r="AA240" i="953"/>
  <c r="Y240" i="953"/>
  <c r="E240" i="953"/>
  <c r="D240" i="953"/>
  <c r="C240" i="953"/>
  <c r="AC239" i="953"/>
  <c r="AA239" i="953"/>
  <c r="Y239" i="953"/>
  <c r="E239" i="953"/>
  <c r="D239" i="953"/>
  <c r="C239" i="953"/>
  <c r="AC238" i="953"/>
  <c r="AA238" i="953"/>
  <c r="Y238" i="953"/>
  <c r="E238" i="953"/>
  <c r="D238" i="953"/>
  <c r="C238" i="953"/>
  <c r="AC237" i="953"/>
  <c r="AA237" i="953"/>
  <c r="Y237" i="953"/>
  <c r="V237" i="953"/>
  <c r="S237" i="953"/>
  <c r="P237" i="953"/>
  <c r="E237" i="953"/>
  <c r="D237" i="953"/>
  <c r="C237" i="953"/>
  <c r="AC236" i="953"/>
  <c r="AA236" i="953"/>
  <c r="Y236" i="953"/>
  <c r="V236" i="953"/>
  <c r="S236" i="953"/>
  <c r="P236" i="953"/>
  <c r="E236" i="953"/>
  <c r="D236" i="953"/>
  <c r="C236" i="953"/>
  <c r="AC235" i="953"/>
  <c r="AA235" i="953"/>
  <c r="Y235" i="953"/>
  <c r="V235" i="953"/>
  <c r="S235" i="953"/>
  <c r="P235" i="953"/>
  <c r="E235" i="953"/>
  <c r="D235" i="953"/>
  <c r="C235" i="953"/>
  <c r="AC234" i="953"/>
  <c r="AA234" i="953"/>
  <c r="Y234" i="953"/>
  <c r="V234" i="953"/>
  <c r="S234" i="953"/>
  <c r="P234" i="953"/>
  <c r="E234" i="953"/>
  <c r="D234" i="953"/>
  <c r="C234" i="953"/>
  <c r="AC233" i="953"/>
  <c r="AA233" i="953"/>
  <c r="Y233" i="953"/>
  <c r="E233" i="953"/>
  <c r="D233" i="953"/>
  <c r="C233" i="953"/>
  <c r="W232" i="953"/>
  <c r="V232" i="953"/>
  <c r="T232" i="953"/>
  <c r="S232" i="953"/>
  <c r="Q232" i="953"/>
  <c r="P232" i="953"/>
  <c r="E232" i="953"/>
  <c r="D232" i="953"/>
  <c r="C232" i="953"/>
  <c r="E231" i="953"/>
  <c r="D231" i="953"/>
  <c r="C231" i="953"/>
  <c r="AC230" i="953"/>
  <c r="AD259" i="953" s="1"/>
  <c r="AA230" i="953"/>
  <c r="AB256" i="953" s="1"/>
  <c r="Y230" i="953"/>
  <c r="Z264" i="953" s="1"/>
  <c r="E230" i="953"/>
  <c r="D230" i="953"/>
  <c r="C230" i="953"/>
  <c r="E229" i="953"/>
  <c r="D229" i="953"/>
  <c r="C229" i="953"/>
  <c r="E228" i="953"/>
  <c r="D228" i="953"/>
  <c r="C228" i="953"/>
  <c r="E227" i="953"/>
  <c r="D227" i="953"/>
  <c r="C227" i="953"/>
  <c r="E226" i="953"/>
  <c r="D226" i="953"/>
  <c r="C226" i="953"/>
  <c r="I225" i="953"/>
  <c r="B225" i="953" s="1"/>
  <c r="E225" i="953"/>
  <c r="D225" i="953"/>
  <c r="C225" i="953"/>
  <c r="N224" i="953"/>
  <c r="Y223" i="953"/>
  <c r="N223" i="953"/>
  <c r="Y222" i="953"/>
  <c r="N222" i="953"/>
  <c r="N221" i="953"/>
  <c r="N220" i="953"/>
  <c r="N219" i="953"/>
  <c r="N218" i="953"/>
  <c r="N217" i="953"/>
  <c r="I216" i="953"/>
  <c r="N216" i="953" s="1"/>
  <c r="C216" i="953"/>
  <c r="E216" i="953" s="1"/>
  <c r="I215" i="953"/>
  <c r="N215" i="953" s="1"/>
  <c r="C215" i="953"/>
  <c r="E215" i="953" s="1"/>
  <c r="I214" i="953"/>
  <c r="N214" i="953" s="1"/>
  <c r="C214" i="953"/>
  <c r="E214" i="953" s="1"/>
  <c r="I213" i="953"/>
  <c r="N213" i="953" s="1"/>
  <c r="C213" i="953"/>
  <c r="E213" i="953" s="1"/>
  <c r="I212" i="953"/>
  <c r="N212" i="953" s="1"/>
  <c r="C212" i="953"/>
  <c r="E212" i="953" s="1"/>
  <c r="I211" i="953"/>
  <c r="N211" i="953" s="1"/>
  <c r="C211" i="953"/>
  <c r="E211" i="953" s="1"/>
  <c r="I210" i="953"/>
  <c r="C210" i="953"/>
  <c r="D210" i="953" s="1"/>
  <c r="I209" i="953"/>
  <c r="N209" i="953" s="1"/>
  <c r="C209" i="953"/>
  <c r="E209" i="953" s="1"/>
  <c r="I208" i="953"/>
  <c r="N208" i="953" s="1"/>
  <c r="C208" i="953"/>
  <c r="E208" i="953" s="1"/>
  <c r="I207" i="953"/>
  <c r="N207" i="953" s="1"/>
  <c r="C207" i="953"/>
  <c r="E207" i="953" s="1"/>
  <c r="I206" i="953"/>
  <c r="N206" i="953" s="1"/>
  <c r="C206" i="953"/>
  <c r="E206" i="953" s="1"/>
  <c r="I205" i="953"/>
  <c r="N205" i="953" s="1"/>
  <c r="C205" i="953"/>
  <c r="E205" i="953" s="1"/>
  <c r="I204" i="953"/>
  <c r="N204" i="953" s="1"/>
  <c r="C204" i="953"/>
  <c r="E204" i="953" s="1"/>
  <c r="I203" i="953"/>
  <c r="N203" i="953" s="1"/>
  <c r="C203" i="953"/>
  <c r="E203" i="953" s="1"/>
  <c r="I202" i="953"/>
  <c r="C202" i="953"/>
  <c r="D202" i="953" s="1"/>
  <c r="I201" i="953"/>
  <c r="N201" i="953" s="1"/>
  <c r="C201" i="953"/>
  <c r="E201" i="953" s="1"/>
  <c r="I200" i="953"/>
  <c r="N200" i="953" s="1"/>
  <c r="C200" i="953"/>
  <c r="E200" i="953" s="1"/>
  <c r="I199" i="953"/>
  <c r="N199" i="953" s="1"/>
  <c r="C199" i="953"/>
  <c r="E199" i="953" s="1"/>
  <c r="I198" i="953"/>
  <c r="N198" i="953" s="1"/>
  <c r="C198" i="953"/>
  <c r="E198" i="953" s="1"/>
  <c r="I197" i="953"/>
  <c r="N197" i="953" s="1"/>
  <c r="C197" i="953"/>
  <c r="E197" i="953" s="1"/>
  <c r="I196" i="953"/>
  <c r="N196" i="953" s="1"/>
  <c r="C196" i="953"/>
  <c r="E196" i="953" s="1"/>
  <c r="I195" i="953"/>
  <c r="N195" i="953" s="1"/>
  <c r="C195" i="953"/>
  <c r="E195" i="953" s="1"/>
  <c r="I194" i="953"/>
  <c r="C194" i="953"/>
  <c r="D194" i="953" s="1"/>
  <c r="I193" i="953"/>
  <c r="N193" i="953" s="1"/>
  <c r="C193" i="953"/>
  <c r="E193" i="953" s="1"/>
  <c r="I192" i="953"/>
  <c r="N192" i="953" s="1"/>
  <c r="C192" i="953"/>
  <c r="D192" i="953" s="1"/>
  <c r="I191" i="953"/>
  <c r="N191" i="953" s="1"/>
  <c r="C191" i="953"/>
  <c r="E191" i="953" s="1"/>
  <c r="I190" i="953"/>
  <c r="N190" i="953" s="1"/>
  <c r="C190" i="953"/>
  <c r="E190" i="953" s="1"/>
  <c r="I189" i="953"/>
  <c r="N189" i="953" s="1"/>
  <c r="C189" i="953"/>
  <c r="E189" i="953" s="1"/>
  <c r="I188" i="953"/>
  <c r="N188" i="953" s="1"/>
  <c r="C188" i="953"/>
  <c r="E188" i="953" s="1"/>
  <c r="I187" i="953"/>
  <c r="N187" i="953" s="1"/>
  <c r="C187" i="953"/>
  <c r="E187" i="953" s="1"/>
  <c r="I186" i="953"/>
  <c r="N186" i="953" s="1"/>
  <c r="C186" i="953"/>
  <c r="D186" i="953" s="1"/>
  <c r="I185" i="953"/>
  <c r="N185" i="953" s="1"/>
  <c r="C185" i="953"/>
  <c r="E185" i="953" s="1"/>
  <c r="I184" i="953"/>
  <c r="C184" i="953"/>
  <c r="E184" i="953" s="1"/>
  <c r="I183" i="953"/>
  <c r="N183" i="953" s="1"/>
  <c r="C183" i="953"/>
  <c r="E183" i="953" s="1"/>
  <c r="I182" i="953"/>
  <c r="C182" i="953"/>
  <c r="E182" i="953" s="1"/>
  <c r="I181" i="953"/>
  <c r="N181" i="953" s="1"/>
  <c r="C181" i="953"/>
  <c r="E181" i="953" s="1"/>
  <c r="I180" i="953"/>
  <c r="N180" i="953" s="1"/>
  <c r="C180" i="953"/>
  <c r="E180" i="953" s="1"/>
  <c r="I179" i="953"/>
  <c r="N179" i="953" s="1"/>
  <c r="C179" i="953"/>
  <c r="E179" i="953" s="1"/>
  <c r="I178" i="953"/>
  <c r="N178" i="953" s="1"/>
  <c r="C178" i="953"/>
  <c r="D178" i="953" s="1"/>
  <c r="I177" i="953"/>
  <c r="N177" i="953" s="1"/>
  <c r="C177" i="953"/>
  <c r="E177" i="953" s="1"/>
  <c r="V176" i="953"/>
  <c r="S176" i="953"/>
  <c r="I176" i="953"/>
  <c r="C176" i="953"/>
  <c r="E176" i="953" s="1"/>
  <c r="V175" i="953"/>
  <c r="S175" i="953"/>
  <c r="I175" i="953"/>
  <c r="N175" i="953" s="1"/>
  <c r="C175" i="953"/>
  <c r="E175" i="953" s="1"/>
  <c r="V174" i="953"/>
  <c r="S174" i="953"/>
  <c r="I174" i="953"/>
  <c r="N174" i="953" s="1"/>
  <c r="C174" i="953"/>
  <c r="D174" i="953" s="1"/>
  <c r="V173" i="953"/>
  <c r="S173" i="953"/>
  <c r="I173" i="953"/>
  <c r="N173" i="953" s="1"/>
  <c r="C173" i="953"/>
  <c r="E173" i="953" s="1"/>
  <c r="V172" i="953"/>
  <c r="I172" i="953"/>
  <c r="N172" i="953" s="1"/>
  <c r="C172" i="953"/>
  <c r="E172" i="953" s="1"/>
  <c r="I171" i="953"/>
  <c r="N171" i="953" s="1"/>
  <c r="C171" i="953"/>
  <c r="D171" i="953" s="1"/>
  <c r="R170" i="953"/>
  <c r="T170" i="953" s="1"/>
  <c r="I170" i="953"/>
  <c r="N170" i="953" s="1"/>
  <c r="C170" i="953"/>
  <c r="E170" i="953" s="1"/>
  <c r="I169" i="953"/>
  <c r="N169" i="953" s="1"/>
  <c r="C169" i="953"/>
  <c r="E169" i="953" s="1"/>
  <c r="I168" i="953"/>
  <c r="N168" i="953" s="1"/>
  <c r="C168" i="953"/>
  <c r="E168" i="953" s="1"/>
  <c r="I167" i="953"/>
  <c r="N167" i="953" s="1"/>
  <c r="C167" i="953"/>
  <c r="E167" i="953" s="1"/>
  <c r="I166" i="953"/>
  <c r="N166" i="953" s="1"/>
  <c r="C166" i="953"/>
  <c r="E166" i="953" s="1"/>
  <c r="I165" i="953"/>
  <c r="N165" i="953" s="1"/>
  <c r="C165" i="953"/>
  <c r="E165" i="953" s="1"/>
  <c r="I164" i="953"/>
  <c r="N164" i="953" s="1"/>
  <c r="C164" i="953"/>
  <c r="E164" i="953" s="1"/>
  <c r="R163" i="953"/>
  <c r="P163" i="953"/>
  <c r="I163" i="953"/>
  <c r="N163" i="953" s="1"/>
  <c r="C163" i="953"/>
  <c r="E163" i="953" s="1"/>
  <c r="R162" i="953"/>
  <c r="P162" i="953"/>
  <c r="I162" i="953"/>
  <c r="N162" i="953" s="1"/>
  <c r="C162" i="953"/>
  <c r="E162" i="953" s="1"/>
  <c r="T161" i="953"/>
  <c r="R161" i="953"/>
  <c r="P161" i="953"/>
  <c r="I161" i="953"/>
  <c r="N161" i="953" s="1"/>
  <c r="C161" i="953"/>
  <c r="D161" i="953" s="1"/>
  <c r="P160" i="953"/>
  <c r="C774" i="953" s="1"/>
  <c r="I160" i="953"/>
  <c r="N160" i="953" s="1"/>
  <c r="C160" i="953"/>
  <c r="E160" i="953" s="1"/>
  <c r="I159" i="953"/>
  <c r="N159" i="953" s="1"/>
  <c r="C159" i="953"/>
  <c r="E159" i="953" s="1"/>
  <c r="I158" i="953"/>
  <c r="C158" i="953"/>
  <c r="E158" i="953" s="1"/>
  <c r="I157" i="953"/>
  <c r="N157" i="953" s="1"/>
  <c r="C157" i="953"/>
  <c r="E157" i="953" s="1"/>
  <c r="Z156" i="953"/>
  <c r="I768" i="953" s="1"/>
  <c r="S156" i="953"/>
  <c r="I156" i="953"/>
  <c r="N156" i="953" s="1"/>
  <c r="C156" i="953"/>
  <c r="E156" i="953" s="1"/>
  <c r="I155" i="953"/>
  <c r="N155" i="953" s="1"/>
  <c r="C155" i="953"/>
  <c r="D155" i="953" s="1"/>
  <c r="T154" i="953"/>
  <c r="S154" i="953"/>
  <c r="I154" i="953"/>
  <c r="C154" i="953"/>
  <c r="E154" i="953" s="1"/>
  <c r="R153" i="953"/>
  <c r="I153" i="953"/>
  <c r="N153" i="953" s="1"/>
  <c r="C153" i="953"/>
  <c r="E153" i="953" s="1"/>
  <c r="AN152" i="953"/>
  <c r="AD152" i="953"/>
  <c r="I749" i="953" s="1"/>
  <c r="AC152" i="953"/>
  <c r="I750" i="953" s="1"/>
  <c r="AB152" i="953"/>
  <c r="I748" i="953" s="1"/>
  <c r="AA152" i="953"/>
  <c r="Z152" i="953"/>
  <c r="I753" i="953" s="1"/>
  <c r="Y152" i="953"/>
  <c r="I754" i="953" s="1"/>
  <c r="I152" i="953"/>
  <c r="N152" i="953" s="1"/>
  <c r="C152" i="953"/>
  <c r="E152" i="953" s="1"/>
  <c r="AN151" i="953"/>
  <c r="AD151" i="953"/>
  <c r="I734" i="953" s="1"/>
  <c r="AC151" i="953"/>
  <c r="I735" i="953" s="1"/>
  <c r="AB151" i="953"/>
  <c r="I733" i="953" s="1"/>
  <c r="AA151" i="953"/>
  <c r="Z151" i="953"/>
  <c r="I738" i="953" s="1"/>
  <c r="Y151" i="953"/>
  <c r="I151" i="953"/>
  <c r="N151" i="953" s="1"/>
  <c r="C151" i="953"/>
  <c r="E151" i="953" s="1"/>
  <c r="AN150" i="953"/>
  <c r="AD150" i="953"/>
  <c r="I719" i="953" s="1"/>
  <c r="AC150" i="953"/>
  <c r="I720" i="953" s="1"/>
  <c r="AB150" i="953"/>
  <c r="I718" i="953" s="1"/>
  <c r="AA150" i="953"/>
  <c r="Z150" i="953"/>
  <c r="I723" i="953" s="1"/>
  <c r="Y150" i="953"/>
  <c r="I724" i="953" s="1"/>
  <c r="I150" i="953"/>
  <c r="C150" i="953"/>
  <c r="D150" i="953" s="1"/>
  <c r="AN149" i="953"/>
  <c r="AD149" i="953"/>
  <c r="I704" i="953" s="1"/>
  <c r="AC149" i="953"/>
  <c r="I705" i="953" s="1"/>
  <c r="AB149" i="953"/>
  <c r="I703" i="953" s="1"/>
  <c r="AA149" i="953"/>
  <c r="Z149" i="953"/>
  <c r="I708" i="953" s="1"/>
  <c r="Y149" i="953"/>
  <c r="I709" i="953" s="1"/>
  <c r="I149" i="953"/>
  <c r="N149" i="953" s="1"/>
  <c r="C149" i="953"/>
  <c r="E149" i="953" s="1"/>
  <c r="I148" i="953"/>
  <c r="C148" i="953"/>
  <c r="E148" i="953" s="1"/>
  <c r="T147" i="953"/>
  <c r="Q147" i="953"/>
  <c r="I147" i="953"/>
  <c r="N147" i="953" s="1"/>
  <c r="C147" i="953"/>
  <c r="E147" i="953" s="1"/>
  <c r="Q146" i="953"/>
  <c r="I146" i="953"/>
  <c r="C146" i="953"/>
  <c r="E146" i="953" s="1"/>
  <c r="AN145" i="953"/>
  <c r="Z145" i="953"/>
  <c r="I693" i="953" s="1"/>
  <c r="Y145" i="953"/>
  <c r="I694" i="953" s="1"/>
  <c r="I145" i="953"/>
  <c r="N145" i="953" s="1"/>
  <c r="C145" i="953"/>
  <c r="D145" i="953" s="1"/>
  <c r="AN144" i="953"/>
  <c r="Z144" i="953"/>
  <c r="I678" i="953" s="1"/>
  <c r="Y144" i="953"/>
  <c r="I144" i="953"/>
  <c r="N144" i="953" s="1"/>
  <c r="C144" i="953"/>
  <c r="D144" i="953" s="1"/>
  <c r="AN143" i="953"/>
  <c r="Z143" i="953"/>
  <c r="I663" i="953" s="1"/>
  <c r="Y143" i="953"/>
  <c r="I143" i="953"/>
  <c r="N143" i="953" s="1"/>
  <c r="C143" i="953"/>
  <c r="E143" i="953" s="1"/>
  <c r="AN142" i="953"/>
  <c r="Z142" i="953"/>
  <c r="I648" i="953" s="1"/>
  <c r="Y142" i="953"/>
  <c r="I649" i="953" s="1"/>
  <c r="I142" i="953"/>
  <c r="D142" i="953"/>
  <c r="C142" i="953"/>
  <c r="E142" i="953" s="1"/>
  <c r="AN141" i="953"/>
  <c r="Z141" i="953"/>
  <c r="I633" i="953" s="1"/>
  <c r="Y141" i="953"/>
  <c r="I634" i="953" s="1"/>
  <c r="I141" i="953"/>
  <c r="N141" i="953" s="1"/>
  <c r="C141" i="953"/>
  <c r="E141" i="953" s="1"/>
  <c r="I140" i="953"/>
  <c r="N140" i="953" s="1"/>
  <c r="E140" i="953"/>
  <c r="C140" i="953"/>
  <c r="D140" i="953" s="1"/>
  <c r="T139" i="953"/>
  <c r="S139" i="953"/>
  <c r="R139" i="953"/>
  <c r="Q139" i="953"/>
  <c r="I139" i="953"/>
  <c r="N139" i="953" s="1"/>
  <c r="C139" i="953"/>
  <c r="D139" i="953" s="1"/>
  <c r="P138" i="953"/>
  <c r="I138" i="953"/>
  <c r="N138" i="953" s="1"/>
  <c r="C138" i="953"/>
  <c r="E138" i="953" s="1"/>
  <c r="AN137" i="953"/>
  <c r="AD137" i="953"/>
  <c r="I614" i="953" s="1"/>
  <c r="AC137" i="953"/>
  <c r="I615" i="953" s="1"/>
  <c r="AB137" i="953"/>
  <c r="I613" i="953" s="1"/>
  <c r="Z137" i="953"/>
  <c r="I618" i="953" s="1"/>
  <c r="Y137" i="953"/>
  <c r="I619" i="953" s="1"/>
  <c r="C137" i="953"/>
  <c r="AN136" i="953"/>
  <c r="AD136" i="953"/>
  <c r="I599" i="953" s="1"/>
  <c r="AC136" i="953"/>
  <c r="I600" i="953" s="1"/>
  <c r="AB136" i="953"/>
  <c r="I598" i="953" s="1"/>
  <c r="Z136" i="953"/>
  <c r="I603" i="953" s="1"/>
  <c r="Y136" i="953"/>
  <c r="I604" i="953" s="1"/>
  <c r="N136" i="953"/>
  <c r="AN135" i="953"/>
  <c r="AD135" i="953"/>
  <c r="I584" i="953" s="1"/>
  <c r="AC135" i="953"/>
  <c r="I585" i="953" s="1"/>
  <c r="AB135" i="953"/>
  <c r="I583" i="953" s="1"/>
  <c r="Z135" i="953"/>
  <c r="I588" i="953" s="1"/>
  <c r="Y135" i="953"/>
  <c r="I589" i="953" s="1"/>
  <c r="N135" i="953"/>
  <c r="AN134" i="953"/>
  <c r="AD134" i="953"/>
  <c r="I569" i="953" s="1"/>
  <c r="AC134" i="953"/>
  <c r="I570" i="953" s="1"/>
  <c r="AB134" i="953"/>
  <c r="I568" i="953" s="1"/>
  <c r="Z134" i="953"/>
  <c r="I573" i="953" s="1"/>
  <c r="Y134" i="953"/>
  <c r="I574" i="953" s="1"/>
  <c r="N134" i="953"/>
  <c r="AN133" i="953"/>
  <c r="AD133" i="953"/>
  <c r="I554" i="953" s="1"/>
  <c r="AC133" i="953"/>
  <c r="I555" i="953" s="1"/>
  <c r="AB133" i="953"/>
  <c r="I553" i="953" s="1"/>
  <c r="Z133" i="953"/>
  <c r="I558" i="953" s="1"/>
  <c r="Y133" i="953"/>
  <c r="I559" i="953" s="1"/>
  <c r="N133" i="953"/>
  <c r="N132" i="953"/>
  <c r="T131" i="953"/>
  <c r="S131" i="953"/>
  <c r="R131" i="953"/>
  <c r="Q131" i="953"/>
  <c r="N131" i="953"/>
  <c r="P130" i="953"/>
  <c r="N130" i="953"/>
  <c r="N129" i="953"/>
  <c r="C126" i="953"/>
  <c r="N128" i="953" s="1"/>
  <c r="C123" i="953"/>
  <c r="N124" i="953" s="1"/>
  <c r="C120" i="953"/>
  <c r="N122" i="953" s="1"/>
  <c r="N119" i="953"/>
  <c r="N118" i="953"/>
  <c r="N117" i="953"/>
  <c r="N116" i="953"/>
  <c r="F116" i="953"/>
  <c r="G116" i="953" s="1"/>
  <c r="U111" i="953"/>
  <c r="U110" i="953"/>
  <c r="T106" i="953"/>
  <c r="R106" i="953"/>
  <c r="P106" i="953"/>
  <c r="C106" i="953"/>
  <c r="T105" i="953"/>
  <c r="R105" i="953"/>
  <c r="P105" i="953"/>
  <c r="C105" i="953"/>
  <c r="T104" i="953"/>
  <c r="R104" i="953"/>
  <c r="P104" i="953"/>
  <c r="C104" i="953"/>
  <c r="P103" i="953"/>
  <c r="C534" i="953" s="1"/>
  <c r="C103" i="953"/>
  <c r="F103" i="953" s="1"/>
  <c r="C102" i="953"/>
  <c r="F102" i="953" s="1"/>
  <c r="AN101" i="953"/>
  <c r="AC101" i="953"/>
  <c r="I524" i="953" s="1"/>
  <c r="AB101" i="953"/>
  <c r="I525" i="953" s="1"/>
  <c r="Z101" i="953"/>
  <c r="I520" i="953" s="1"/>
  <c r="Y101" i="953"/>
  <c r="I529" i="953" s="1"/>
  <c r="S100" i="953"/>
  <c r="R100" i="953"/>
  <c r="Q99" i="953"/>
  <c r="AN98" i="953"/>
  <c r="AK98" i="953"/>
  <c r="F516" i="953" s="1"/>
  <c r="AI98" i="953"/>
  <c r="F517" i="953" s="1"/>
  <c r="AG98" i="953"/>
  <c r="F515" i="953" s="1"/>
  <c r="AE98" i="953"/>
  <c r="I509" i="953" s="1"/>
  <c r="AD98" i="953"/>
  <c r="I510" i="953" s="1"/>
  <c r="AC98" i="953"/>
  <c r="I508" i="953" s="1"/>
  <c r="AB98" i="953"/>
  <c r="I511" i="953" s="1"/>
  <c r="AA98" i="953"/>
  <c r="Z98" i="953"/>
  <c r="I507" i="953" s="1"/>
  <c r="Y98" i="953"/>
  <c r="I514" i="953" s="1"/>
  <c r="AN97" i="953"/>
  <c r="AK97" i="953"/>
  <c r="F501" i="953" s="1"/>
  <c r="AI97" i="953"/>
  <c r="F502" i="953" s="1"/>
  <c r="AG97" i="953"/>
  <c r="F500" i="953" s="1"/>
  <c r="AE97" i="953"/>
  <c r="I494" i="953" s="1"/>
  <c r="AD97" i="953"/>
  <c r="I495" i="953" s="1"/>
  <c r="AB97" i="953"/>
  <c r="I496" i="953" s="1"/>
  <c r="AA97" i="953"/>
  <c r="Z97" i="953"/>
  <c r="I492" i="953" s="1"/>
  <c r="Y97" i="953"/>
  <c r="I499" i="953" s="1"/>
  <c r="AN96" i="953"/>
  <c r="AK96" i="953"/>
  <c r="F486" i="953" s="1"/>
  <c r="AI96" i="953"/>
  <c r="F487" i="953" s="1"/>
  <c r="AG96" i="953"/>
  <c r="F485" i="953" s="1"/>
  <c r="AE96" i="953"/>
  <c r="I479" i="953" s="1"/>
  <c r="AD96" i="953"/>
  <c r="I480" i="953" s="1"/>
  <c r="AB96" i="953"/>
  <c r="I481" i="953" s="1"/>
  <c r="AA96" i="953"/>
  <c r="Z96" i="953"/>
  <c r="I477" i="953" s="1"/>
  <c r="Y96" i="953"/>
  <c r="I484" i="953" s="1"/>
  <c r="AN95" i="953"/>
  <c r="AK95" i="953"/>
  <c r="F471" i="953" s="1"/>
  <c r="AI95" i="953"/>
  <c r="F472" i="953" s="1"/>
  <c r="AG95" i="953"/>
  <c r="F470" i="953" s="1"/>
  <c r="AC95" i="953"/>
  <c r="I463" i="953" s="1"/>
  <c r="AB95" i="953"/>
  <c r="I466" i="953" s="1"/>
  <c r="AA95" i="953"/>
  <c r="Z95" i="953"/>
  <c r="I462" i="953" s="1"/>
  <c r="Y95" i="953"/>
  <c r="I469" i="953" s="1"/>
  <c r="T94" i="953"/>
  <c r="S94" i="953"/>
  <c r="R94" i="953"/>
  <c r="Q93" i="953"/>
  <c r="AN92" i="953"/>
  <c r="AK92" i="953"/>
  <c r="F456" i="953" s="1"/>
  <c r="AI92" i="953"/>
  <c r="F457" i="953" s="1"/>
  <c r="AG92" i="953"/>
  <c r="AE92" i="953"/>
  <c r="I449" i="953" s="1"/>
  <c r="AD92" i="953"/>
  <c r="I450" i="953" s="1"/>
  <c r="AC92" i="953"/>
  <c r="I448" i="953" s="1"/>
  <c r="AB92" i="953"/>
  <c r="I451" i="953" s="1"/>
  <c r="AA92" i="953"/>
  <c r="I445" i="953" s="1"/>
  <c r="Z92" i="953"/>
  <c r="I447" i="953" s="1"/>
  <c r="Y92" i="953"/>
  <c r="I454" i="953" s="1"/>
  <c r="AN91" i="953"/>
  <c r="AK91" i="953"/>
  <c r="F441" i="953" s="1"/>
  <c r="AI91" i="953"/>
  <c r="F442" i="953" s="1"/>
  <c r="AG91" i="953"/>
  <c r="F440" i="953" s="1"/>
  <c r="AE91" i="953"/>
  <c r="I434" i="953" s="1"/>
  <c r="AD91" i="953"/>
  <c r="I435" i="953" s="1"/>
  <c r="AC91" i="953"/>
  <c r="I433" i="953" s="1"/>
  <c r="AB91" i="953"/>
  <c r="I436" i="953" s="1"/>
  <c r="AA91" i="953"/>
  <c r="I430" i="953" s="1"/>
  <c r="Z91" i="953"/>
  <c r="I432" i="953" s="1"/>
  <c r="Y91" i="953"/>
  <c r="I439" i="953" s="1"/>
  <c r="AN90" i="953"/>
  <c r="AK90" i="953"/>
  <c r="F426" i="953" s="1"/>
  <c r="AI90" i="953"/>
  <c r="F427" i="953" s="1"/>
  <c r="AG90" i="953"/>
  <c r="F425" i="953" s="1"/>
  <c r="AE90" i="953"/>
  <c r="I419" i="953" s="1"/>
  <c r="AD90" i="953"/>
  <c r="I420" i="953" s="1"/>
  <c r="AC90" i="953"/>
  <c r="I418" i="953" s="1"/>
  <c r="AB90" i="953"/>
  <c r="I421" i="953" s="1"/>
  <c r="AA90" i="953"/>
  <c r="I415" i="953" s="1"/>
  <c r="Z90" i="953"/>
  <c r="I417" i="953" s="1"/>
  <c r="Y90" i="953"/>
  <c r="I424" i="953" s="1"/>
  <c r="AN89" i="953"/>
  <c r="AK89" i="953"/>
  <c r="F411" i="953" s="1"/>
  <c r="AI89" i="953"/>
  <c r="F412" i="953" s="1"/>
  <c r="AG89" i="953"/>
  <c r="F410" i="953" s="1"/>
  <c r="AE89" i="953"/>
  <c r="I404" i="953" s="1"/>
  <c r="AD89" i="953"/>
  <c r="I405" i="953" s="1"/>
  <c r="AC89" i="953"/>
  <c r="I403" i="953" s="1"/>
  <c r="AB89" i="953"/>
  <c r="I406" i="953" s="1"/>
  <c r="AA89" i="953"/>
  <c r="I400" i="953" s="1"/>
  <c r="Z89" i="953"/>
  <c r="I402" i="953" s="1"/>
  <c r="Y89" i="953"/>
  <c r="I409" i="953" s="1"/>
  <c r="AN88" i="953"/>
  <c r="AK88" i="953"/>
  <c r="F396" i="953" s="1"/>
  <c r="AI88" i="953"/>
  <c r="F397" i="953" s="1"/>
  <c r="AG88" i="953"/>
  <c r="F395" i="953" s="1"/>
  <c r="AE88" i="953"/>
  <c r="I389" i="953" s="1"/>
  <c r="AD88" i="953"/>
  <c r="I390" i="953" s="1"/>
  <c r="AC88" i="953"/>
  <c r="I388" i="953" s="1"/>
  <c r="AB88" i="953"/>
  <c r="I391" i="953" s="1"/>
  <c r="AA88" i="953"/>
  <c r="I385" i="953" s="1"/>
  <c r="Z88" i="953"/>
  <c r="I387" i="953" s="1"/>
  <c r="Y88" i="953"/>
  <c r="I394" i="953" s="1"/>
  <c r="T87" i="953"/>
  <c r="S87" i="953"/>
  <c r="R87" i="953"/>
  <c r="Q87" i="953"/>
  <c r="P86" i="953"/>
  <c r="AN85" i="953"/>
  <c r="AK85" i="953"/>
  <c r="F381" i="953" s="1"/>
  <c r="AI85" i="953"/>
  <c r="F382" i="953" s="1"/>
  <c r="AG85" i="953"/>
  <c r="F380" i="953" s="1"/>
  <c r="AE85" i="953"/>
  <c r="I374" i="953" s="1"/>
  <c r="AD85" i="953"/>
  <c r="I375" i="953" s="1"/>
  <c r="AC85" i="953"/>
  <c r="I373" i="953" s="1"/>
  <c r="AB85" i="953"/>
  <c r="I376" i="953" s="1"/>
  <c r="AA85" i="953"/>
  <c r="I370" i="953" s="1"/>
  <c r="Z85" i="953"/>
  <c r="I372" i="953" s="1"/>
  <c r="Y85" i="953"/>
  <c r="I379" i="953" s="1"/>
  <c r="AN84" i="953"/>
  <c r="AK84" i="953"/>
  <c r="F366" i="953" s="1"/>
  <c r="AI84" i="953"/>
  <c r="F367" i="953" s="1"/>
  <c r="AG84" i="953"/>
  <c r="F365" i="953" s="1"/>
  <c r="AE84" i="953"/>
  <c r="I359" i="953" s="1"/>
  <c r="AD84" i="953"/>
  <c r="I360" i="953" s="1"/>
  <c r="AC84" i="953"/>
  <c r="I358" i="953" s="1"/>
  <c r="AB84" i="953"/>
  <c r="I361" i="953" s="1"/>
  <c r="AA84" i="953"/>
  <c r="I355" i="953" s="1"/>
  <c r="Z84" i="953"/>
  <c r="I357" i="953" s="1"/>
  <c r="Y84" i="953"/>
  <c r="I364" i="953" s="1"/>
  <c r="AN83" i="953"/>
  <c r="AK83" i="953"/>
  <c r="F351" i="953" s="1"/>
  <c r="AI83" i="953"/>
  <c r="F352" i="953" s="1"/>
  <c r="AG83" i="953"/>
  <c r="F350" i="953" s="1"/>
  <c r="AE83" i="953"/>
  <c r="I344" i="953" s="1"/>
  <c r="AD83" i="953"/>
  <c r="I345" i="953" s="1"/>
  <c r="AC83" i="953"/>
  <c r="I343" i="953" s="1"/>
  <c r="AB83" i="953"/>
  <c r="I346" i="953" s="1"/>
  <c r="AA83" i="953"/>
  <c r="I340" i="953" s="1"/>
  <c r="Z83" i="953"/>
  <c r="I342" i="953" s="1"/>
  <c r="Y83" i="953"/>
  <c r="I349" i="953" s="1"/>
  <c r="C83" i="953"/>
  <c r="AN82" i="953"/>
  <c r="AK82" i="953"/>
  <c r="F336" i="953" s="1"/>
  <c r="AI82" i="953"/>
  <c r="F337" i="953" s="1"/>
  <c r="AG82" i="953"/>
  <c r="F335" i="953" s="1"/>
  <c r="AE82" i="953"/>
  <c r="I329" i="953" s="1"/>
  <c r="AD82" i="953"/>
  <c r="I330" i="953" s="1"/>
  <c r="AC82" i="953"/>
  <c r="I328" i="953" s="1"/>
  <c r="AB82" i="953"/>
  <c r="I331" i="953" s="1"/>
  <c r="AA82" i="953"/>
  <c r="I325" i="953" s="1"/>
  <c r="Z82" i="953"/>
  <c r="I327" i="953" s="1"/>
  <c r="Y82" i="953"/>
  <c r="I334" i="953" s="1"/>
  <c r="AN81" i="953"/>
  <c r="AK81" i="953"/>
  <c r="AI81" i="953"/>
  <c r="AG81" i="953"/>
  <c r="AE81" i="953"/>
  <c r="I314" i="953" s="1"/>
  <c r="AD81" i="953"/>
  <c r="I315" i="953" s="1"/>
  <c r="AC81" i="953"/>
  <c r="I313" i="953" s="1"/>
  <c r="AB81" i="953"/>
  <c r="I316" i="953" s="1"/>
  <c r="AA81" i="953"/>
  <c r="I310" i="953" s="1"/>
  <c r="Z81" i="953"/>
  <c r="I312" i="953" s="1"/>
  <c r="Y81" i="953"/>
  <c r="I319" i="953" s="1"/>
  <c r="N81" i="953"/>
  <c r="T80" i="953"/>
  <c r="S80" i="953"/>
  <c r="R80" i="953"/>
  <c r="Q80" i="953"/>
  <c r="N80" i="953"/>
  <c r="P79" i="953"/>
  <c r="N79" i="953"/>
  <c r="T78" i="953"/>
  <c r="S78" i="953"/>
  <c r="Q78" i="953"/>
  <c r="P78" i="953"/>
  <c r="N78" i="953"/>
  <c r="T77" i="953"/>
  <c r="S77" i="953"/>
  <c r="Q77" i="953"/>
  <c r="P77" i="953"/>
  <c r="N77" i="953"/>
  <c r="Q76" i="953"/>
  <c r="N76" i="953"/>
  <c r="AB75" i="953"/>
  <c r="I916" i="953" s="1"/>
  <c r="R75" i="953"/>
  <c r="P75" i="953"/>
  <c r="N75" i="953"/>
  <c r="R74" i="953"/>
  <c r="Q74" i="953"/>
  <c r="N74" i="953"/>
  <c r="V73" i="953"/>
  <c r="U73" i="953"/>
  <c r="T73" i="953"/>
  <c r="S73" i="953"/>
  <c r="Q73" i="953"/>
  <c r="P73" i="953"/>
  <c r="N73" i="953"/>
  <c r="P72" i="953"/>
  <c r="N72" i="953"/>
  <c r="N71" i="953"/>
  <c r="J69" i="953"/>
  <c r="I69" i="953"/>
  <c r="N69" i="953" s="1"/>
  <c r="C69" i="953"/>
  <c r="J68" i="953"/>
  <c r="I68" i="953"/>
  <c r="L68" i="953" s="1"/>
  <c r="C68" i="953"/>
  <c r="J67" i="953"/>
  <c r="I67" i="953"/>
  <c r="C67" i="953"/>
  <c r="J66" i="953"/>
  <c r="I66" i="953"/>
  <c r="N66" i="953" s="1"/>
  <c r="C66" i="953"/>
  <c r="J65" i="953"/>
  <c r="I65" i="953"/>
  <c r="N65" i="953" s="1"/>
  <c r="C65" i="953"/>
  <c r="J64" i="953"/>
  <c r="I64" i="953"/>
  <c r="L64" i="953" s="1"/>
  <c r="C64" i="953"/>
  <c r="J63" i="953"/>
  <c r="I63" i="953"/>
  <c r="C63" i="953"/>
  <c r="N61" i="953"/>
  <c r="L61" i="953"/>
  <c r="N60" i="953"/>
  <c r="L60" i="953"/>
  <c r="N59" i="953"/>
  <c r="L59" i="953"/>
  <c r="N58" i="953"/>
  <c r="L58" i="953"/>
  <c r="N57" i="953"/>
  <c r="L57" i="953"/>
  <c r="N56" i="953"/>
  <c r="L56" i="953"/>
  <c r="N55" i="953"/>
  <c r="L55" i="953"/>
  <c r="N53" i="953"/>
  <c r="L53" i="953"/>
  <c r="N52" i="953"/>
  <c r="L52" i="953"/>
  <c r="N51" i="953"/>
  <c r="L51" i="953"/>
  <c r="N50" i="953"/>
  <c r="L50" i="953"/>
  <c r="N47" i="953"/>
  <c r="L47" i="953"/>
  <c r="N38" i="953"/>
  <c r="L38" i="953"/>
  <c r="N35" i="953"/>
  <c r="L35" i="953"/>
  <c r="N34" i="953"/>
  <c r="L34" i="953"/>
  <c r="N33" i="953"/>
  <c r="L33" i="953"/>
  <c r="N32" i="953"/>
  <c r="L32" i="953"/>
  <c r="N31" i="953"/>
  <c r="L31" i="953"/>
  <c r="N30" i="953"/>
  <c r="L30" i="953"/>
  <c r="N29" i="953"/>
  <c r="L29" i="953"/>
  <c r="N28" i="953"/>
  <c r="L28" i="953"/>
  <c r="N27" i="953"/>
  <c r="L27" i="953"/>
  <c r="N26" i="953"/>
  <c r="L26" i="953"/>
  <c r="N25" i="953"/>
  <c r="L25" i="953"/>
  <c r="AK24" i="953"/>
  <c r="AK26" i="953" s="1"/>
  <c r="N24" i="953"/>
  <c r="L24" i="953"/>
  <c r="L23" i="953"/>
  <c r="AH21" i="953"/>
  <c r="AG21" i="953"/>
  <c r="AF21" i="953" s="1"/>
  <c r="I137" i="953" s="1"/>
  <c r="AD21" i="953"/>
  <c r="AC21" i="953"/>
  <c r="AB21" i="953"/>
  <c r="N21" i="953"/>
  <c r="L21" i="953"/>
  <c r="B21" i="953"/>
  <c r="AJ20" i="953"/>
  <c r="AC20" i="953"/>
  <c r="T20" i="953"/>
  <c r="S20" i="953"/>
  <c r="N20" i="953"/>
  <c r="L20" i="953"/>
  <c r="B20" i="953"/>
  <c r="AC19" i="953"/>
  <c r="AE19" i="953" s="1"/>
  <c r="S19" i="953"/>
  <c r="N19" i="953"/>
  <c r="L19" i="953"/>
  <c r="B19" i="953"/>
  <c r="AC18" i="953"/>
  <c r="AF18" i="953" s="1"/>
  <c r="N18" i="953"/>
  <c r="L18" i="953"/>
  <c r="B18" i="953"/>
  <c r="AC17" i="953"/>
  <c r="AE17" i="953" s="1"/>
  <c r="N17" i="953"/>
  <c r="L17" i="953"/>
  <c r="B17" i="953"/>
  <c r="AC16" i="953"/>
  <c r="AF16" i="953" s="1"/>
  <c r="W16" i="953"/>
  <c r="V16" i="953"/>
  <c r="U16" i="953"/>
  <c r="S16" i="953"/>
  <c r="N16" i="953"/>
  <c r="L16" i="953"/>
  <c r="B16" i="953"/>
  <c r="AD15" i="953"/>
  <c r="N15" i="953"/>
  <c r="W14" i="953"/>
  <c r="V14" i="953"/>
  <c r="U14" i="953"/>
  <c r="S14" i="953"/>
  <c r="N14" i="953"/>
  <c r="L14" i="953"/>
  <c r="B14" i="953"/>
  <c r="AF13" i="953"/>
  <c r="AF12" i="953" s="1"/>
  <c r="AE13" i="953"/>
  <c r="N13" i="953"/>
  <c r="L13" i="953"/>
  <c r="B13" i="953"/>
  <c r="AE12" i="953"/>
  <c r="S12" i="953"/>
  <c r="N12" i="953"/>
  <c r="AC10" i="953"/>
  <c r="W10" i="953"/>
  <c r="T10" i="953"/>
  <c r="S10" i="953"/>
  <c r="P10" i="953"/>
  <c r="AC9" i="953"/>
  <c r="W9" i="953"/>
  <c r="T9" i="953"/>
  <c r="S9" i="953"/>
  <c r="P9" i="953"/>
  <c r="AC8" i="953"/>
  <c r="AC7" i="953" s="1"/>
  <c r="I49" i="953" s="1"/>
  <c r="N49" i="953" s="1"/>
  <c r="W8" i="953"/>
  <c r="T8" i="953"/>
  <c r="S8" i="953"/>
  <c r="P8" i="953"/>
  <c r="AF7" i="953" a="1"/>
  <c r="AF7" i="953" s="1"/>
  <c r="AF152" i="953" s="1"/>
  <c r="I758" i="953" s="1"/>
  <c r="AE7" i="953" a="1"/>
  <c r="AE7" i="953" s="1"/>
  <c r="AF6" i="953" a="1"/>
  <c r="AF6" i="953" s="1"/>
  <c r="AE6" i="953" a="1"/>
  <c r="AE6" i="953" s="1"/>
  <c r="AF91" i="953" s="1"/>
  <c r="I443" i="953" s="1"/>
  <c r="AD6" i="953"/>
  <c r="AB6" i="953"/>
  <c r="AA6" i="953"/>
  <c r="W6" i="953"/>
  <c r="V6" i="953"/>
  <c r="U6" i="953"/>
  <c r="T6" i="953"/>
  <c r="S6" i="953"/>
  <c r="R6" i="953"/>
  <c r="Q6" i="953"/>
  <c r="P6" i="953"/>
  <c r="AF5" i="953" a="1"/>
  <c r="AF5" i="953" s="1"/>
  <c r="AF137" i="953" s="1"/>
  <c r="I623" i="953" s="1"/>
  <c r="AE5" i="953" a="1"/>
  <c r="AE5" i="953" s="1"/>
  <c r="AF82" i="953" s="1"/>
  <c r="I338" i="953" s="1"/>
  <c r="AD5" i="953"/>
  <c r="AB5" i="953" s="1"/>
  <c r="AA5" i="953"/>
  <c r="P13" i="953" s="1"/>
  <c r="Q5" i="953"/>
  <c r="O5" i="953"/>
  <c r="AA4" i="953"/>
  <c r="Z4" i="953"/>
  <c r="S147" i="953" s="1"/>
  <c r="AB3" i="953"/>
  <c r="Z3" i="953"/>
  <c r="J2" i="953"/>
  <c r="G1323" i="952"/>
  <c r="H1322" i="952"/>
  <c r="G1318" i="952"/>
  <c r="H1163" i="952"/>
  <c r="H1162" i="952"/>
  <c r="H1161" i="952"/>
  <c r="H1160" i="952"/>
  <c r="H1159" i="952"/>
  <c r="H1158" i="952"/>
  <c r="H1157" i="952"/>
  <c r="H1156" i="952"/>
  <c r="H1155" i="952"/>
  <c r="H1154" i="952"/>
  <c r="H1153" i="952"/>
  <c r="H1152" i="952"/>
  <c r="H1151" i="952"/>
  <c r="H1150" i="952"/>
  <c r="H1149" i="952"/>
  <c r="H1141" i="952"/>
  <c r="I1119" i="952"/>
  <c r="I1118" i="952"/>
  <c r="I1117" i="952"/>
  <c r="I1116" i="952"/>
  <c r="I1115" i="952"/>
  <c r="I1114" i="952"/>
  <c r="I1113" i="952"/>
  <c r="I1111" i="952"/>
  <c r="I1110" i="952"/>
  <c r="I1108" i="952"/>
  <c r="I1107" i="952"/>
  <c r="I1106" i="952"/>
  <c r="I1105" i="952"/>
  <c r="I1104" i="952"/>
  <c r="I1103" i="952"/>
  <c r="I1102" i="952"/>
  <c r="I1101" i="952"/>
  <c r="I1100" i="952"/>
  <c r="I1099" i="952"/>
  <c r="I1098" i="952"/>
  <c r="I1097" i="952"/>
  <c r="I1095" i="952"/>
  <c r="I1094" i="952"/>
  <c r="I1093" i="952"/>
  <c r="I1092" i="952"/>
  <c r="I1091" i="952"/>
  <c r="I1090" i="952"/>
  <c r="I1088" i="952"/>
  <c r="I1087" i="952"/>
  <c r="I1086" i="952"/>
  <c r="I1085" i="952"/>
  <c r="I1084" i="952"/>
  <c r="I1083" i="952"/>
  <c r="G1059" i="952"/>
  <c r="G1058" i="952"/>
  <c r="G1057" i="952"/>
  <c r="G1056" i="952"/>
  <c r="G1055" i="952"/>
  <c r="G1054" i="952"/>
  <c r="G1053" i="952"/>
  <c r="G1052" i="952"/>
  <c r="G1051" i="952"/>
  <c r="G1050" i="952"/>
  <c r="G1049" i="952"/>
  <c r="G1048" i="952"/>
  <c r="I1046" i="952"/>
  <c r="I1045" i="952"/>
  <c r="I1044" i="952"/>
  <c r="I1043" i="952"/>
  <c r="I1037" i="952"/>
  <c r="G1036" i="952"/>
  <c r="G1035" i="952"/>
  <c r="G1034" i="952"/>
  <c r="G1033" i="952"/>
  <c r="G1032" i="952"/>
  <c r="G1031" i="952"/>
  <c r="G1030" i="952"/>
  <c r="G1029" i="952"/>
  <c r="G1028" i="952"/>
  <c r="G1027" i="952"/>
  <c r="I1026" i="952"/>
  <c r="I1025" i="952"/>
  <c r="I1017" i="952"/>
  <c r="I1016" i="952"/>
  <c r="I1015" i="952"/>
  <c r="I1012" i="952"/>
  <c r="I1011" i="952"/>
  <c r="I1010" i="952"/>
  <c r="I1009" i="952"/>
  <c r="I1008" i="952"/>
  <c r="I1007" i="952"/>
  <c r="I1006" i="952"/>
  <c r="I1005" i="952"/>
  <c r="I1004" i="952"/>
  <c r="I1003" i="952"/>
  <c r="I1002" i="952"/>
  <c r="I1001" i="952"/>
  <c r="I1000" i="952"/>
  <c r="I999" i="952"/>
  <c r="I998" i="952"/>
  <c r="I997" i="952"/>
  <c r="I996" i="952"/>
  <c r="I995" i="952"/>
  <c r="I994" i="952"/>
  <c r="I993" i="952"/>
  <c r="I992" i="952"/>
  <c r="I991" i="952"/>
  <c r="I990" i="952"/>
  <c r="I983" i="952"/>
  <c r="I982" i="952"/>
  <c r="I981" i="952"/>
  <c r="G981" i="952"/>
  <c r="I980" i="952"/>
  <c r="G980" i="952"/>
  <c r="I978" i="952"/>
  <c r="I977" i="952"/>
  <c r="I976" i="952"/>
  <c r="I975" i="952"/>
  <c r="I971" i="952"/>
  <c r="I979" i="952" s="1"/>
  <c r="C971" i="952"/>
  <c r="I970" i="952"/>
  <c r="I968" i="952"/>
  <c r="G935" i="952"/>
  <c r="G933" i="952"/>
  <c r="G932" i="952"/>
  <c r="G931" i="952"/>
  <c r="G930" i="952"/>
  <c r="G929" i="952"/>
  <c r="G928" i="952"/>
  <c r="I926" i="952"/>
  <c r="I925" i="952"/>
  <c r="I924" i="952"/>
  <c r="I923" i="952"/>
  <c r="I917" i="952"/>
  <c r="E917" i="952"/>
  <c r="C917" i="952"/>
  <c r="G917" i="952" s="1"/>
  <c r="G916" i="952"/>
  <c r="G915" i="952"/>
  <c r="G914" i="952"/>
  <c r="G913" i="952"/>
  <c r="G912" i="952"/>
  <c r="G911" i="952"/>
  <c r="G910" i="952"/>
  <c r="G909" i="952"/>
  <c r="G908" i="952"/>
  <c r="I888" i="952"/>
  <c r="I887" i="952"/>
  <c r="I885" i="952"/>
  <c r="I884" i="952"/>
  <c r="I883" i="952"/>
  <c r="I882" i="952"/>
  <c r="G882" i="952"/>
  <c r="I881" i="952"/>
  <c r="I879" i="952"/>
  <c r="I878" i="952"/>
  <c r="I877" i="952"/>
  <c r="I876" i="952"/>
  <c r="I875" i="952"/>
  <c r="I874" i="952"/>
  <c r="I873" i="952"/>
  <c r="I872" i="952"/>
  <c r="I871" i="952"/>
  <c r="I870" i="952"/>
  <c r="I869" i="952"/>
  <c r="I867" i="952"/>
  <c r="I866" i="952"/>
  <c r="I865" i="952"/>
  <c r="I864" i="952"/>
  <c r="I863" i="952"/>
  <c r="C863" i="952"/>
  <c r="I862" i="952"/>
  <c r="I868" i="952" s="1"/>
  <c r="C862" i="952"/>
  <c r="I861" i="952"/>
  <c r="I860" i="952"/>
  <c r="I859" i="952"/>
  <c r="I854" i="952"/>
  <c r="I853" i="952"/>
  <c r="I852" i="952"/>
  <c r="I851" i="952"/>
  <c r="I850" i="952"/>
  <c r="I849" i="952"/>
  <c r="I848" i="952"/>
  <c r="I847" i="952"/>
  <c r="I846" i="952"/>
  <c r="I845" i="952"/>
  <c r="I844" i="952"/>
  <c r="I843" i="952"/>
  <c r="I841" i="952"/>
  <c r="I840" i="952"/>
  <c r="I839" i="952"/>
  <c r="I838" i="952"/>
  <c r="I837" i="952"/>
  <c r="I835" i="952"/>
  <c r="I834" i="952"/>
  <c r="I833" i="952"/>
  <c r="I832" i="952"/>
  <c r="I831" i="952"/>
  <c r="I830" i="952"/>
  <c r="I829" i="952"/>
  <c r="I828" i="952"/>
  <c r="I827" i="952"/>
  <c r="I819" i="952"/>
  <c r="I818" i="952"/>
  <c r="I817" i="952"/>
  <c r="I816" i="952"/>
  <c r="I815" i="952"/>
  <c r="I814" i="952"/>
  <c r="I813" i="952"/>
  <c r="I812" i="952"/>
  <c r="H811" i="952"/>
  <c r="I811" i="952" s="1"/>
  <c r="H810" i="952"/>
  <c r="I810" i="952" s="1"/>
  <c r="I809" i="952"/>
  <c r="I808" i="952"/>
  <c r="I807" i="952"/>
  <c r="N790" i="952"/>
  <c r="N789" i="952"/>
  <c r="N788" i="952"/>
  <c r="L788" i="952"/>
  <c r="N787" i="952"/>
  <c r="L787" i="952"/>
  <c r="N786" i="952"/>
  <c r="L786" i="952"/>
  <c r="N785" i="952"/>
  <c r="L785" i="952"/>
  <c r="I784" i="952"/>
  <c r="G784" i="952"/>
  <c r="I783" i="952"/>
  <c r="L783" i="952" s="1"/>
  <c r="G783" i="952"/>
  <c r="I782" i="952"/>
  <c r="L782" i="952" s="1"/>
  <c r="G782" i="952"/>
  <c r="I781" i="952"/>
  <c r="G781" i="952"/>
  <c r="I780" i="952"/>
  <c r="G780" i="952"/>
  <c r="I779" i="952"/>
  <c r="N779" i="952" s="1"/>
  <c r="G779" i="952"/>
  <c r="I778" i="952"/>
  <c r="L778" i="952" s="1"/>
  <c r="G778" i="952"/>
  <c r="I777" i="952"/>
  <c r="N777" i="952" s="1"/>
  <c r="G777" i="952"/>
  <c r="I776" i="952"/>
  <c r="L776" i="952" s="1"/>
  <c r="G776" i="952"/>
  <c r="N775" i="952"/>
  <c r="L775" i="952"/>
  <c r="N773" i="952"/>
  <c r="L773" i="952"/>
  <c r="N772" i="952"/>
  <c r="L772" i="952"/>
  <c r="N771" i="952"/>
  <c r="L771" i="952"/>
  <c r="N770" i="952"/>
  <c r="L770" i="952"/>
  <c r="N769" i="952"/>
  <c r="L769" i="952"/>
  <c r="G768" i="952"/>
  <c r="N767" i="952"/>
  <c r="L767" i="952"/>
  <c r="N766" i="952"/>
  <c r="L766" i="952"/>
  <c r="N765" i="952"/>
  <c r="L765" i="952"/>
  <c r="N764" i="952"/>
  <c r="L764" i="952"/>
  <c r="N763" i="952"/>
  <c r="L763" i="952"/>
  <c r="N762" i="952"/>
  <c r="L762" i="952"/>
  <c r="N761" i="952"/>
  <c r="L761" i="952"/>
  <c r="N760" i="952"/>
  <c r="L760" i="952"/>
  <c r="C759" i="952"/>
  <c r="F758" i="952"/>
  <c r="C758" i="952"/>
  <c r="I757" i="952"/>
  <c r="L757" i="952" s="1"/>
  <c r="H757" i="952"/>
  <c r="F757" i="952"/>
  <c r="N756" i="952"/>
  <c r="L756" i="952"/>
  <c r="I755" i="952"/>
  <c r="L755" i="952" s="1"/>
  <c r="H755" i="952"/>
  <c r="F755" i="952"/>
  <c r="G754" i="952"/>
  <c r="G753" i="952"/>
  <c r="G752" i="952"/>
  <c r="G751" i="952"/>
  <c r="G750" i="952"/>
  <c r="G749" i="952"/>
  <c r="G748" i="952"/>
  <c r="N747" i="952"/>
  <c r="L747" i="952"/>
  <c r="G746" i="952"/>
  <c r="N745" i="952"/>
  <c r="L745" i="952"/>
  <c r="C744" i="952"/>
  <c r="F743" i="952"/>
  <c r="C743" i="952"/>
  <c r="I742" i="952"/>
  <c r="L742" i="952" s="1"/>
  <c r="H742" i="952"/>
  <c r="F742" i="952"/>
  <c r="N741" i="952"/>
  <c r="L741" i="952"/>
  <c r="I740" i="952"/>
  <c r="L740" i="952" s="1"/>
  <c r="H740" i="952"/>
  <c r="F740" i="952"/>
  <c r="G739" i="952"/>
  <c r="G738" i="952"/>
  <c r="G737" i="952"/>
  <c r="G736" i="952"/>
  <c r="G735" i="952"/>
  <c r="G734" i="952"/>
  <c r="G733" i="952"/>
  <c r="N732" i="952"/>
  <c r="L732" i="952"/>
  <c r="G731" i="952"/>
  <c r="N730" i="952"/>
  <c r="L730" i="952"/>
  <c r="C729" i="952"/>
  <c r="F728" i="952"/>
  <c r="C728" i="952"/>
  <c r="I727" i="952"/>
  <c r="N727" i="952" s="1"/>
  <c r="H727" i="952"/>
  <c r="F727" i="952"/>
  <c r="N726" i="952"/>
  <c r="L726" i="952"/>
  <c r="I725" i="952"/>
  <c r="N725" i="952" s="1"/>
  <c r="H725" i="952"/>
  <c r="F725" i="952"/>
  <c r="G724" i="952"/>
  <c r="G723" i="952"/>
  <c r="G722" i="952"/>
  <c r="G721" i="952"/>
  <c r="G720" i="952"/>
  <c r="G719" i="952"/>
  <c r="G718" i="952"/>
  <c r="N717" i="952"/>
  <c r="L717" i="952"/>
  <c r="G716" i="952"/>
  <c r="N715" i="952"/>
  <c r="L715" i="952"/>
  <c r="C714" i="952"/>
  <c r="F713" i="952"/>
  <c r="C713" i="952"/>
  <c r="I712" i="952"/>
  <c r="N712" i="952" s="1"/>
  <c r="H712" i="952"/>
  <c r="F712" i="952"/>
  <c r="N711" i="952"/>
  <c r="L711" i="952"/>
  <c r="I710" i="952"/>
  <c r="N710" i="952" s="1"/>
  <c r="H710" i="952"/>
  <c r="F710" i="952"/>
  <c r="G709" i="952"/>
  <c r="G708" i="952"/>
  <c r="G707" i="952"/>
  <c r="G706" i="952"/>
  <c r="G705" i="952"/>
  <c r="G704" i="952"/>
  <c r="G703" i="952"/>
  <c r="N702" i="952"/>
  <c r="L702" i="952"/>
  <c r="G701" i="952"/>
  <c r="N700" i="952"/>
  <c r="L700" i="952"/>
  <c r="C699" i="952"/>
  <c r="F698" i="952"/>
  <c r="C698" i="952"/>
  <c r="I697" i="952"/>
  <c r="H697" i="952"/>
  <c r="F697" i="952"/>
  <c r="I696" i="952"/>
  <c r="N696" i="952" s="1"/>
  <c r="H696" i="952"/>
  <c r="F696" i="952"/>
  <c r="I695" i="952"/>
  <c r="H695" i="952"/>
  <c r="F695" i="952"/>
  <c r="G694" i="952"/>
  <c r="G693" i="952"/>
  <c r="N692" i="952"/>
  <c r="L692" i="952"/>
  <c r="G691" i="952"/>
  <c r="N690" i="952"/>
  <c r="L690" i="952"/>
  <c r="N689" i="952"/>
  <c r="L689" i="952"/>
  <c r="N688" i="952"/>
  <c r="L688" i="952"/>
  <c r="N687" i="952"/>
  <c r="L687" i="952"/>
  <c r="N686" i="952"/>
  <c r="L686" i="952"/>
  <c r="N685" i="952"/>
  <c r="L685" i="952"/>
  <c r="C684" i="952"/>
  <c r="F683" i="952"/>
  <c r="C683" i="952"/>
  <c r="I682" i="952"/>
  <c r="H682" i="952"/>
  <c r="F682" i="952"/>
  <c r="I681" i="952"/>
  <c r="L681" i="952" s="1"/>
  <c r="H681" i="952"/>
  <c r="F681" i="952"/>
  <c r="I680" i="952"/>
  <c r="H680" i="952"/>
  <c r="F680" i="952"/>
  <c r="G679" i="952"/>
  <c r="G678" i="952"/>
  <c r="N677" i="952"/>
  <c r="L677" i="952"/>
  <c r="G676" i="952"/>
  <c r="N675" i="952"/>
  <c r="L675" i="952"/>
  <c r="N674" i="952"/>
  <c r="L674" i="952"/>
  <c r="N673" i="952"/>
  <c r="L673" i="952"/>
  <c r="N672" i="952"/>
  <c r="L672" i="952"/>
  <c r="N671" i="952"/>
  <c r="L671" i="952"/>
  <c r="N670" i="952"/>
  <c r="L670" i="952"/>
  <c r="C669" i="952"/>
  <c r="F668" i="952"/>
  <c r="C668" i="952"/>
  <c r="I667" i="952"/>
  <c r="L667" i="952" s="1"/>
  <c r="H667" i="952"/>
  <c r="F667" i="952"/>
  <c r="I666" i="952"/>
  <c r="N666" i="952" s="1"/>
  <c r="H666" i="952"/>
  <c r="F666" i="952"/>
  <c r="I665" i="952"/>
  <c r="L665" i="952" s="1"/>
  <c r="H665" i="952"/>
  <c r="F665" i="952"/>
  <c r="G664" i="952"/>
  <c r="G663" i="952"/>
  <c r="N662" i="952"/>
  <c r="L662" i="952"/>
  <c r="G661" i="952"/>
  <c r="N660" i="952"/>
  <c r="L660" i="952"/>
  <c r="N659" i="952"/>
  <c r="L659" i="952"/>
  <c r="N658" i="952"/>
  <c r="L658" i="952"/>
  <c r="N657" i="952"/>
  <c r="L657" i="952"/>
  <c r="N656" i="952"/>
  <c r="L656" i="952"/>
  <c r="N655" i="952"/>
  <c r="L655" i="952"/>
  <c r="C654" i="952"/>
  <c r="F653" i="952"/>
  <c r="C653" i="952"/>
  <c r="I652" i="952"/>
  <c r="H652" i="952"/>
  <c r="F652" i="952"/>
  <c r="I651" i="952"/>
  <c r="N651" i="952" s="1"/>
  <c r="H651" i="952"/>
  <c r="F651" i="952"/>
  <c r="I650" i="952"/>
  <c r="N650" i="952" s="1"/>
  <c r="H650" i="952"/>
  <c r="F650" i="952"/>
  <c r="G649" i="952"/>
  <c r="G648" i="952"/>
  <c r="N647" i="952"/>
  <c r="L647" i="952"/>
  <c r="G646" i="952"/>
  <c r="N645" i="952"/>
  <c r="L645" i="952"/>
  <c r="N644" i="952"/>
  <c r="L644" i="952"/>
  <c r="N643" i="952"/>
  <c r="L643" i="952"/>
  <c r="N642" i="952"/>
  <c r="L642" i="952"/>
  <c r="N641" i="952"/>
  <c r="L641" i="952"/>
  <c r="N640" i="952"/>
  <c r="L640" i="952"/>
  <c r="C639" i="952"/>
  <c r="F638" i="952"/>
  <c r="C638" i="952"/>
  <c r="I637" i="952"/>
  <c r="H637" i="952"/>
  <c r="F637" i="952"/>
  <c r="I636" i="952"/>
  <c r="H636" i="952"/>
  <c r="F636" i="952"/>
  <c r="I635" i="952"/>
  <c r="H635" i="952"/>
  <c r="F635" i="952"/>
  <c r="G634" i="952"/>
  <c r="G633" i="952"/>
  <c r="N632" i="952"/>
  <c r="L632" i="952"/>
  <c r="G631" i="952"/>
  <c r="N630" i="952"/>
  <c r="L630" i="952"/>
  <c r="N629" i="952"/>
  <c r="L629" i="952"/>
  <c r="N628" i="952"/>
  <c r="L628" i="952"/>
  <c r="N627" i="952"/>
  <c r="L627" i="952"/>
  <c r="N626" i="952"/>
  <c r="L626" i="952"/>
  <c r="N625" i="952"/>
  <c r="L625" i="952"/>
  <c r="C624" i="952"/>
  <c r="F623" i="952"/>
  <c r="C623" i="952"/>
  <c r="I622" i="952"/>
  <c r="N622" i="952" s="1"/>
  <c r="H622" i="952"/>
  <c r="F622" i="952"/>
  <c r="I621" i="952"/>
  <c r="N621" i="952" s="1"/>
  <c r="H621" i="952"/>
  <c r="F621" i="952"/>
  <c r="I620" i="952"/>
  <c r="H620" i="952"/>
  <c r="F620" i="952"/>
  <c r="G619" i="952"/>
  <c r="G618" i="952"/>
  <c r="N617" i="952"/>
  <c r="L617" i="952"/>
  <c r="G616" i="952"/>
  <c r="G615" i="952"/>
  <c r="G614" i="952"/>
  <c r="G613" i="952"/>
  <c r="I612" i="952"/>
  <c r="G612" i="952"/>
  <c r="N611" i="952"/>
  <c r="L611" i="952"/>
  <c r="N610" i="952"/>
  <c r="L610" i="952"/>
  <c r="C609" i="952"/>
  <c r="F608" i="952"/>
  <c r="C608" i="952"/>
  <c r="I607" i="952"/>
  <c r="H607" i="952"/>
  <c r="F607" i="952"/>
  <c r="I606" i="952"/>
  <c r="H606" i="952"/>
  <c r="F606" i="952"/>
  <c r="I605" i="952"/>
  <c r="N605" i="952" s="1"/>
  <c r="H605" i="952"/>
  <c r="F605" i="952"/>
  <c r="G604" i="952"/>
  <c r="G603" i="952"/>
  <c r="N602" i="952"/>
  <c r="L602" i="952"/>
  <c r="G601" i="952"/>
  <c r="G600" i="952"/>
  <c r="G599" i="952"/>
  <c r="G598" i="952"/>
  <c r="I597" i="952"/>
  <c r="N597" i="952" s="1"/>
  <c r="G597" i="952"/>
  <c r="N596" i="952"/>
  <c r="L596" i="952"/>
  <c r="N595" i="952"/>
  <c r="L595" i="952"/>
  <c r="C594" i="952"/>
  <c r="F593" i="952"/>
  <c r="C593" i="952"/>
  <c r="I592" i="952"/>
  <c r="L592" i="952" s="1"/>
  <c r="H592" i="952"/>
  <c r="F592" i="952"/>
  <c r="I591" i="952"/>
  <c r="N591" i="952" s="1"/>
  <c r="H591" i="952"/>
  <c r="F591" i="952"/>
  <c r="I590" i="952"/>
  <c r="N590" i="952" s="1"/>
  <c r="H590" i="952"/>
  <c r="F590" i="952"/>
  <c r="G589" i="952"/>
  <c r="G588" i="952"/>
  <c r="N587" i="952"/>
  <c r="L587" i="952"/>
  <c r="G586" i="952"/>
  <c r="G585" i="952"/>
  <c r="G584" i="952"/>
  <c r="G583" i="952"/>
  <c r="I582" i="952"/>
  <c r="N582" i="952" s="1"/>
  <c r="G582" i="952"/>
  <c r="N581" i="952"/>
  <c r="L581" i="952"/>
  <c r="N580" i="952"/>
  <c r="L580" i="952"/>
  <c r="C579" i="952"/>
  <c r="F578" i="952"/>
  <c r="C578" i="952"/>
  <c r="I577" i="952"/>
  <c r="H577" i="952"/>
  <c r="F577" i="952"/>
  <c r="I576" i="952"/>
  <c r="N576" i="952" s="1"/>
  <c r="H576" i="952"/>
  <c r="F576" i="952"/>
  <c r="I575" i="952"/>
  <c r="N575" i="952" s="1"/>
  <c r="H575" i="952"/>
  <c r="F575" i="952"/>
  <c r="G574" i="952"/>
  <c r="G573" i="952"/>
  <c r="N572" i="952"/>
  <c r="L572" i="952"/>
  <c r="G571" i="952"/>
  <c r="G570" i="952"/>
  <c r="G569" i="952"/>
  <c r="G568" i="952"/>
  <c r="I567" i="952"/>
  <c r="L567" i="952" s="1"/>
  <c r="G567" i="952"/>
  <c r="N566" i="952"/>
  <c r="L566" i="952"/>
  <c r="N565" i="952"/>
  <c r="L565" i="952"/>
  <c r="C564" i="952"/>
  <c r="F563" i="952"/>
  <c r="C563" i="952"/>
  <c r="I562" i="952"/>
  <c r="N562" i="952" s="1"/>
  <c r="H562" i="952"/>
  <c r="F562" i="952"/>
  <c r="I561" i="952"/>
  <c r="H561" i="952"/>
  <c r="F561" i="952"/>
  <c r="I560" i="952"/>
  <c r="H560" i="952"/>
  <c r="F560" i="952"/>
  <c r="G559" i="952"/>
  <c r="G558" i="952"/>
  <c r="N557" i="952"/>
  <c r="L557" i="952"/>
  <c r="G556" i="952"/>
  <c r="G555" i="952"/>
  <c r="G554" i="952"/>
  <c r="G553" i="952"/>
  <c r="I552" i="952"/>
  <c r="G552" i="952"/>
  <c r="N551" i="952"/>
  <c r="L551" i="952"/>
  <c r="N550" i="952"/>
  <c r="L550" i="952"/>
  <c r="C549" i="952"/>
  <c r="N548" i="952"/>
  <c r="L548" i="952"/>
  <c r="N547" i="952"/>
  <c r="L547" i="952"/>
  <c r="N546" i="952"/>
  <c r="L546" i="952"/>
  <c r="N545" i="952"/>
  <c r="L545" i="952"/>
  <c r="I544" i="952"/>
  <c r="N544" i="952" s="1"/>
  <c r="G544" i="952"/>
  <c r="F543" i="952"/>
  <c r="I543" i="952" s="1"/>
  <c r="L543" i="952" s="1"/>
  <c r="I542" i="952"/>
  <c r="L542" i="952" s="1"/>
  <c r="G542" i="952"/>
  <c r="I541" i="952"/>
  <c r="N541" i="952" s="1"/>
  <c r="G541" i="952"/>
  <c r="I540" i="952"/>
  <c r="N540" i="952" s="1"/>
  <c r="G540" i="952"/>
  <c r="I539" i="952"/>
  <c r="G539" i="952"/>
  <c r="I538" i="952"/>
  <c r="N538" i="952" s="1"/>
  <c r="G538" i="952"/>
  <c r="I537" i="952"/>
  <c r="L537" i="952" s="1"/>
  <c r="G537" i="952"/>
  <c r="C537" i="952"/>
  <c r="I536" i="952"/>
  <c r="N536" i="952" s="1"/>
  <c r="G536" i="952"/>
  <c r="C536" i="952"/>
  <c r="I535" i="952"/>
  <c r="G535" i="952"/>
  <c r="N533" i="952"/>
  <c r="L533" i="952"/>
  <c r="N532" i="952"/>
  <c r="L532" i="952"/>
  <c r="N531" i="952"/>
  <c r="L531" i="952"/>
  <c r="N530" i="952"/>
  <c r="L530" i="952"/>
  <c r="G529" i="952"/>
  <c r="F528" i="952"/>
  <c r="I528" i="952" s="1"/>
  <c r="N527" i="952"/>
  <c r="L527" i="952"/>
  <c r="N526" i="952"/>
  <c r="L526" i="952"/>
  <c r="G525" i="952"/>
  <c r="G524" i="952"/>
  <c r="G523" i="952"/>
  <c r="N522" i="952"/>
  <c r="L522" i="952"/>
  <c r="N521" i="952"/>
  <c r="L521" i="952"/>
  <c r="G520" i="952"/>
  <c r="C519" i="952"/>
  <c r="F518" i="952"/>
  <c r="C518" i="952"/>
  <c r="H517" i="952"/>
  <c r="N516" i="952"/>
  <c r="L516" i="952"/>
  <c r="H516" i="952"/>
  <c r="H515" i="952"/>
  <c r="G514" i="952"/>
  <c r="N513" i="952"/>
  <c r="L513" i="952"/>
  <c r="G512" i="952"/>
  <c r="G511" i="952"/>
  <c r="G510" i="952"/>
  <c r="G509" i="952"/>
  <c r="G508" i="952"/>
  <c r="G507" i="952"/>
  <c r="C507" i="952"/>
  <c r="G506" i="952"/>
  <c r="C506" i="952"/>
  <c r="N505" i="952"/>
  <c r="L505" i="952"/>
  <c r="C504" i="952"/>
  <c r="F503" i="952"/>
  <c r="C503" i="952"/>
  <c r="H502" i="952"/>
  <c r="N501" i="952"/>
  <c r="L501" i="952"/>
  <c r="H501" i="952"/>
  <c r="H500" i="952"/>
  <c r="G499" i="952"/>
  <c r="N498" i="952"/>
  <c r="L498" i="952"/>
  <c r="G497" i="952"/>
  <c r="G496" i="952"/>
  <c r="G495" i="952"/>
  <c r="G494" i="952"/>
  <c r="G493" i="952"/>
  <c r="G492" i="952"/>
  <c r="C492" i="952"/>
  <c r="G491" i="952"/>
  <c r="C491" i="952"/>
  <c r="N490" i="952"/>
  <c r="L490" i="952"/>
  <c r="C489" i="952"/>
  <c r="F488" i="952"/>
  <c r="C488" i="952"/>
  <c r="H487" i="952"/>
  <c r="N486" i="952"/>
  <c r="L486" i="952"/>
  <c r="H486" i="952"/>
  <c r="H485" i="952"/>
  <c r="G484" i="952"/>
  <c r="N483" i="952"/>
  <c r="L483" i="952"/>
  <c r="G482" i="952"/>
  <c r="G481" i="952"/>
  <c r="G480" i="952"/>
  <c r="G479" i="952"/>
  <c r="G478" i="952"/>
  <c r="G477" i="952"/>
  <c r="C477" i="952"/>
  <c r="G476" i="952"/>
  <c r="C476" i="952"/>
  <c r="N475" i="952"/>
  <c r="L475" i="952"/>
  <c r="C474" i="952"/>
  <c r="F473" i="952"/>
  <c r="C473" i="952"/>
  <c r="H472" i="952"/>
  <c r="N471" i="952"/>
  <c r="L471" i="952"/>
  <c r="H471" i="952"/>
  <c r="H470" i="952"/>
  <c r="G469" i="952"/>
  <c r="N468" i="952"/>
  <c r="L468" i="952"/>
  <c r="G467" i="952"/>
  <c r="G466" i="952"/>
  <c r="G465" i="952"/>
  <c r="G464" i="952"/>
  <c r="G463" i="952"/>
  <c r="G462" i="952"/>
  <c r="C462" i="952"/>
  <c r="G461" i="952"/>
  <c r="C461" i="952"/>
  <c r="N460" i="952"/>
  <c r="L460" i="952"/>
  <c r="C459" i="952"/>
  <c r="F458" i="952"/>
  <c r="C458" i="952"/>
  <c r="H457" i="952"/>
  <c r="N456" i="952"/>
  <c r="L456" i="952"/>
  <c r="H456" i="952"/>
  <c r="H455" i="952"/>
  <c r="G454" i="952"/>
  <c r="N453" i="952"/>
  <c r="L453" i="952"/>
  <c r="N452" i="952"/>
  <c r="L452" i="952"/>
  <c r="G451" i="952"/>
  <c r="G450" i="952"/>
  <c r="G449" i="952"/>
  <c r="G448" i="952"/>
  <c r="G447" i="952"/>
  <c r="C447" i="952"/>
  <c r="N446" i="952"/>
  <c r="L446" i="952"/>
  <c r="G445" i="952"/>
  <c r="C444" i="952"/>
  <c r="F443" i="952"/>
  <c r="C443" i="952"/>
  <c r="H442" i="952"/>
  <c r="N441" i="952"/>
  <c r="L441" i="952"/>
  <c r="H441" i="952"/>
  <c r="H440" i="952"/>
  <c r="G439" i="952"/>
  <c r="N438" i="952"/>
  <c r="L438" i="952"/>
  <c r="N437" i="952"/>
  <c r="L437" i="952"/>
  <c r="G436" i="952"/>
  <c r="G435" i="952"/>
  <c r="G434" i="952"/>
  <c r="G433" i="952"/>
  <c r="G432" i="952"/>
  <c r="C432" i="952"/>
  <c r="AQ431" i="952"/>
  <c r="AP431" i="952"/>
  <c r="N431" i="952"/>
  <c r="L431" i="952"/>
  <c r="AQ430" i="952"/>
  <c r="AP430" i="952"/>
  <c r="G430" i="952"/>
  <c r="AQ429" i="952"/>
  <c r="AP429" i="952"/>
  <c r="C429" i="952"/>
  <c r="AQ428" i="952"/>
  <c r="AP428" i="952"/>
  <c r="F428" i="952"/>
  <c r="C428" i="952"/>
  <c r="AQ427" i="952"/>
  <c r="AP427" i="952"/>
  <c r="H427" i="952"/>
  <c r="AQ426" i="952"/>
  <c r="AP426" i="952"/>
  <c r="N426" i="952"/>
  <c r="L426" i="952"/>
  <c r="H426" i="952"/>
  <c r="AQ425" i="952"/>
  <c r="AP425" i="952"/>
  <c r="H425" i="952"/>
  <c r="AQ424" i="952"/>
  <c r="AP424" i="952"/>
  <c r="G424" i="952"/>
  <c r="AQ423" i="952"/>
  <c r="AP423" i="952"/>
  <c r="N423" i="952"/>
  <c r="L423" i="952"/>
  <c r="AQ422" i="952"/>
  <c r="AP422" i="952"/>
  <c r="N422" i="952"/>
  <c r="L422" i="952"/>
  <c r="AQ421" i="952"/>
  <c r="AP421" i="952"/>
  <c r="G421" i="952"/>
  <c r="AQ420" i="952"/>
  <c r="AP420" i="952"/>
  <c r="G420" i="952"/>
  <c r="AQ419" i="952"/>
  <c r="AP419" i="952"/>
  <c r="G419" i="952"/>
  <c r="AQ418" i="952"/>
  <c r="AP418" i="952"/>
  <c r="G418" i="952"/>
  <c r="AQ417" i="952"/>
  <c r="AP417" i="952"/>
  <c r="G417" i="952"/>
  <c r="C417" i="952"/>
  <c r="AQ416" i="952"/>
  <c r="AP416" i="952"/>
  <c r="N416" i="952"/>
  <c r="L416" i="952"/>
  <c r="AQ415" i="952"/>
  <c r="AP415" i="952"/>
  <c r="G415" i="952"/>
  <c r="AQ414" i="952"/>
  <c r="AP414" i="952"/>
  <c r="C414" i="952"/>
  <c r="AQ413" i="952"/>
  <c r="AP413" i="952"/>
  <c r="F413" i="952"/>
  <c r="C413" i="952"/>
  <c r="AQ412" i="952"/>
  <c r="AP412" i="952"/>
  <c r="H412" i="952"/>
  <c r="AQ411" i="952"/>
  <c r="AP411" i="952"/>
  <c r="N411" i="952"/>
  <c r="L411" i="952"/>
  <c r="H411" i="952"/>
  <c r="AQ410" i="952"/>
  <c r="AP410" i="952"/>
  <c r="H410" i="952"/>
  <c r="AQ409" i="952"/>
  <c r="AP409" i="952"/>
  <c r="G409" i="952"/>
  <c r="AQ408" i="952"/>
  <c r="AP408" i="952"/>
  <c r="N408" i="952"/>
  <c r="L408" i="952"/>
  <c r="AQ407" i="952"/>
  <c r="AP407" i="952"/>
  <c r="N407" i="952"/>
  <c r="L407" i="952"/>
  <c r="AQ406" i="952"/>
  <c r="AP406" i="952"/>
  <c r="G406" i="952"/>
  <c r="AQ405" i="952"/>
  <c r="AP405" i="952"/>
  <c r="G405" i="952"/>
  <c r="AQ404" i="952"/>
  <c r="AP404" i="952"/>
  <c r="G404" i="952"/>
  <c r="AQ403" i="952"/>
  <c r="AP403" i="952"/>
  <c r="G403" i="952"/>
  <c r="AQ402" i="952"/>
  <c r="AP402" i="952"/>
  <c r="G402" i="952"/>
  <c r="C402" i="952"/>
  <c r="AQ401" i="952"/>
  <c r="AP401" i="952"/>
  <c r="N401" i="952"/>
  <c r="L401" i="952"/>
  <c r="AQ400" i="952"/>
  <c r="AP400" i="952"/>
  <c r="G400" i="952"/>
  <c r="AQ399" i="952"/>
  <c r="AP399" i="952"/>
  <c r="C399" i="952"/>
  <c r="AQ398" i="952"/>
  <c r="AP398" i="952"/>
  <c r="F398" i="952"/>
  <c r="C398" i="952"/>
  <c r="AQ397" i="952"/>
  <c r="AP397" i="952"/>
  <c r="H397" i="952"/>
  <c r="AQ396" i="952"/>
  <c r="AP396" i="952"/>
  <c r="N396" i="952"/>
  <c r="L396" i="952"/>
  <c r="H396" i="952"/>
  <c r="AQ395" i="952"/>
  <c r="AP395" i="952"/>
  <c r="H395" i="952"/>
  <c r="AQ394" i="952"/>
  <c r="AP394" i="952"/>
  <c r="G394" i="952"/>
  <c r="AQ393" i="952"/>
  <c r="AP393" i="952"/>
  <c r="N393" i="952"/>
  <c r="L393" i="952"/>
  <c r="AQ392" i="952"/>
  <c r="AP392" i="952"/>
  <c r="N392" i="952"/>
  <c r="L392" i="952"/>
  <c r="AQ391" i="952"/>
  <c r="AP391" i="952"/>
  <c r="G391" i="952"/>
  <c r="AQ390" i="952"/>
  <c r="AP390" i="952"/>
  <c r="G390" i="952"/>
  <c r="AQ389" i="952"/>
  <c r="AP389" i="952"/>
  <c r="G389" i="952"/>
  <c r="AQ388" i="952"/>
  <c r="AP388" i="952"/>
  <c r="G388" i="952"/>
  <c r="AQ387" i="952"/>
  <c r="AP387" i="952"/>
  <c r="G387" i="952"/>
  <c r="C387" i="952"/>
  <c r="N386" i="952"/>
  <c r="L386" i="952"/>
  <c r="G385" i="952"/>
  <c r="C384" i="952"/>
  <c r="F383" i="952"/>
  <c r="C383" i="952"/>
  <c r="H382" i="952"/>
  <c r="H381" i="952"/>
  <c r="H380" i="952"/>
  <c r="G379" i="952"/>
  <c r="N378" i="952"/>
  <c r="L378" i="952"/>
  <c r="N377" i="952"/>
  <c r="L377" i="952"/>
  <c r="G376" i="952"/>
  <c r="G375" i="952"/>
  <c r="G374" i="952"/>
  <c r="G373" i="952"/>
  <c r="G372" i="952"/>
  <c r="C372" i="952"/>
  <c r="N371" i="952"/>
  <c r="L371" i="952"/>
  <c r="G370" i="952"/>
  <c r="C369" i="952"/>
  <c r="F368" i="952"/>
  <c r="C368" i="952"/>
  <c r="H367" i="952"/>
  <c r="H366" i="952"/>
  <c r="H365" i="952"/>
  <c r="G364" i="952"/>
  <c r="N363" i="952"/>
  <c r="L363" i="952"/>
  <c r="N362" i="952"/>
  <c r="L362" i="952"/>
  <c r="G361" i="952"/>
  <c r="G360" i="952"/>
  <c r="G359" i="952"/>
  <c r="G358" i="952"/>
  <c r="G357" i="952"/>
  <c r="C357" i="952"/>
  <c r="N356" i="952"/>
  <c r="L356" i="952"/>
  <c r="G355" i="952"/>
  <c r="C354" i="952"/>
  <c r="F353" i="952"/>
  <c r="C353" i="952"/>
  <c r="H352" i="952"/>
  <c r="H351" i="952"/>
  <c r="H350" i="952"/>
  <c r="G349" i="952"/>
  <c r="N348" i="952"/>
  <c r="L348" i="952"/>
  <c r="N347" i="952"/>
  <c r="L347" i="952"/>
  <c r="G346" i="952"/>
  <c r="G345" i="952"/>
  <c r="G344" i="952"/>
  <c r="G343" i="952"/>
  <c r="G342" i="952"/>
  <c r="C342" i="952"/>
  <c r="N341" i="952"/>
  <c r="L341" i="952"/>
  <c r="G340" i="952"/>
  <c r="C339" i="952"/>
  <c r="F338" i="952"/>
  <c r="C338" i="952"/>
  <c r="H337" i="952"/>
  <c r="H336" i="952"/>
  <c r="H335" i="952"/>
  <c r="G334" i="952"/>
  <c r="N333" i="952"/>
  <c r="L333" i="952"/>
  <c r="N332" i="952"/>
  <c r="L332" i="952"/>
  <c r="G331" i="952"/>
  <c r="G330" i="952"/>
  <c r="G329" i="952"/>
  <c r="G328" i="952"/>
  <c r="G327" i="952"/>
  <c r="C327" i="952"/>
  <c r="N326" i="952"/>
  <c r="L326" i="952"/>
  <c r="G325" i="952"/>
  <c r="C324" i="952"/>
  <c r="F323" i="952"/>
  <c r="C323" i="952"/>
  <c r="H322" i="952"/>
  <c r="H321" i="952"/>
  <c r="H320" i="952"/>
  <c r="G319" i="952"/>
  <c r="N318" i="952"/>
  <c r="L318" i="952"/>
  <c r="N317" i="952"/>
  <c r="L317" i="952"/>
  <c r="G316" i="952"/>
  <c r="G315" i="952"/>
  <c r="G314" i="952"/>
  <c r="G313" i="952"/>
  <c r="G312" i="952"/>
  <c r="C312" i="952"/>
  <c r="N311" i="952"/>
  <c r="L311" i="952"/>
  <c r="G310" i="952"/>
  <c r="C309" i="952"/>
  <c r="N308" i="952"/>
  <c r="N307" i="952"/>
  <c r="N306" i="952"/>
  <c r="N305" i="952"/>
  <c r="N304" i="952"/>
  <c r="N303" i="952"/>
  <c r="N302" i="952"/>
  <c r="N301" i="952"/>
  <c r="N300" i="952"/>
  <c r="N299" i="952"/>
  <c r="E295" i="952"/>
  <c r="D295" i="952"/>
  <c r="C295" i="952"/>
  <c r="E294" i="952"/>
  <c r="D294" i="952"/>
  <c r="C294" i="952"/>
  <c r="E293" i="952"/>
  <c r="D293" i="952"/>
  <c r="C293" i="952"/>
  <c r="E292" i="952"/>
  <c r="D292" i="952"/>
  <c r="C292" i="952"/>
  <c r="E291" i="952"/>
  <c r="D291" i="952"/>
  <c r="C291" i="952"/>
  <c r="E290" i="952"/>
  <c r="D290" i="952"/>
  <c r="C290" i="952"/>
  <c r="E289" i="952"/>
  <c r="D289" i="952"/>
  <c r="C289" i="952"/>
  <c r="E288" i="952"/>
  <c r="D288" i="952"/>
  <c r="C288" i="952"/>
  <c r="E287" i="952"/>
  <c r="D287" i="952"/>
  <c r="C287" i="952"/>
  <c r="E286" i="952"/>
  <c r="D286" i="952"/>
  <c r="C286" i="952"/>
  <c r="AC285" i="952"/>
  <c r="AA285" i="952"/>
  <c r="Y285" i="952"/>
  <c r="E285" i="952"/>
  <c r="D285" i="952"/>
  <c r="C285" i="952"/>
  <c r="AC284" i="952"/>
  <c r="AA284" i="952"/>
  <c r="Y284" i="952"/>
  <c r="E284" i="952"/>
  <c r="D284" i="952"/>
  <c r="C284" i="952"/>
  <c r="AC283" i="952"/>
  <c r="AA283" i="952"/>
  <c r="Y283" i="952"/>
  <c r="E283" i="952"/>
  <c r="D283" i="952"/>
  <c r="C283" i="952"/>
  <c r="AC282" i="952"/>
  <c r="AA282" i="952"/>
  <c r="Y282" i="952"/>
  <c r="E282" i="952"/>
  <c r="D282" i="952"/>
  <c r="C282" i="952"/>
  <c r="AC281" i="952"/>
  <c r="AA281" i="952"/>
  <c r="Y281" i="952"/>
  <c r="E281" i="952"/>
  <c r="D281" i="952"/>
  <c r="C281" i="952"/>
  <c r="AC280" i="952"/>
  <c r="AA280" i="952"/>
  <c r="Y280" i="952"/>
  <c r="E280" i="952"/>
  <c r="D280" i="952"/>
  <c r="C280" i="952"/>
  <c r="AC279" i="952"/>
  <c r="AA279" i="952"/>
  <c r="Y279" i="952"/>
  <c r="E279" i="952"/>
  <c r="D279" i="952"/>
  <c r="C279" i="952"/>
  <c r="AC278" i="952"/>
  <c r="AA278" i="952"/>
  <c r="Y278" i="952"/>
  <c r="E278" i="952"/>
  <c r="D278" i="952"/>
  <c r="C278" i="952"/>
  <c r="AC277" i="952"/>
  <c r="AA277" i="952"/>
  <c r="Y277" i="952"/>
  <c r="E277" i="952"/>
  <c r="D277" i="952"/>
  <c r="C277" i="952"/>
  <c r="AC276" i="952"/>
  <c r="AA276" i="952"/>
  <c r="Y276" i="952"/>
  <c r="E276" i="952"/>
  <c r="D276" i="952"/>
  <c r="C276" i="952"/>
  <c r="AC275" i="952"/>
  <c r="AA275" i="952"/>
  <c r="Y275" i="952"/>
  <c r="E275" i="952"/>
  <c r="D275" i="952"/>
  <c r="C275" i="952"/>
  <c r="AC274" i="952"/>
  <c r="AA274" i="952"/>
  <c r="Y274" i="952"/>
  <c r="E274" i="952"/>
  <c r="D274" i="952"/>
  <c r="C274" i="952"/>
  <c r="AC273" i="952"/>
  <c r="AA273" i="952"/>
  <c r="Y273" i="952"/>
  <c r="E273" i="952"/>
  <c r="D273" i="952"/>
  <c r="C273" i="952"/>
  <c r="AC272" i="952"/>
  <c r="AA272" i="952"/>
  <c r="Y272" i="952"/>
  <c r="E272" i="952"/>
  <c r="D272" i="952"/>
  <c r="C272" i="952"/>
  <c r="AC271" i="952"/>
  <c r="AA271" i="952"/>
  <c r="Y271" i="952"/>
  <c r="E271" i="952"/>
  <c r="D271" i="952"/>
  <c r="C271" i="952"/>
  <c r="AC270" i="952"/>
  <c r="AA270" i="952"/>
  <c r="Y270" i="952"/>
  <c r="E270" i="952"/>
  <c r="D270" i="952"/>
  <c r="C270" i="952"/>
  <c r="AC269" i="952"/>
  <c r="AA269" i="952"/>
  <c r="Y269" i="952"/>
  <c r="E269" i="952"/>
  <c r="D269" i="952"/>
  <c r="C269" i="952"/>
  <c r="AC268" i="952"/>
  <c r="AA268" i="952"/>
  <c r="Y268" i="952"/>
  <c r="E268" i="952"/>
  <c r="D268" i="952"/>
  <c r="C268" i="952"/>
  <c r="AC267" i="952"/>
  <c r="AA267" i="952"/>
  <c r="Y267" i="952"/>
  <c r="E267" i="952"/>
  <c r="D267" i="952"/>
  <c r="C267" i="952"/>
  <c r="AC266" i="952"/>
  <c r="AA266" i="952"/>
  <c r="Y266" i="952"/>
  <c r="E266" i="952"/>
  <c r="D266" i="952"/>
  <c r="C266" i="952"/>
  <c r="AC265" i="952"/>
  <c r="AA265" i="952"/>
  <c r="Y265" i="952"/>
  <c r="E265" i="952"/>
  <c r="D265" i="952"/>
  <c r="C265" i="952"/>
  <c r="AC264" i="952"/>
  <c r="AA264" i="952"/>
  <c r="Y264" i="952"/>
  <c r="E264" i="952"/>
  <c r="D264" i="952"/>
  <c r="C264" i="952"/>
  <c r="AC263" i="952"/>
  <c r="AA263" i="952"/>
  <c r="Y263" i="952"/>
  <c r="E263" i="952"/>
  <c r="D263" i="952"/>
  <c r="C263" i="952"/>
  <c r="AC262" i="952"/>
  <c r="AA262" i="952"/>
  <c r="Y262" i="952"/>
  <c r="E262" i="952"/>
  <c r="D262" i="952"/>
  <c r="C262" i="952"/>
  <c r="AC261" i="952"/>
  <c r="AA261" i="952"/>
  <c r="Y261" i="952"/>
  <c r="E261" i="952"/>
  <c r="D261" i="952"/>
  <c r="C261" i="952"/>
  <c r="AC260" i="952"/>
  <c r="AA260" i="952"/>
  <c r="Y260" i="952"/>
  <c r="E260" i="952"/>
  <c r="D260" i="952"/>
  <c r="C260" i="952"/>
  <c r="AC259" i="952"/>
  <c r="AA259" i="952"/>
  <c r="Y259" i="952"/>
  <c r="E259" i="952"/>
  <c r="D259" i="952"/>
  <c r="C259" i="952"/>
  <c r="AC258" i="952"/>
  <c r="AA258" i="952"/>
  <c r="Y258" i="952"/>
  <c r="E258" i="952"/>
  <c r="D258" i="952"/>
  <c r="C258" i="952"/>
  <c r="AC257" i="952"/>
  <c r="AA257" i="952"/>
  <c r="Y257" i="952"/>
  <c r="E257" i="952"/>
  <c r="D257" i="952"/>
  <c r="C257" i="952"/>
  <c r="AC256" i="952"/>
  <c r="AA256" i="952"/>
  <c r="Y256" i="952"/>
  <c r="E256" i="952"/>
  <c r="D256" i="952"/>
  <c r="C256" i="952"/>
  <c r="AC255" i="952"/>
  <c r="AA255" i="952"/>
  <c r="Y255" i="952"/>
  <c r="E255" i="952"/>
  <c r="D255" i="952"/>
  <c r="C255" i="952"/>
  <c r="AC254" i="952"/>
  <c r="AA254" i="952"/>
  <c r="Y254" i="952"/>
  <c r="E254" i="952"/>
  <c r="D254" i="952"/>
  <c r="C254" i="952"/>
  <c r="AC253" i="952"/>
  <c r="AA253" i="952"/>
  <c r="Y253" i="952"/>
  <c r="E253" i="952"/>
  <c r="D253" i="952"/>
  <c r="C253" i="952"/>
  <c r="AC252" i="952"/>
  <c r="AA252" i="952"/>
  <c r="Y252" i="952"/>
  <c r="E252" i="952"/>
  <c r="D252" i="952"/>
  <c r="C252" i="952"/>
  <c r="AC251" i="952"/>
  <c r="AA251" i="952"/>
  <c r="Y251" i="952"/>
  <c r="E251" i="952"/>
  <c r="D251" i="952"/>
  <c r="C251" i="952"/>
  <c r="AC250" i="952"/>
  <c r="AA250" i="952"/>
  <c r="Y250" i="952"/>
  <c r="E250" i="952"/>
  <c r="D250" i="952"/>
  <c r="C250" i="952"/>
  <c r="AC249" i="952"/>
  <c r="AA249" i="952"/>
  <c r="Y249" i="952"/>
  <c r="E249" i="952"/>
  <c r="D249" i="952"/>
  <c r="C249" i="952"/>
  <c r="AC248" i="952"/>
  <c r="AA248" i="952"/>
  <c r="Y248" i="952"/>
  <c r="E248" i="952"/>
  <c r="D248" i="952"/>
  <c r="C248" i="952"/>
  <c r="AC247" i="952"/>
  <c r="AA247" i="952"/>
  <c r="Y247" i="952"/>
  <c r="E247" i="952"/>
  <c r="D247" i="952"/>
  <c r="C247" i="952"/>
  <c r="AC246" i="952"/>
  <c r="AA246" i="952"/>
  <c r="Y246" i="952"/>
  <c r="E246" i="952"/>
  <c r="D246" i="952"/>
  <c r="C246" i="952"/>
  <c r="AC245" i="952"/>
  <c r="AA245" i="952"/>
  <c r="Y245" i="952"/>
  <c r="E245" i="952"/>
  <c r="D245" i="952"/>
  <c r="C245" i="952"/>
  <c r="AC244" i="952"/>
  <c r="AA244" i="952"/>
  <c r="Y244" i="952"/>
  <c r="E244" i="952"/>
  <c r="D244" i="952"/>
  <c r="C244" i="952"/>
  <c r="AC243" i="952"/>
  <c r="AA243" i="952"/>
  <c r="Y243" i="952"/>
  <c r="E243" i="952"/>
  <c r="D243" i="952"/>
  <c r="C243" i="952"/>
  <c r="AC242" i="952"/>
  <c r="AA242" i="952"/>
  <c r="Y242" i="952"/>
  <c r="E242" i="952"/>
  <c r="D242" i="952"/>
  <c r="C242" i="952"/>
  <c r="AC241" i="952"/>
  <c r="AA241" i="952"/>
  <c r="Y241" i="952"/>
  <c r="E241" i="952"/>
  <c r="D241" i="952"/>
  <c r="C241" i="952"/>
  <c r="AC240" i="952"/>
  <c r="AA240" i="952"/>
  <c r="Y240" i="952"/>
  <c r="E240" i="952"/>
  <c r="D240" i="952"/>
  <c r="C240" i="952"/>
  <c r="AC239" i="952"/>
  <c r="AA239" i="952"/>
  <c r="Y239" i="952"/>
  <c r="E239" i="952"/>
  <c r="D239" i="952"/>
  <c r="C239" i="952"/>
  <c r="AC238" i="952"/>
  <c r="AA238" i="952"/>
  <c r="Y238" i="952"/>
  <c r="E238" i="952"/>
  <c r="D238" i="952"/>
  <c r="C238" i="952"/>
  <c r="AC237" i="952"/>
  <c r="AA237" i="952"/>
  <c r="Y237" i="952"/>
  <c r="V237" i="952"/>
  <c r="S237" i="952"/>
  <c r="P237" i="952"/>
  <c r="E237" i="952"/>
  <c r="D237" i="952"/>
  <c r="C237" i="952"/>
  <c r="AC236" i="952"/>
  <c r="AA236" i="952"/>
  <c r="Y236" i="952"/>
  <c r="V236" i="952"/>
  <c r="S236" i="952"/>
  <c r="P236" i="952"/>
  <c r="E236" i="952"/>
  <c r="D236" i="952"/>
  <c r="C236" i="952"/>
  <c r="AC235" i="952"/>
  <c r="AA235" i="952"/>
  <c r="Y235" i="952"/>
  <c r="V235" i="952"/>
  <c r="S235" i="952"/>
  <c r="P235" i="952"/>
  <c r="E235" i="952"/>
  <c r="D235" i="952"/>
  <c r="C235" i="952"/>
  <c r="AC234" i="952"/>
  <c r="AA234" i="952"/>
  <c r="Y234" i="952"/>
  <c r="V234" i="952"/>
  <c r="S234" i="952"/>
  <c r="P234" i="952"/>
  <c r="E234" i="952"/>
  <c r="D234" i="952"/>
  <c r="C234" i="952"/>
  <c r="AC233" i="952"/>
  <c r="AA233" i="952"/>
  <c r="Y233" i="952"/>
  <c r="E233" i="952"/>
  <c r="D233" i="952"/>
  <c r="C233" i="952"/>
  <c r="W232" i="952"/>
  <c r="V232" i="952"/>
  <c r="T232" i="952"/>
  <c r="S232" i="952"/>
  <c r="Q232" i="952"/>
  <c r="P232" i="952"/>
  <c r="E232" i="952"/>
  <c r="D232" i="952"/>
  <c r="C232" i="952"/>
  <c r="E231" i="952"/>
  <c r="D231" i="952"/>
  <c r="C231" i="952"/>
  <c r="AC230" i="952"/>
  <c r="AA230" i="952"/>
  <c r="AB236" i="952" s="1"/>
  <c r="Y230" i="952"/>
  <c r="Z265" i="952" s="1"/>
  <c r="E230" i="952"/>
  <c r="D230" i="952"/>
  <c r="C230" i="952"/>
  <c r="E229" i="952"/>
  <c r="D229" i="952"/>
  <c r="C229" i="952"/>
  <c r="E228" i="952"/>
  <c r="D228" i="952"/>
  <c r="C228" i="952"/>
  <c r="E227" i="952"/>
  <c r="D227" i="952"/>
  <c r="C227" i="952"/>
  <c r="E226" i="952"/>
  <c r="D226" i="952"/>
  <c r="C226" i="952"/>
  <c r="I225" i="952"/>
  <c r="N225" i="952" s="1"/>
  <c r="E225" i="952"/>
  <c r="D225" i="952"/>
  <c r="C225" i="952"/>
  <c r="N224" i="952"/>
  <c r="Y223" i="952"/>
  <c r="N223" i="952"/>
  <c r="Y222" i="952"/>
  <c r="N222" i="952"/>
  <c r="N221" i="952"/>
  <c r="N220" i="952"/>
  <c r="N219" i="952"/>
  <c r="N218" i="952"/>
  <c r="N217" i="952"/>
  <c r="I216" i="952"/>
  <c r="N216" i="952" s="1"/>
  <c r="C216" i="952"/>
  <c r="E216" i="952" s="1"/>
  <c r="I215" i="952"/>
  <c r="N215" i="952" s="1"/>
  <c r="C215" i="952"/>
  <c r="E215" i="952" s="1"/>
  <c r="I214" i="952"/>
  <c r="N214" i="952" s="1"/>
  <c r="C214" i="952"/>
  <c r="E214" i="952" s="1"/>
  <c r="I213" i="952"/>
  <c r="N213" i="952" s="1"/>
  <c r="E213" i="952"/>
  <c r="C213" i="952"/>
  <c r="D213" i="952" s="1"/>
  <c r="I212" i="952"/>
  <c r="N212" i="952" s="1"/>
  <c r="C212" i="952"/>
  <c r="E212" i="952" s="1"/>
  <c r="I211" i="952"/>
  <c r="N211" i="952" s="1"/>
  <c r="C211" i="952"/>
  <c r="D211" i="952" s="1"/>
  <c r="I210" i="952"/>
  <c r="N210" i="952" s="1"/>
  <c r="C210" i="952"/>
  <c r="E210" i="952" s="1"/>
  <c r="I209" i="952"/>
  <c r="C209" i="952"/>
  <c r="E209" i="952" s="1"/>
  <c r="I208" i="952"/>
  <c r="C208" i="952"/>
  <c r="E208" i="952" s="1"/>
  <c r="I207" i="952"/>
  <c r="N207" i="952" s="1"/>
  <c r="C207" i="952"/>
  <c r="E207" i="952" s="1"/>
  <c r="I206" i="952"/>
  <c r="N206" i="952" s="1"/>
  <c r="C206" i="952"/>
  <c r="E206" i="952" s="1"/>
  <c r="I205" i="952"/>
  <c r="N205" i="952" s="1"/>
  <c r="C205" i="952"/>
  <c r="E205" i="952" s="1"/>
  <c r="I204" i="952"/>
  <c r="N204" i="952" s="1"/>
  <c r="C204" i="952"/>
  <c r="E204" i="952" s="1"/>
  <c r="I203" i="952"/>
  <c r="N203" i="952" s="1"/>
  <c r="C203" i="952"/>
  <c r="D203" i="952" s="1"/>
  <c r="I202" i="952"/>
  <c r="N202" i="952" s="1"/>
  <c r="C202" i="952"/>
  <c r="E202" i="952" s="1"/>
  <c r="I201" i="952"/>
  <c r="C201" i="952"/>
  <c r="E201" i="952" s="1"/>
  <c r="I200" i="952"/>
  <c r="C200" i="952"/>
  <c r="E200" i="952" s="1"/>
  <c r="I199" i="952"/>
  <c r="N199" i="952" s="1"/>
  <c r="C199" i="952"/>
  <c r="E199" i="952" s="1"/>
  <c r="I198" i="952"/>
  <c r="N198" i="952" s="1"/>
  <c r="C198" i="952"/>
  <c r="E198" i="952" s="1"/>
  <c r="I197" i="952"/>
  <c r="N197" i="952" s="1"/>
  <c r="C197" i="952"/>
  <c r="D197" i="952" s="1"/>
  <c r="I196" i="952"/>
  <c r="N196" i="952" s="1"/>
  <c r="C196" i="952"/>
  <c r="E196" i="952" s="1"/>
  <c r="I195" i="952"/>
  <c r="N195" i="952" s="1"/>
  <c r="C195" i="952"/>
  <c r="E195" i="952" s="1"/>
  <c r="I194" i="952"/>
  <c r="N194" i="952" s="1"/>
  <c r="C194" i="952"/>
  <c r="E194" i="952" s="1"/>
  <c r="I193" i="952"/>
  <c r="C193" i="952"/>
  <c r="E193" i="952" s="1"/>
  <c r="I192" i="952"/>
  <c r="C192" i="952"/>
  <c r="E192" i="952" s="1"/>
  <c r="I191" i="952"/>
  <c r="N191" i="952" s="1"/>
  <c r="C191" i="952"/>
  <c r="E191" i="952" s="1"/>
  <c r="I190" i="952"/>
  <c r="N190" i="952" s="1"/>
  <c r="C190" i="952"/>
  <c r="E190" i="952" s="1"/>
  <c r="I189" i="952"/>
  <c r="N189" i="952" s="1"/>
  <c r="C189" i="952"/>
  <c r="E189" i="952" s="1"/>
  <c r="I188" i="952"/>
  <c r="N188" i="952" s="1"/>
  <c r="C188" i="952"/>
  <c r="E188" i="952" s="1"/>
  <c r="I187" i="952"/>
  <c r="N187" i="952" s="1"/>
  <c r="C187" i="952"/>
  <c r="D187" i="952" s="1"/>
  <c r="I186" i="952"/>
  <c r="C186" i="952"/>
  <c r="E186" i="952" s="1"/>
  <c r="I185" i="952"/>
  <c r="N185" i="952" s="1"/>
  <c r="C185" i="952"/>
  <c r="D185" i="952" s="1"/>
  <c r="I184" i="952"/>
  <c r="N184" i="952" s="1"/>
  <c r="C184" i="952"/>
  <c r="E184" i="952" s="1"/>
  <c r="I183" i="952"/>
  <c r="N183" i="952" s="1"/>
  <c r="C183" i="952"/>
  <c r="E183" i="952" s="1"/>
  <c r="I182" i="952"/>
  <c r="N182" i="952" s="1"/>
  <c r="C182" i="952"/>
  <c r="E182" i="952" s="1"/>
  <c r="I181" i="952"/>
  <c r="C181" i="952"/>
  <c r="D181" i="952" s="1"/>
  <c r="I180" i="952"/>
  <c r="C180" i="952"/>
  <c r="E180" i="952" s="1"/>
  <c r="I179" i="952"/>
  <c r="N179" i="952" s="1"/>
  <c r="C179" i="952"/>
  <c r="E179" i="952" s="1"/>
  <c r="I178" i="952"/>
  <c r="N178" i="952" s="1"/>
  <c r="C178" i="952"/>
  <c r="E178" i="952" s="1"/>
  <c r="I177" i="952"/>
  <c r="N177" i="952" s="1"/>
  <c r="C177" i="952"/>
  <c r="E177" i="952" s="1"/>
  <c r="V176" i="952"/>
  <c r="S176" i="952"/>
  <c r="I176" i="952"/>
  <c r="N176" i="952" s="1"/>
  <c r="E176" i="952"/>
  <c r="C176" i="952"/>
  <c r="D176" i="952" s="1"/>
  <c r="V175" i="952"/>
  <c r="S175" i="952"/>
  <c r="I175" i="952"/>
  <c r="N175" i="952" s="1"/>
  <c r="C175" i="952"/>
  <c r="E175" i="952" s="1"/>
  <c r="V174" i="952"/>
  <c r="S174" i="952"/>
  <c r="I174" i="952"/>
  <c r="N174" i="952" s="1"/>
  <c r="C174" i="952"/>
  <c r="E174" i="952" s="1"/>
  <c r="V173" i="952"/>
  <c r="S173" i="952"/>
  <c r="I173" i="952"/>
  <c r="C173" i="952"/>
  <c r="D173" i="952" s="1"/>
  <c r="V172" i="952"/>
  <c r="S172" i="952"/>
  <c r="I172" i="952"/>
  <c r="N172" i="952" s="1"/>
  <c r="C172" i="952"/>
  <c r="D172" i="952" s="1"/>
  <c r="I171" i="952"/>
  <c r="N171" i="952" s="1"/>
  <c r="C171" i="952"/>
  <c r="E171" i="952" s="1"/>
  <c r="R170" i="952"/>
  <c r="T170" i="952" s="1"/>
  <c r="I170" i="952"/>
  <c r="C170" i="952"/>
  <c r="E170" i="952" s="1"/>
  <c r="I169" i="952"/>
  <c r="E169" i="952"/>
  <c r="D169" i="952"/>
  <c r="C169" i="952"/>
  <c r="I168" i="952"/>
  <c r="N168" i="952" s="1"/>
  <c r="C168" i="952"/>
  <c r="E168" i="952" s="1"/>
  <c r="I167" i="952"/>
  <c r="N167" i="952" s="1"/>
  <c r="C167" i="952"/>
  <c r="D167" i="952" s="1"/>
  <c r="I166" i="952"/>
  <c r="N166" i="952" s="1"/>
  <c r="C166" i="952"/>
  <c r="E166" i="952" s="1"/>
  <c r="I165" i="952"/>
  <c r="N165" i="952" s="1"/>
  <c r="C165" i="952"/>
  <c r="D165" i="952" s="1"/>
  <c r="I164" i="952"/>
  <c r="N164" i="952" s="1"/>
  <c r="C164" i="952"/>
  <c r="E164" i="952" s="1"/>
  <c r="R163" i="952"/>
  <c r="P163" i="952"/>
  <c r="I163" i="952"/>
  <c r="N163" i="952" s="1"/>
  <c r="C163" i="952"/>
  <c r="D163" i="952" s="1"/>
  <c r="R162" i="952"/>
  <c r="P162" i="952"/>
  <c r="I162" i="952"/>
  <c r="N162" i="952" s="1"/>
  <c r="C162" i="952"/>
  <c r="D162" i="952" s="1"/>
  <c r="T161" i="952"/>
  <c r="R161" i="952"/>
  <c r="P161" i="952"/>
  <c r="I161" i="952"/>
  <c r="C161" i="952"/>
  <c r="E161" i="952" s="1"/>
  <c r="P160" i="952"/>
  <c r="C774" i="952" s="1"/>
  <c r="I160" i="952"/>
  <c r="N160" i="952" s="1"/>
  <c r="C160" i="952"/>
  <c r="E160" i="952" s="1"/>
  <c r="I159" i="952"/>
  <c r="N159" i="952" s="1"/>
  <c r="C159" i="952"/>
  <c r="E159" i="952" s="1"/>
  <c r="I158" i="952"/>
  <c r="C158" i="952"/>
  <c r="E158" i="952" s="1"/>
  <c r="I157" i="952"/>
  <c r="N157" i="952" s="1"/>
  <c r="C157" i="952"/>
  <c r="E157" i="952" s="1"/>
  <c r="Z156" i="952"/>
  <c r="I768" i="952" s="1"/>
  <c r="S156" i="952"/>
  <c r="I156" i="952"/>
  <c r="C156" i="952"/>
  <c r="E156" i="952" s="1"/>
  <c r="I155" i="952"/>
  <c r="N155" i="952" s="1"/>
  <c r="C155" i="952"/>
  <c r="E155" i="952" s="1"/>
  <c r="T154" i="952"/>
  <c r="S154" i="952"/>
  <c r="I154" i="952"/>
  <c r="N154" i="952" s="1"/>
  <c r="C154" i="952"/>
  <c r="E154" i="952" s="1"/>
  <c r="R153" i="952"/>
  <c r="I153" i="952"/>
  <c r="N153" i="952" s="1"/>
  <c r="C153" i="952"/>
  <c r="E153" i="952" s="1"/>
  <c r="AN152" i="952"/>
  <c r="AD152" i="952"/>
  <c r="I749" i="952" s="1"/>
  <c r="AC152" i="952"/>
  <c r="I750" i="952" s="1"/>
  <c r="AB152" i="952"/>
  <c r="I748" i="952" s="1"/>
  <c r="AA152" i="952"/>
  <c r="Z152" i="952"/>
  <c r="I753" i="952" s="1"/>
  <c r="Y152" i="952"/>
  <c r="I152" i="952"/>
  <c r="C152" i="952"/>
  <c r="E152" i="952" s="1"/>
  <c r="AN151" i="952"/>
  <c r="AD151" i="952"/>
  <c r="I734" i="952" s="1"/>
  <c r="AC151" i="952"/>
  <c r="I735" i="952" s="1"/>
  <c r="AB151" i="952"/>
  <c r="I733" i="952" s="1"/>
  <c r="AA151" i="952"/>
  <c r="Z151" i="952"/>
  <c r="I738" i="952" s="1"/>
  <c r="Y151" i="952"/>
  <c r="I739" i="952" s="1"/>
  <c r="I151" i="952"/>
  <c r="N151" i="952" s="1"/>
  <c r="C151" i="952"/>
  <c r="D151" i="952" s="1"/>
  <c r="AN150" i="952"/>
  <c r="AD150" i="952"/>
  <c r="I719" i="952" s="1"/>
  <c r="AC150" i="952"/>
  <c r="I720" i="952" s="1"/>
  <c r="AB150" i="952"/>
  <c r="I718" i="952" s="1"/>
  <c r="AA150" i="952"/>
  <c r="Z150" i="952"/>
  <c r="I723" i="952" s="1"/>
  <c r="Y150" i="952"/>
  <c r="I724" i="952" s="1"/>
  <c r="I150" i="952"/>
  <c r="N150" i="952" s="1"/>
  <c r="C150" i="952"/>
  <c r="E150" i="952" s="1"/>
  <c r="AN149" i="952"/>
  <c r="AD149" i="952"/>
  <c r="I704" i="952" s="1"/>
  <c r="AC149" i="952"/>
  <c r="I705" i="952" s="1"/>
  <c r="AB149" i="952"/>
  <c r="I703" i="952" s="1"/>
  <c r="AA149" i="952"/>
  <c r="Z149" i="952"/>
  <c r="I708" i="952" s="1"/>
  <c r="Y149" i="952"/>
  <c r="I709" i="952" s="1"/>
  <c r="I149" i="952"/>
  <c r="N149" i="952" s="1"/>
  <c r="C149" i="952"/>
  <c r="E149" i="952" s="1"/>
  <c r="I148" i="952"/>
  <c r="N148" i="952" s="1"/>
  <c r="E148" i="952"/>
  <c r="D148" i="952"/>
  <c r="C148" i="952"/>
  <c r="T147" i="952"/>
  <c r="Q147" i="952"/>
  <c r="I147" i="952"/>
  <c r="N147" i="952" s="1"/>
  <c r="C147" i="952"/>
  <c r="D147" i="952" s="1"/>
  <c r="Q146" i="952"/>
  <c r="I146" i="952"/>
  <c r="C146" i="952"/>
  <c r="E146" i="952" s="1"/>
  <c r="AN145" i="952"/>
  <c r="Z145" i="952"/>
  <c r="I693" i="952" s="1"/>
  <c r="Y145" i="952"/>
  <c r="I694" i="952" s="1"/>
  <c r="I145" i="952"/>
  <c r="N145" i="952" s="1"/>
  <c r="C145" i="952"/>
  <c r="E145" i="952" s="1"/>
  <c r="AN144" i="952"/>
  <c r="Z144" i="952"/>
  <c r="I678" i="952" s="1"/>
  <c r="Y144" i="952"/>
  <c r="I144" i="952"/>
  <c r="N144" i="952" s="1"/>
  <c r="C144" i="952"/>
  <c r="E144" i="952" s="1"/>
  <c r="AN143" i="952"/>
  <c r="Z143" i="952"/>
  <c r="I663" i="952" s="1"/>
  <c r="Y143" i="952"/>
  <c r="I664" i="952" s="1"/>
  <c r="I143" i="952"/>
  <c r="C143" i="952"/>
  <c r="E143" i="952" s="1"/>
  <c r="AN142" i="952"/>
  <c r="Z142" i="952"/>
  <c r="I648" i="952" s="1"/>
  <c r="Y142" i="952"/>
  <c r="I649" i="952" s="1"/>
  <c r="I142" i="952"/>
  <c r="C142" i="952"/>
  <c r="E142" i="952" s="1"/>
  <c r="AN141" i="952"/>
  <c r="Z141" i="952"/>
  <c r="I633" i="952" s="1"/>
  <c r="Y141" i="952"/>
  <c r="I634" i="952" s="1"/>
  <c r="I141" i="952"/>
  <c r="N141" i="952" s="1"/>
  <c r="C141" i="952"/>
  <c r="E141" i="952" s="1"/>
  <c r="I140" i="952"/>
  <c r="N140" i="952" s="1"/>
  <c r="C140" i="952"/>
  <c r="D140" i="952" s="1"/>
  <c r="T139" i="952"/>
  <c r="S139" i="952"/>
  <c r="R139" i="952"/>
  <c r="Q139" i="952"/>
  <c r="I139" i="952"/>
  <c r="N139" i="952" s="1"/>
  <c r="C139" i="952"/>
  <c r="D139" i="952" s="1"/>
  <c r="P138" i="952"/>
  <c r="I138" i="952"/>
  <c r="N138" i="952" s="1"/>
  <c r="C138" i="952"/>
  <c r="E138" i="952" s="1"/>
  <c r="AN137" i="952"/>
  <c r="AD137" i="952"/>
  <c r="I614" i="952" s="1"/>
  <c r="AC137" i="952"/>
  <c r="I615" i="952" s="1"/>
  <c r="AB137" i="952"/>
  <c r="I613" i="952" s="1"/>
  <c r="Z137" i="952"/>
  <c r="I618" i="952" s="1"/>
  <c r="Y137" i="952"/>
  <c r="J137" i="952"/>
  <c r="I137" i="952"/>
  <c r="C137" i="952"/>
  <c r="AN136" i="952"/>
  <c r="AD136" i="952"/>
  <c r="I599" i="952" s="1"/>
  <c r="AC136" i="952"/>
  <c r="I600" i="952" s="1"/>
  <c r="AB136" i="952"/>
  <c r="I598" i="952" s="1"/>
  <c r="Z136" i="952"/>
  <c r="I603" i="952" s="1"/>
  <c r="Y136" i="952"/>
  <c r="I604" i="952" s="1"/>
  <c r="N136" i="952"/>
  <c r="AN135" i="952"/>
  <c r="AD135" i="952"/>
  <c r="I584" i="952" s="1"/>
  <c r="AC135" i="952"/>
  <c r="I585" i="952" s="1"/>
  <c r="AB135" i="952"/>
  <c r="I583" i="952" s="1"/>
  <c r="Z135" i="952"/>
  <c r="I588" i="952" s="1"/>
  <c r="Y135" i="952"/>
  <c r="I589" i="952" s="1"/>
  <c r="N135" i="952"/>
  <c r="AN134" i="952"/>
  <c r="AD134" i="952"/>
  <c r="I569" i="952" s="1"/>
  <c r="AC134" i="952"/>
  <c r="I570" i="952" s="1"/>
  <c r="AB134" i="952"/>
  <c r="I568" i="952" s="1"/>
  <c r="Z134" i="952"/>
  <c r="I573" i="952" s="1"/>
  <c r="Y134" i="952"/>
  <c r="I574" i="952" s="1"/>
  <c r="N134" i="952"/>
  <c r="AN133" i="952"/>
  <c r="AD133" i="952"/>
  <c r="I554" i="952" s="1"/>
  <c r="AC133" i="952"/>
  <c r="I555" i="952" s="1"/>
  <c r="AB133" i="952"/>
  <c r="I553" i="952" s="1"/>
  <c r="Z133" i="952"/>
  <c r="I558" i="952" s="1"/>
  <c r="Y133" i="952"/>
  <c r="I559" i="952" s="1"/>
  <c r="N133" i="952"/>
  <c r="N132" i="952"/>
  <c r="T131" i="952"/>
  <c r="S131" i="952"/>
  <c r="R131" i="952"/>
  <c r="Q131" i="952"/>
  <c r="N131" i="952"/>
  <c r="P130" i="952"/>
  <c r="N130" i="952"/>
  <c r="N129" i="952"/>
  <c r="C126" i="952"/>
  <c r="N126" i="952" s="1"/>
  <c r="C123" i="952"/>
  <c r="N125" i="952" s="1"/>
  <c r="C120" i="952"/>
  <c r="N120" i="952" s="1"/>
  <c r="N119" i="952"/>
  <c r="N118" i="952"/>
  <c r="N117" i="952"/>
  <c r="N116" i="952"/>
  <c r="F116" i="952"/>
  <c r="G116" i="952" s="1"/>
  <c r="U111" i="952"/>
  <c r="U110" i="952"/>
  <c r="T106" i="952"/>
  <c r="R106" i="952"/>
  <c r="P106" i="952"/>
  <c r="C106" i="952"/>
  <c r="T105" i="952"/>
  <c r="R105" i="952"/>
  <c r="P105" i="952"/>
  <c r="C105" i="952"/>
  <c r="T104" i="952"/>
  <c r="R104" i="952"/>
  <c r="P104" i="952"/>
  <c r="C104" i="952"/>
  <c r="P103" i="952"/>
  <c r="C534" i="952" s="1"/>
  <c r="C103" i="952"/>
  <c r="F103" i="952" s="1"/>
  <c r="C102" i="952"/>
  <c r="F102" i="952" s="1"/>
  <c r="AN101" i="952"/>
  <c r="AA101" i="952"/>
  <c r="I523" i="952" s="1"/>
  <c r="Z101" i="952"/>
  <c r="I520" i="952" s="1"/>
  <c r="Y101" i="952"/>
  <c r="I529" i="952" s="1"/>
  <c r="S100" i="952"/>
  <c r="R100" i="952"/>
  <c r="Q99" i="952"/>
  <c r="AN98" i="952"/>
  <c r="AK98" i="952"/>
  <c r="F516" i="952" s="1"/>
  <c r="AI98" i="952"/>
  <c r="F517" i="952" s="1"/>
  <c r="AG98" i="952"/>
  <c r="F515" i="952" s="1"/>
  <c r="AE98" i="952"/>
  <c r="I509" i="952" s="1"/>
  <c r="AD98" i="952"/>
  <c r="I510" i="952" s="1"/>
  <c r="AC98" i="952"/>
  <c r="I508" i="952" s="1"/>
  <c r="AB98" i="952"/>
  <c r="I511" i="952" s="1"/>
  <c r="AA98" i="952"/>
  <c r="Z98" i="952"/>
  <c r="I507" i="952" s="1"/>
  <c r="Y98" i="952"/>
  <c r="I514" i="952" s="1"/>
  <c r="AN97" i="952"/>
  <c r="AK97" i="952"/>
  <c r="F501" i="952" s="1"/>
  <c r="AI97" i="952"/>
  <c r="F502" i="952" s="1"/>
  <c r="AG97" i="952"/>
  <c r="F500" i="952" s="1"/>
  <c r="AE97" i="952"/>
  <c r="I494" i="952" s="1"/>
  <c r="AD97" i="952"/>
  <c r="I495" i="952" s="1"/>
  <c r="AC97" i="952"/>
  <c r="I493" i="952" s="1"/>
  <c r="AB97" i="952"/>
  <c r="I496" i="952" s="1"/>
  <c r="AA97" i="952"/>
  <c r="Z97" i="952"/>
  <c r="I492" i="952" s="1"/>
  <c r="Y97" i="952"/>
  <c r="I499" i="952" s="1"/>
  <c r="AN96" i="952"/>
  <c r="AK96" i="952"/>
  <c r="F486" i="952" s="1"/>
  <c r="AI96" i="952"/>
  <c r="F487" i="952" s="1"/>
  <c r="AG96" i="952"/>
  <c r="F485" i="952" s="1"/>
  <c r="AC96" i="952"/>
  <c r="I478" i="952" s="1"/>
  <c r="AB96" i="952"/>
  <c r="I481" i="952" s="1"/>
  <c r="AA96" i="952"/>
  <c r="Z96" i="952"/>
  <c r="I477" i="952" s="1"/>
  <c r="Y96" i="952"/>
  <c r="I484" i="952" s="1"/>
  <c r="AN95" i="952"/>
  <c r="AK95" i="952"/>
  <c r="F471" i="952" s="1"/>
  <c r="AI95" i="952"/>
  <c r="F472" i="952" s="1"/>
  <c r="AG95" i="952"/>
  <c r="F470" i="952" s="1"/>
  <c r="AE95" i="952"/>
  <c r="I464" i="952" s="1"/>
  <c r="AD95" i="952"/>
  <c r="I465" i="952" s="1"/>
  <c r="AB95" i="952"/>
  <c r="I466" i="952" s="1"/>
  <c r="AA95" i="952"/>
  <c r="Z95" i="952"/>
  <c r="I462" i="952" s="1"/>
  <c r="Y95" i="952"/>
  <c r="I469" i="952" s="1"/>
  <c r="T94" i="952"/>
  <c r="S94" i="952"/>
  <c r="R94" i="952"/>
  <c r="Q93" i="952"/>
  <c r="AN92" i="952"/>
  <c r="AK92" i="952"/>
  <c r="F456" i="952" s="1"/>
  <c r="AI92" i="952"/>
  <c r="F457" i="952" s="1"/>
  <c r="AG92" i="952"/>
  <c r="F455" i="952" s="1"/>
  <c r="AE92" i="952"/>
  <c r="I449" i="952" s="1"/>
  <c r="AD92" i="952"/>
  <c r="I450" i="952" s="1"/>
  <c r="AC92" i="952"/>
  <c r="I448" i="952" s="1"/>
  <c r="AB92" i="952"/>
  <c r="I451" i="952" s="1"/>
  <c r="AA92" i="952"/>
  <c r="I445" i="952" s="1"/>
  <c r="Z92" i="952"/>
  <c r="I447" i="952" s="1"/>
  <c r="Y92" i="952"/>
  <c r="I454" i="952" s="1"/>
  <c r="AN91" i="952"/>
  <c r="AK91" i="952"/>
  <c r="F441" i="952" s="1"/>
  <c r="AI91" i="952"/>
  <c r="F442" i="952" s="1"/>
  <c r="AG91" i="952"/>
  <c r="F440" i="952" s="1"/>
  <c r="AE91" i="952"/>
  <c r="I434" i="952" s="1"/>
  <c r="AD91" i="952"/>
  <c r="I435" i="952" s="1"/>
  <c r="AC91" i="952"/>
  <c r="I433" i="952" s="1"/>
  <c r="AB91" i="952"/>
  <c r="I436" i="952" s="1"/>
  <c r="AA91" i="952"/>
  <c r="I430" i="952" s="1"/>
  <c r="Z91" i="952"/>
  <c r="I432" i="952" s="1"/>
  <c r="Y91" i="952"/>
  <c r="I439" i="952" s="1"/>
  <c r="AN90" i="952"/>
  <c r="AK90" i="952"/>
  <c r="F426" i="952" s="1"/>
  <c r="AI90" i="952"/>
  <c r="F427" i="952" s="1"/>
  <c r="AG90" i="952"/>
  <c r="F425" i="952" s="1"/>
  <c r="AE90" i="952"/>
  <c r="I419" i="952" s="1"/>
  <c r="AD90" i="952"/>
  <c r="I420" i="952" s="1"/>
  <c r="AC90" i="952"/>
  <c r="I418" i="952" s="1"/>
  <c r="AB90" i="952"/>
  <c r="I421" i="952" s="1"/>
  <c r="AA90" i="952"/>
  <c r="I415" i="952" s="1"/>
  <c r="Z90" i="952"/>
  <c r="I417" i="952" s="1"/>
  <c r="Y90" i="952"/>
  <c r="I424" i="952" s="1"/>
  <c r="AN89" i="952"/>
  <c r="AK89" i="952"/>
  <c r="F411" i="952" s="1"/>
  <c r="AI89" i="952"/>
  <c r="F412" i="952" s="1"/>
  <c r="AG89" i="952"/>
  <c r="F410" i="952" s="1"/>
  <c r="AE89" i="952"/>
  <c r="I404" i="952" s="1"/>
  <c r="AD89" i="952"/>
  <c r="I405" i="952" s="1"/>
  <c r="AC89" i="952"/>
  <c r="I403" i="952" s="1"/>
  <c r="AB89" i="952"/>
  <c r="I406" i="952" s="1"/>
  <c r="AA89" i="952"/>
  <c r="I400" i="952" s="1"/>
  <c r="Z89" i="952"/>
  <c r="I402" i="952" s="1"/>
  <c r="Y89" i="952"/>
  <c r="I409" i="952" s="1"/>
  <c r="AN88" i="952"/>
  <c r="AK88" i="952"/>
  <c r="F396" i="952" s="1"/>
  <c r="AI88" i="952"/>
  <c r="F397" i="952" s="1"/>
  <c r="AG88" i="952"/>
  <c r="F395" i="952" s="1"/>
  <c r="AE88" i="952"/>
  <c r="I389" i="952" s="1"/>
  <c r="AD88" i="952"/>
  <c r="I390" i="952" s="1"/>
  <c r="AC88" i="952"/>
  <c r="I388" i="952" s="1"/>
  <c r="AB88" i="952"/>
  <c r="I391" i="952" s="1"/>
  <c r="AA88" i="952"/>
  <c r="I385" i="952" s="1"/>
  <c r="Z88" i="952"/>
  <c r="I387" i="952" s="1"/>
  <c r="Y88" i="952"/>
  <c r="I394" i="952" s="1"/>
  <c r="T87" i="952"/>
  <c r="S87" i="952"/>
  <c r="R87" i="952"/>
  <c r="Q87" i="952"/>
  <c r="P86" i="952"/>
  <c r="AN85" i="952"/>
  <c r="AK85" i="952"/>
  <c r="F381" i="952" s="1"/>
  <c r="AI85" i="952"/>
  <c r="F382" i="952" s="1"/>
  <c r="AG85" i="952"/>
  <c r="F380" i="952" s="1"/>
  <c r="AE85" i="952"/>
  <c r="I374" i="952" s="1"/>
  <c r="AD85" i="952"/>
  <c r="I375" i="952" s="1"/>
  <c r="AC85" i="952"/>
  <c r="I373" i="952" s="1"/>
  <c r="AB85" i="952"/>
  <c r="I376" i="952" s="1"/>
  <c r="AA85" i="952"/>
  <c r="I370" i="952" s="1"/>
  <c r="Z85" i="952"/>
  <c r="I372" i="952" s="1"/>
  <c r="Y85" i="952"/>
  <c r="I379" i="952" s="1"/>
  <c r="AN84" i="952"/>
  <c r="AK84" i="952"/>
  <c r="F366" i="952" s="1"/>
  <c r="AI84" i="952"/>
  <c r="F367" i="952" s="1"/>
  <c r="AG84" i="952"/>
  <c r="F365" i="952" s="1"/>
  <c r="AE84" i="952"/>
  <c r="I359" i="952" s="1"/>
  <c r="AD84" i="952"/>
  <c r="I360" i="952" s="1"/>
  <c r="AC84" i="952"/>
  <c r="I358" i="952" s="1"/>
  <c r="AB84" i="952"/>
  <c r="I361" i="952" s="1"/>
  <c r="AA84" i="952"/>
  <c r="I355" i="952" s="1"/>
  <c r="Z84" i="952"/>
  <c r="I357" i="952" s="1"/>
  <c r="Y84" i="952"/>
  <c r="I364" i="952" s="1"/>
  <c r="AN83" i="952"/>
  <c r="AK83" i="952"/>
  <c r="F351" i="952" s="1"/>
  <c r="AI83" i="952"/>
  <c r="F352" i="952" s="1"/>
  <c r="AG83" i="952"/>
  <c r="F350" i="952" s="1"/>
  <c r="AE83" i="952"/>
  <c r="I344" i="952" s="1"/>
  <c r="AD83" i="952"/>
  <c r="I345" i="952" s="1"/>
  <c r="AC83" i="952"/>
  <c r="I343" i="952" s="1"/>
  <c r="AB83" i="952"/>
  <c r="I346" i="952" s="1"/>
  <c r="AA83" i="952"/>
  <c r="I340" i="952" s="1"/>
  <c r="Z83" i="952"/>
  <c r="I342" i="952" s="1"/>
  <c r="Y83" i="952"/>
  <c r="I349" i="952" s="1"/>
  <c r="C83" i="952"/>
  <c r="AN82" i="952"/>
  <c r="AK82" i="952"/>
  <c r="F336" i="952" s="1"/>
  <c r="AI82" i="952"/>
  <c r="F337" i="952" s="1"/>
  <c r="AG82" i="952"/>
  <c r="F335" i="952" s="1"/>
  <c r="AE82" i="952"/>
  <c r="I329" i="952" s="1"/>
  <c r="AD82" i="952"/>
  <c r="I330" i="952" s="1"/>
  <c r="AC82" i="952"/>
  <c r="I328" i="952" s="1"/>
  <c r="AB82" i="952"/>
  <c r="I331" i="952" s="1"/>
  <c r="AA82" i="952"/>
  <c r="I325" i="952" s="1"/>
  <c r="Z82" i="952"/>
  <c r="I327" i="952" s="1"/>
  <c r="Y82" i="952"/>
  <c r="I334" i="952" s="1"/>
  <c r="AN81" i="952"/>
  <c r="AK81" i="952"/>
  <c r="F321" i="952" s="1"/>
  <c r="AI81" i="952"/>
  <c r="AG81" i="952"/>
  <c r="AH81" i="952" s="1"/>
  <c r="AE81" i="952"/>
  <c r="I314" i="952" s="1"/>
  <c r="AD81" i="952"/>
  <c r="I315" i="952" s="1"/>
  <c r="AC81" i="952"/>
  <c r="I313" i="952" s="1"/>
  <c r="AB81" i="952"/>
  <c r="I316" i="952" s="1"/>
  <c r="AA81" i="952"/>
  <c r="I310" i="952" s="1"/>
  <c r="Z81" i="952"/>
  <c r="I312" i="952" s="1"/>
  <c r="Y81" i="952"/>
  <c r="I319" i="952" s="1"/>
  <c r="N81" i="952"/>
  <c r="T80" i="952"/>
  <c r="S80" i="952"/>
  <c r="R80" i="952"/>
  <c r="Q80" i="952"/>
  <c r="N80" i="952"/>
  <c r="P79" i="952"/>
  <c r="N79" i="952"/>
  <c r="T78" i="952"/>
  <c r="S78" i="952"/>
  <c r="Q78" i="952"/>
  <c r="P78" i="952"/>
  <c r="N78" i="952"/>
  <c r="T77" i="952"/>
  <c r="Q77" i="952"/>
  <c r="P77" i="952"/>
  <c r="S77" i="952" s="1"/>
  <c r="N77" i="952"/>
  <c r="Q76" i="952"/>
  <c r="N76" i="952"/>
  <c r="AB75" i="952"/>
  <c r="I916" i="952" s="1"/>
  <c r="R75" i="952"/>
  <c r="P75" i="952"/>
  <c r="N75" i="952"/>
  <c r="R74" i="952"/>
  <c r="Q74" i="952"/>
  <c r="N74" i="952"/>
  <c r="V73" i="952"/>
  <c r="U73" i="952"/>
  <c r="T73" i="952"/>
  <c r="S73" i="952"/>
  <c r="Q73" i="952"/>
  <c r="P73" i="952"/>
  <c r="N73" i="952"/>
  <c r="P72" i="952"/>
  <c r="N72" i="952"/>
  <c r="N71" i="952"/>
  <c r="J69" i="952"/>
  <c r="I69" i="952"/>
  <c r="N69" i="952" s="1"/>
  <c r="C69" i="952"/>
  <c r="J68" i="952"/>
  <c r="I68" i="952"/>
  <c r="N68" i="952" s="1"/>
  <c r="C68" i="952"/>
  <c r="J67" i="952"/>
  <c r="I67" i="952"/>
  <c r="N67" i="952" s="1"/>
  <c r="C67" i="952"/>
  <c r="J66" i="952"/>
  <c r="I66" i="952"/>
  <c r="N66" i="952" s="1"/>
  <c r="C66" i="952"/>
  <c r="J65" i="952"/>
  <c r="C65" i="952"/>
  <c r="J64" i="952"/>
  <c r="C64" i="952"/>
  <c r="J63" i="952"/>
  <c r="C63" i="952"/>
  <c r="N61" i="952"/>
  <c r="L61" i="952"/>
  <c r="N60" i="952"/>
  <c r="L60" i="952"/>
  <c r="N59" i="952"/>
  <c r="L59" i="952"/>
  <c r="N58" i="952"/>
  <c r="L58" i="952"/>
  <c r="N57" i="952"/>
  <c r="L57" i="952"/>
  <c r="N56" i="952"/>
  <c r="L56" i="952"/>
  <c r="N55" i="952"/>
  <c r="L55" i="952"/>
  <c r="N54" i="952"/>
  <c r="L54" i="952"/>
  <c r="N53" i="952"/>
  <c r="L53" i="952"/>
  <c r="N52" i="952"/>
  <c r="L52" i="952"/>
  <c r="N51" i="952"/>
  <c r="L51" i="952"/>
  <c r="N50" i="952"/>
  <c r="L50" i="952"/>
  <c r="N49" i="952"/>
  <c r="L49" i="952"/>
  <c r="N48" i="952"/>
  <c r="L48" i="952"/>
  <c r="N46" i="952"/>
  <c r="L46" i="952"/>
  <c r="N38" i="952"/>
  <c r="L38" i="952"/>
  <c r="N35" i="952"/>
  <c r="L35" i="952"/>
  <c r="N34" i="952"/>
  <c r="L34" i="952"/>
  <c r="N33" i="952"/>
  <c r="L33" i="952"/>
  <c r="N32" i="952"/>
  <c r="L32" i="952"/>
  <c r="N31" i="952"/>
  <c r="L31" i="952"/>
  <c r="N30" i="952"/>
  <c r="L30" i="952"/>
  <c r="N29" i="952"/>
  <c r="L29" i="952"/>
  <c r="N28" i="952"/>
  <c r="L28" i="952"/>
  <c r="N27" i="952"/>
  <c r="L27" i="952"/>
  <c r="N26" i="952"/>
  <c r="L26" i="952"/>
  <c r="N25" i="952"/>
  <c r="L25" i="952"/>
  <c r="AK24" i="952"/>
  <c r="AK25" i="952" s="1"/>
  <c r="N24" i="952"/>
  <c r="L24" i="952"/>
  <c r="L23" i="952"/>
  <c r="AH21" i="952"/>
  <c r="AG21" i="952"/>
  <c r="AF21" i="952" s="1"/>
  <c r="AD21" i="952"/>
  <c r="AC21" i="952"/>
  <c r="AB21" i="952"/>
  <c r="N21" i="952"/>
  <c r="L21" i="952"/>
  <c r="B21" i="952"/>
  <c r="AJ20" i="952"/>
  <c r="AC20" i="952"/>
  <c r="T20" i="952"/>
  <c r="S20" i="952"/>
  <c r="N20" i="952"/>
  <c r="L20" i="952"/>
  <c r="B20" i="952"/>
  <c r="AC19" i="952"/>
  <c r="AE19" i="952" s="1"/>
  <c r="S19" i="952"/>
  <c r="N19" i="952"/>
  <c r="L19" i="952"/>
  <c r="B19" i="952"/>
  <c r="AC18" i="952"/>
  <c r="AF18" i="952" s="1"/>
  <c r="N18" i="952"/>
  <c r="L18" i="952"/>
  <c r="B18" i="952"/>
  <c r="N17" i="952"/>
  <c r="L17" i="952"/>
  <c r="B17" i="952"/>
  <c r="AC16" i="952"/>
  <c r="AE16" i="952" s="1"/>
  <c r="V16" i="952"/>
  <c r="S16" i="952"/>
  <c r="N16" i="952"/>
  <c r="L16" i="952"/>
  <c r="B16" i="952"/>
  <c r="AD15" i="952"/>
  <c r="N15" i="952"/>
  <c r="W14" i="952"/>
  <c r="W16" i="952" s="1"/>
  <c r="V14" i="952"/>
  <c r="U14" i="952"/>
  <c r="S14" i="952"/>
  <c r="N14" i="952"/>
  <c r="L14" i="952"/>
  <c r="B14" i="952"/>
  <c r="AF13" i="952"/>
  <c r="AF12" i="952" s="1"/>
  <c r="AE13" i="952"/>
  <c r="N13" i="952"/>
  <c r="L13" i="952"/>
  <c r="B13" i="952"/>
  <c r="AE12" i="952"/>
  <c r="S12" i="952"/>
  <c r="N12" i="952"/>
  <c r="AC10" i="952"/>
  <c r="W10" i="952"/>
  <c r="T10" i="952"/>
  <c r="S10" i="952"/>
  <c r="I1081" i="952" s="1"/>
  <c r="I65" i="952" s="1"/>
  <c r="N65" i="952" s="1"/>
  <c r="P10" i="952"/>
  <c r="AC9" i="952"/>
  <c r="W9" i="952"/>
  <c r="T9" i="952"/>
  <c r="S9" i="952"/>
  <c r="I1080" i="952" s="1"/>
  <c r="I64" i="952" s="1"/>
  <c r="P9" i="952"/>
  <c r="AC8" i="952"/>
  <c r="W8" i="952"/>
  <c r="T8" i="952"/>
  <c r="S8" i="952"/>
  <c r="I1079" i="952" s="1"/>
  <c r="I63" i="952" s="1"/>
  <c r="P8" i="952"/>
  <c r="AF7" i="952" a="1"/>
  <c r="AF7" i="952" s="1"/>
  <c r="AF150" i="952" s="1"/>
  <c r="I728" i="952" s="1"/>
  <c r="AE7" i="952" a="1"/>
  <c r="AE7" i="952" s="1"/>
  <c r="AF97" i="952" s="1"/>
  <c r="I503" i="952" s="1"/>
  <c r="AC7" i="952"/>
  <c r="AF6" i="952" a="1"/>
  <c r="AF6" i="952" s="1"/>
  <c r="AF144" i="952" s="1"/>
  <c r="I683" i="952" s="1"/>
  <c r="AE6" i="952" a="1"/>
  <c r="AE6" i="952" s="1"/>
  <c r="AD6" i="952"/>
  <c r="AB6" i="952"/>
  <c r="AA6" i="952"/>
  <c r="W6" i="952"/>
  <c r="V6" i="952"/>
  <c r="U6" i="952"/>
  <c r="T6" i="952"/>
  <c r="S6" i="952"/>
  <c r="R6" i="952"/>
  <c r="Q6" i="952"/>
  <c r="P6" i="952"/>
  <c r="AF5" i="952" a="1"/>
  <c r="AF5" i="952" s="1"/>
  <c r="AE5" i="952" a="1"/>
  <c r="AE5" i="952" s="1"/>
  <c r="AD5" i="952"/>
  <c r="AB5" i="952" s="1"/>
  <c r="AA5" i="952"/>
  <c r="P13" i="952" s="1"/>
  <c r="Q5" i="952"/>
  <c r="O5" i="952"/>
  <c r="AA4" i="952"/>
  <c r="Z4" i="952"/>
  <c r="S147" i="952" s="1"/>
  <c r="AB3" i="952"/>
  <c r="Z3" i="952"/>
  <c r="J2" i="952"/>
  <c r="E187" i="952" l="1"/>
  <c r="E155" i="953"/>
  <c r="D160" i="952"/>
  <c r="D164" i="952"/>
  <c r="E203" i="952"/>
  <c r="E140" i="952"/>
  <c r="E181" i="952"/>
  <c r="E178" i="953"/>
  <c r="E139" i="952"/>
  <c r="E210" i="953"/>
  <c r="E197" i="952"/>
  <c r="D145" i="952"/>
  <c r="D158" i="952"/>
  <c r="E167" i="952"/>
  <c r="E171" i="953"/>
  <c r="E186" i="953"/>
  <c r="D195" i="952"/>
  <c r="D156" i="953"/>
  <c r="E165" i="952"/>
  <c r="E150" i="953"/>
  <c r="D166" i="953"/>
  <c r="E194" i="953"/>
  <c r="E163" i="952"/>
  <c r="D179" i="952"/>
  <c r="E145" i="953"/>
  <c r="D158" i="953"/>
  <c r="E174" i="953"/>
  <c r="D152" i="952"/>
  <c r="D171" i="952"/>
  <c r="E173" i="952"/>
  <c r="D189" i="952"/>
  <c r="D205" i="952"/>
  <c r="E144" i="953"/>
  <c r="D170" i="953"/>
  <c r="E202" i="953"/>
  <c r="E211" i="952"/>
  <c r="D154" i="952"/>
  <c r="D193" i="952"/>
  <c r="D201" i="952"/>
  <c r="D209" i="952"/>
  <c r="D153" i="952"/>
  <c r="D177" i="952"/>
  <c r="D143" i="952"/>
  <c r="D159" i="952"/>
  <c r="D161" i="952"/>
  <c r="D168" i="952"/>
  <c r="E185" i="952"/>
  <c r="E162" i="952"/>
  <c r="AC95" i="952"/>
  <c r="I463" i="952" s="1"/>
  <c r="N463" i="952" s="1"/>
  <c r="D146" i="952"/>
  <c r="E151" i="952"/>
  <c r="D155" i="952"/>
  <c r="D157" i="952"/>
  <c r="D166" i="952"/>
  <c r="D174" i="952"/>
  <c r="D183" i="952"/>
  <c r="D191" i="952"/>
  <c r="D199" i="952"/>
  <c r="D207" i="952"/>
  <c r="D215" i="952"/>
  <c r="D170" i="952"/>
  <c r="E147" i="952"/>
  <c r="E172" i="952"/>
  <c r="D164" i="953"/>
  <c r="D200" i="953"/>
  <c r="D163" i="953"/>
  <c r="D168" i="953"/>
  <c r="D175" i="953"/>
  <c r="D182" i="953"/>
  <c r="D190" i="953"/>
  <c r="D198" i="953"/>
  <c r="D206" i="953"/>
  <c r="D214" i="953"/>
  <c r="D216" i="953"/>
  <c r="E192" i="953"/>
  <c r="E139" i="953"/>
  <c r="D149" i="953"/>
  <c r="D160" i="953"/>
  <c r="D180" i="953"/>
  <c r="D188" i="953"/>
  <c r="D196" i="953"/>
  <c r="D204" i="953"/>
  <c r="D212" i="953"/>
  <c r="D184" i="953"/>
  <c r="D208" i="953"/>
  <c r="S75" i="953"/>
  <c r="I40" i="953" s="1"/>
  <c r="D138" i="953"/>
  <c r="E161" i="953"/>
  <c r="AC96" i="953"/>
  <c r="I478" i="953" s="1"/>
  <c r="N478" i="953" s="1"/>
  <c r="D149" i="952"/>
  <c r="D175" i="952"/>
  <c r="D178" i="952"/>
  <c r="D180" i="952"/>
  <c r="D182" i="952"/>
  <c r="D184" i="952"/>
  <c r="D186" i="952"/>
  <c r="D188" i="952"/>
  <c r="D190" i="952"/>
  <c r="D192" i="952"/>
  <c r="D194" i="952"/>
  <c r="D196" i="952"/>
  <c r="D198" i="952"/>
  <c r="D200" i="952"/>
  <c r="D202" i="952"/>
  <c r="D204" i="952"/>
  <c r="D206" i="952"/>
  <c r="D208" i="952"/>
  <c r="D210" i="952"/>
  <c r="D212" i="952"/>
  <c r="D214" i="952"/>
  <c r="D216" i="952"/>
  <c r="D146" i="953"/>
  <c r="D152" i="953"/>
  <c r="D154" i="953"/>
  <c r="D157" i="953"/>
  <c r="D159" i="953"/>
  <c r="D162" i="953"/>
  <c r="D165" i="953"/>
  <c r="D167" i="953"/>
  <c r="D169" i="953"/>
  <c r="S172" i="953"/>
  <c r="I54" i="953" s="1"/>
  <c r="AB101" i="952"/>
  <c r="I525" i="952" s="1"/>
  <c r="L525" i="952" s="1"/>
  <c r="AA101" i="953"/>
  <c r="I523" i="953" s="1"/>
  <c r="AC101" i="952"/>
  <c r="I524" i="952" s="1"/>
  <c r="D144" i="952"/>
  <c r="D150" i="952"/>
  <c r="D156" i="952"/>
  <c r="T75" i="953"/>
  <c r="I41" i="953" s="1"/>
  <c r="D143" i="953"/>
  <c r="D148" i="953"/>
  <c r="D153" i="953"/>
  <c r="D173" i="953"/>
  <c r="D177" i="953"/>
  <c r="D179" i="953"/>
  <c r="D181" i="953"/>
  <c r="D183" i="953"/>
  <c r="D185" i="953"/>
  <c r="D187" i="953"/>
  <c r="D189" i="953"/>
  <c r="D191" i="953"/>
  <c r="D193" i="953"/>
  <c r="D195" i="953"/>
  <c r="D197" i="953"/>
  <c r="D199" i="953"/>
  <c r="D201" i="953"/>
  <c r="D203" i="953"/>
  <c r="D205" i="953"/>
  <c r="D207" i="953"/>
  <c r="D209" i="953"/>
  <c r="D211" i="953"/>
  <c r="D213" i="953"/>
  <c r="D215" i="953"/>
  <c r="AC97" i="953"/>
  <c r="I493" i="953" s="1"/>
  <c r="L49" i="953"/>
  <c r="U75" i="953"/>
  <c r="D141" i="953"/>
  <c r="D147" i="953"/>
  <c r="D151" i="953"/>
  <c r="D172" i="953"/>
  <c r="D176" i="953"/>
  <c r="AD96" i="952"/>
  <c r="I480" i="952" s="1"/>
  <c r="N480" i="952" s="1"/>
  <c r="I1043" i="953"/>
  <c r="AD95" i="953"/>
  <c r="I465" i="953" s="1"/>
  <c r="V75" i="953"/>
  <c r="Q75" i="953"/>
  <c r="I48" i="953" s="1"/>
  <c r="D138" i="952"/>
  <c r="D142" i="952"/>
  <c r="D141" i="952"/>
  <c r="I1046" i="961"/>
  <c r="I1043" i="961"/>
  <c r="I1044" i="961"/>
  <c r="I1045" i="961"/>
  <c r="AF21" i="961"/>
  <c r="L755" i="959"/>
  <c r="F917" i="953"/>
  <c r="N567" i="960"/>
  <c r="AE151" i="955"/>
  <c r="I736" i="955" s="1"/>
  <c r="L210" i="961"/>
  <c r="N667" i="952"/>
  <c r="N124" i="958"/>
  <c r="I115" i="953"/>
  <c r="N115" i="953" s="1"/>
  <c r="S75" i="952"/>
  <c r="AE134" i="959"/>
  <c r="I571" i="959" s="1"/>
  <c r="N571" i="959" s="1"/>
  <c r="AE135" i="959"/>
  <c r="I586" i="959" s="1"/>
  <c r="N586" i="959" s="1"/>
  <c r="AE136" i="959"/>
  <c r="I601" i="959" s="1"/>
  <c r="L560" i="959"/>
  <c r="N591" i="959"/>
  <c r="E137" i="958"/>
  <c r="N783" i="958"/>
  <c r="C116" i="959"/>
  <c r="L779" i="952"/>
  <c r="C116" i="953"/>
  <c r="L167" i="955"/>
  <c r="L184" i="955"/>
  <c r="L576" i="956"/>
  <c r="F138" i="959"/>
  <c r="L755" i="953"/>
  <c r="L198" i="957"/>
  <c r="L161" i="959"/>
  <c r="L161" i="960"/>
  <c r="AH98" i="954"/>
  <c r="I515" i="954" s="1"/>
  <c r="L143" i="956"/>
  <c r="N681" i="956"/>
  <c r="L727" i="961"/>
  <c r="L64" i="954"/>
  <c r="L69" i="954"/>
  <c r="AF16" i="952"/>
  <c r="L206" i="958"/>
  <c r="AD240" i="954"/>
  <c r="N651" i="953"/>
  <c r="N667" i="958"/>
  <c r="L680" i="958"/>
  <c r="N757" i="958"/>
  <c r="Y75" i="952"/>
  <c r="I1030" i="952" s="1"/>
  <c r="F204" i="960"/>
  <c r="Q75" i="952"/>
  <c r="I47" i="952" s="1"/>
  <c r="L152" i="956"/>
  <c r="L173" i="956"/>
  <c r="L140" i="957"/>
  <c r="AE141" i="957"/>
  <c r="I631" i="957" s="1"/>
  <c r="N631" i="957" s="1"/>
  <c r="L213" i="960"/>
  <c r="N755" i="952"/>
  <c r="AE19" i="954"/>
  <c r="L215" i="960"/>
  <c r="N725" i="960"/>
  <c r="L781" i="960"/>
  <c r="L155" i="961"/>
  <c r="AB185" i="954"/>
  <c r="AD185" i="954" s="1"/>
  <c r="T75" i="952"/>
  <c r="AH83" i="954"/>
  <c r="I350" i="954" s="1"/>
  <c r="N350" i="954" s="1"/>
  <c r="L148" i="955"/>
  <c r="N126" i="956"/>
  <c r="N561" i="958"/>
  <c r="AH84" i="960"/>
  <c r="I365" i="960" s="1"/>
  <c r="U75" i="952"/>
  <c r="AE141" i="952"/>
  <c r="I631" i="952" s="1"/>
  <c r="N67" i="954"/>
  <c r="V75" i="952"/>
  <c r="L164" i="955"/>
  <c r="N784" i="955"/>
  <c r="N123" i="957"/>
  <c r="AH92" i="958"/>
  <c r="AH95" i="958"/>
  <c r="I470" i="958" s="1"/>
  <c r="N470" i="958" s="1"/>
  <c r="AF16" i="960"/>
  <c r="L214" i="960"/>
  <c r="N577" i="953"/>
  <c r="N680" i="953"/>
  <c r="L188" i="955"/>
  <c r="N652" i="955"/>
  <c r="L665" i="955"/>
  <c r="L66" i="957"/>
  <c r="N696" i="957"/>
  <c r="N125" i="958"/>
  <c r="AB185" i="958"/>
  <c r="AD185" i="958" s="1"/>
  <c r="L535" i="958"/>
  <c r="L215" i="959"/>
  <c r="AE19" i="960"/>
  <c r="AE143" i="960"/>
  <c r="I661" i="960" s="1"/>
  <c r="N661" i="960" s="1"/>
  <c r="L208" i="960"/>
  <c r="N590" i="960"/>
  <c r="AH83" i="961"/>
  <c r="I350" i="961" s="1"/>
  <c r="N350" i="961" s="1"/>
  <c r="L562" i="961"/>
  <c r="Q13" i="959"/>
  <c r="F144" i="952"/>
  <c r="L576" i="952"/>
  <c r="N575" i="953"/>
  <c r="L620" i="953"/>
  <c r="B64" i="955"/>
  <c r="F186" i="957"/>
  <c r="N68" i="958"/>
  <c r="N67" i="959"/>
  <c r="L681" i="959"/>
  <c r="F142" i="960"/>
  <c r="L189" i="960"/>
  <c r="L213" i="961"/>
  <c r="L727" i="952"/>
  <c r="L582" i="954"/>
  <c r="L214" i="955"/>
  <c r="L576" i="955"/>
  <c r="N778" i="955"/>
  <c r="N781" i="955"/>
  <c r="L778" i="956"/>
  <c r="L153" i="958"/>
  <c r="AH90" i="959"/>
  <c r="I425" i="959" s="1"/>
  <c r="L148" i="960"/>
  <c r="L170" i="960"/>
  <c r="L185" i="960"/>
  <c r="N605" i="960"/>
  <c r="N126" i="953"/>
  <c r="N536" i="953"/>
  <c r="N712" i="953"/>
  <c r="L727" i="953"/>
  <c r="L65" i="954"/>
  <c r="L725" i="954"/>
  <c r="N622" i="956"/>
  <c r="L635" i="956"/>
  <c r="L168" i="958"/>
  <c r="N590" i="958"/>
  <c r="L597" i="958"/>
  <c r="L777" i="958"/>
  <c r="N784" i="958"/>
  <c r="L178" i="959"/>
  <c r="L637" i="959"/>
  <c r="F227" i="960"/>
  <c r="L152" i="961"/>
  <c r="L620" i="961"/>
  <c r="L12" i="953"/>
  <c r="N127" i="953"/>
  <c r="N124" i="960"/>
  <c r="L68" i="961"/>
  <c r="L575" i="961"/>
  <c r="L781" i="961"/>
  <c r="N542" i="952"/>
  <c r="N740" i="952"/>
  <c r="N710" i="953"/>
  <c r="L182" i="954"/>
  <c r="N544" i="954"/>
  <c r="N576" i="954"/>
  <c r="N621" i="954"/>
  <c r="L171" i="955"/>
  <c r="L177" i="955"/>
  <c r="L779" i="955"/>
  <c r="L207" i="956"/>
  <c r="N776" i="956"/>
  <c r="L779" i="956"/>
  <c r="L164" i="957"/>
  <c r="L173" i="957"/>
  <c r="N782" i="957"/>
  <c r="L168" i="959"/>
  <c r="F166" i="961"/>
  <c r="L66" i="961"/>
  <c r="L203" i="961"/>
  <c r="Z234" i="952"/>
  <c r="L591" i="952"/>
  <c r="L605" i="952"/>
  <c r="L651" i="952"/>
  <c r="N635" i="953"/>
  <c r="L12" i="954"/>
  <c r="L161" i="954"/>
  <c r="L215" i="954"/>
  <c r="N651" i="954"/>
  <c r="L12" i="955"/>
  <c r="L176" i="955"/>
  <c r="L185" i="955"/>
  <c r="L191" i="955"/>
  <c r="L582" i="955"/>
  <c r="N620" i="955"/>
  <c r="N64" i="956"/>
  <c r="N69" i="956"/>
  <c r="L697" i="956"/>
  <c r="L142" i="957"/>
  <c r="L190" i="957"/>
  <c r="L207" i="957"/>
  <c r="L169" i="958"/>
  <c r="N665" i="958"/>
  <c r="P12" i="959"/>
  <c r="L149" i="959"/>
  <c r="L184" i="959"/>
  <c r="L210" i="959"/>
  <c r="N607" i="959"/>
  <c r="L621" i="959"/>
  <c r="G116" i="960"/>
  <c r="L727" i="960"/>
  <c r="N778" i="960"/>
  <c r="AE150" i="954"/>
  <c r="I721" i="954" s="1"/>
  <c r="L210" i="956"/>
  <c r="N605" i="956"/>
  <c r="L666" i="956"/>
  <c r="AH82" i="957"/>
  <c r="I335" i="957" s="1"/>
  <c r="N335" i="957" s="1"/>
  <c r="L204" i="957"/>
  <c r="AF19" i="958"/>
  <c r="N537" i="958"/>
  <c r="L190" i="959"/>
  <c r="L153" i="960"/>
  <c r="N542" i="960"/>
  <c r="N591" i="960"/>
  <c r="L757" i="960"/>
  <c r="AL81" i="961"/>
  <c r="I321" i="961" s="1"/>
  <c r="L12" i="957"/>
  <c r="L562" i="952"/>
  <c r="N665" i="952"/>
  <c r="L777" i="952"/>
  <c r="AF19" i="953"/>
  <c r="AL85" i="954"/>
  <c r="I381" i="954" s="1"/>
  <c r="AH91" i="954"/>
  <c r="L179" i="954"/>
  <c r="N541" i="954"/>
  <c r="L681" i="954"/>
  <c r="L139" i="955"/>
  <c r="L173" i="955"/>
  <c r="L190" i="955"/>
  <c r="AG228" i="955"/>
  <c r="L560" i="955"/>
  <c r="L567" i="955"/>
  <c r="L650" i="955"/>
  <c r="L681" i="955"/>
  <c r="B66" i="956"/>
  <c r="AH92" i="956"/>
  <c r="I455" i="956" s="1"/>
  <c r="AH95" i="956"/>
  <c r="I470" i="956" s="1"/>
  <c r="N470" i="956" s="1"/>
  <c r="L651" i="956"/>
  <c r="N710" i="956"/>
  <c r="L725" i="956"/>
  <c r="N740" i="956"/>
  <c r="AL84" i="957"/>
  <c r="I366" i="957" s="1"/>
  <c r="L189" i="957"/>
  <c r="L206" i="957"/>
  <c r="L779" i="957"/>
  <c r="AH82" i="958"/>
  <c r="I335" i="958" s="1"/>
  <c r="N335" i="958" s="1"/>
  <c r="L152" i="958"/>
  <c r="L165" i="958"/>
  <c r="L214" i="958"/>
  <c r="N697" i="958"/>
  <c r="AB183" i="959"/>
  <c r="AC183" i="959" s="1"/>
  <c r="L195" i="959"/>
  <c r="L206" i="959"/>
  <c r="L635" i="959"/>
  <c r="N710" i="959"/>
  <c r="L725" i="959"/>
  <c r="N780" i="959"/>
  <c r="L147" i="960"/>
  <c r="L156" i="960"/>
  <c r="L696" i="960"/>
  <c r="L755" i="960"/>
  <c r="L177" i="961"/>
  <c r="L180" i="961"/>
  <c r="L205" i="961"/>
  <c r="L208" i="961"/>
  <c r="N784" i="961"/>
  <c r="N607" i="953"/>
  <c r="AK26" i="954"/>
  <c r="L146" i="954"/>
  <c r="N535" i="954"/>
  <c r="N697" i="954"/>
  <c r="N712" i="954"/>
  <c r="L149" i="955"/>
  <c r="L172" i="955"/>
  <c r="F191" i="955"/>
  <c r="L215" i="955"/>
  <c r="AI231" i="955"/>
  <c r="L697" i="955"/>
  <c r="F917" i="955"/>
  <c r="L161" i="956"/>
  <c r="L542" i="956"/>
  <c r="L157" i="957"/>
  <c r="L203" i="957"/>
  <c r="L666" i="957"/>
  <c r="L64" i="958"/>
  <c r="N66" i="958"/>
  <c r="L542" i="958"/>
  <c r="N567" i="958"/>
  <c r="N740" i="958"/>
  <c r="L755" i="958"/>
  <c r="N782" i="958"/>
  <c r="AH82" i="959"/>
  <c r="I335" i="959" s="1"/>
  <c r="N335" i="959" s="1"/>
  <c r="AH98" i="959"/>
  <c r="I515" i="959" s="1"/>
  <c r="N515" i="959" s="1"/>
  <c r="L144" i="959"/>
  <c r="L777" i="959"/>
  <c r="L152" i="960"/>
  <c r="N64" i="961"/>
  <c r="L202" i="961"/>
  <c r="F215" i="952"/>
  <c r="Z249" i="952"/>
  <c r="N567" i="952"/>
  <c r="N681" i="952"/>
  <c r="AE142" i="953"/>
  <c r="I646" i="953" s="1"/>
  <c r="N621" i="953"/>
  <c r="L781" i="953"/>
  <c r="L168" i="954"/>
  <c r="L191" i="954"/>
  <c r="AG229" i="954"/>
  <c r="L637" i="954"/>
  <c r="L183" i="955"/>
  <c r="L780" i="955"/>
  <c r="F240" i="956"/>
  <c r="L186" i="956"/>
  <c r="N780" i="956"/>
  <c r="N121" i="957"/>
  <c r="L211" i="957"/>
  <c r="L543" i="957"/>
  <c r="L139" i="958"/>
  <c r="L155" i="958"/>
  <c r="L651" i="958"/>
  <c r="L779" i="958"/>
  <c r="N168" i="959"/>
  <c r="N66" i="960"/>
  <c r="AE141" i="960"/>
  <c r="I631" i="960" s="1"/>
  <c r="N631" i="960" s="1"/>
  <c r="Z241" i="952"/>
  <c r="L12" i="952"/>
  <c r="L538" i="952"/>
  <c r="N757" i="952"/>
  <c r="N778" i="952"/>
  <c r="L66" i="953"/>
  <c r="N121" i="953"/>
  <c r="N681" i="953"/>
  <c r="L68" i="954"/>
  <c r="L154" i="954"/>
  <c r="L210" i="954"/>
  <c r="Z233" i="954"/>
  <c r="AD245" i="954"/>
  <c r="L542" i="954"/>
  <c r="L622" i="954"/>
  <c r="L635" i="954"/>
  <c r="AE135" i="955"/>
  <c r="I586" i="955" s="1"/>
  <c r="N586" i="955" s="1"/>
  <c r="AE136" i="955"/>
  <c r="I601" i="955" s="1"/>
  <c r="N601" i="955" s="1"/>
  <c r="F174" i="955"/>
  <c r="L543" i="955"/>
  <c r="N783" i="955"/>
  <c r="AH85" i="956"/>
  <c r="I380" i="956" s="1"/>
  <c r="L784" i="956"/>
  <c r="AH91" i="957"/>
  <c r="I440" i="957" s="1"/>
  <c r="L188" i="957"/>
  <c r="N534" i="957"/>
  <c r="L682" i="957"/>
  <c r="N740" i="957"/>
  <c r="N62" i="958"/>
  <c r="AE144" i="958"/>
  <c r="I676" i="958" s="1"/>
  <c r="L149" i="958"/>
  <c r="L151" i="958"/>
  <c r="L202" i="958"/>
  <c r="L211" i="959"/>
  <c r="L552" i="959"/>
  <c r="F917" i="959"/>
  <c r="N64" i="960"/>
  <c r="AH97" i="960"/>
  <c r="I500" i="960" s="1"/>
  <c r="AE135" i="960"/>
  <c r="I586" i="960" s="1"/>
  <c r="AE136" i="960"/>
  <c r="I601" i="960" s="1"/>
  <c r="L601" i="960" s="1"/>
  <c r="N606" i="960"/>
  <c r="N636" i="960"/>
  <c r="AH85" i="961"/>
  <c r="L163" i="961"/>
  <c r="L560" i="961"/>
  <c r="L576" i="961"/>
  <c r="N621" i="961"/>
  <c r="Z235" i="955"/>
  <c r="L69" i="952"/>
  <c r="L541" i="952"/>
  <c r="L544" i="952"/>
  <c r="L621" i="952"/>
  <c r="L65" i="953"/>
  <c r="AE136" i="953"/>
  <c r="I601" i="953" s="1"/>
  <c r="AE149" i="953"/>
  <c r="I706" i="953" s="1"/>
  <c r="N542" i="953"/>
  <c r="N590" i="953"/>
  <c r="N597" i="953"/>
  <c r="AH85" i="954"/>
  <c r="I380" i="954" s="1"/>
  <c r="G116" i="954"/>
  <c r="N123" i="954"/>
  <c r="AE142" i="954"/>
  <c r="I646" i="954" s="1"/>
  <c r="AB184" i="954"/>
  <c r="AD184" i="954" s="1"/>
  <c r="Z237" i="954"/>
  <c r="Z238" i="954"/>
  <c r="Z243" i="954"/>
  <c r="L538" i="954"/>
  <c r="L590" i="954"/>
  <c r="N592" i="954"/>
  <c r="N606" i="954"/>
  <c r="N124" i="955"/>
  <c r="L151" i="955"/>
  <c r="F156" i="955"/>
  <c r="F157" i="955"/>
  <c r="L192" i="955"/>
  <c r="L216" i="955"/>
  <c r="N544" i="955"/>
  <c r="L552" i="955"/>
  <c r="L561" i="955"/>
  <c r="L612" i="955"/>
  <c r="L621" i="955"/>
  <c r="L680" i="955"/>
  <c r="N695" i="955"/>
  <c r="L176" i="956"/>
  <c r="I724" i="957"/>
  <c r="AE150" i="957"/>
  <c r="I721" i="957" s="1"/>
  <c r="I724" i="956"/>
  <c r="AE150" i="956"/>
  <c r="I721" i="956" s="1"/>
  <c r="N721" i="956" s="1"/>
  <c r="AG235" i="952"/>
  <c r="AH265" i="952"/>
  <c r="L536" i="952"/>
  <c r="L582" i="952"/>
  <c r="N124" i="954"/>
  <c r="AE137" i="954"/>
  <c r="I616" i="954" s="1"/>
  <c r="AE145" i="954"/>
  <c r="I691" i="954" s="1"/>
  <c r="N691" i="954" s="1"/>
  <c r="L194" i="954"/>
  <c r="Z252" i="954"/>
  <c r="AE137" i="955"/>
  <c r="I616" i="955" s="1"/>
  <c r="N616" i="955" s="1"/>
  <c r="F152" i="955"/>
  <c r="F165" i="955"/>
  <c r="L182" i="955"/>
  <c r="L207" i="955"/>
  <c r="N541" i="955"/>
  <c r="L637" i="955"/>
  <c r="I694" i="957"/>
  <c r="N694" i="957" s="1"/>
  <c r="AE145" i="957"/>
  <c r="I691" i="957" s="1"/>
  <c r="N691" i="957" s="1"/>
  <c r="Q13" i="952"/>
  <c r="F147" i="952"/>
  <c r="AE151" i="952"/>
  <c r="I736" i="952" s="1"/>
  <c r="AG229" i="953"/>
  <c r="AD233" i="954"/>
  <c r="Z241" i="955"/>
  <c r="AK26" i="956"/>
  <c r="F194" i="952"/>
  <c r="B148" i="953"/>
  <c r="F164" i="954"/>
  <c r="AE16" i="954"/>
  <c r="L163" i="954"/>
  <c r="L164" i="954"/>
  <c r="Z235" i="954"/>
  <c r="AD237" i="954"/>
  <c r="AB185" i="955"/>
  <c r="AD185" i="955" s="1"/>
  <c r="F204" i="955"/>
  <c r="Z233" i="955"/>
  <c r="L783" i="956"/>
  <c r="N783" i="956"/>
  <c r="F175" i="955"/>
  <c r="L592" i="956"/>
  <c r="N592" i="956"/>
  <c r="AE18" i="952"/>
  <c r="L540" i="952"/>
  <c r="L590" i="952"/>
  <c r="AF17" i="953"/>
  <c r="AH85" i="953"/>
  <c r="I380" i="953" s="1"/>
  <c r="L562" i="953"/>
  <c r="N665" i="953"/>
  <c r="N696" i="953"/>
  <c r="N783" i="953"/>
  <c r="AH89" i="954"/>
  <c r="I410" i="954" s="1"/>
  <c r="L410" i="954" s="1"/>
  <c r="AH97" i="954"/>
  <c r="I500" i="954" s="1"/>
  <c r="Z234" i="955"/>
  <c r="N125" i="956"/>
  <c r="L22" i="952"/>
  <c r="AL84" i="952"/>
  <c r="I366" i="952" s="1"/>
  <c r="L366" i="952" s="1"/>
  <c r="N121" i="952"/>
  <c r="AB185" i="952"/>
  <c r="AD185" i="952" s="1"/>
  <c r="N776" i="952"/>
  <c r="N782" i="952"/>
  <c r="F917" i="952"/>
  <c r="L69" i="953"/>
  <c r="N120" i="953"/>
  <c r="AG235" i="953"/>
  <c r="AG233" i="953"/>
  <c r="AI231" i="953"/>
  <c r="N637" i="953"/>
  <c r="AL82" i="954"/>
  <c r="I336" i="954" s="1"/>
  <c r="N336" i="954" s="1"/>
  <c r="N120" i="954"/>
  <c r="L156" i="954"/>
  <c r="L207" i="954"/>
  <c r="AD235" i="954"/>
  <c r="Z236" i="954"/>
  <c r="Z249" i="954"/>
  <c r="L757" i="954"/>
  <c r="B65" i="955"/>
  <c r="AE141" i="955"/>
  <c r="I631" i="955" s="1"/>
  <c r="F148" i="955"/>
  <c r="L170" i="955"/>
  <c r="F185" i="955"/>
  <c r="L208" i="955"/>
  <c r="N540" i="955"/>
  <c r="N607" i="955"/>
  <c r="N651" i="955"/>
  <c r="N742" i="955"/>
  <c r="AF17" i="956"/>
  <c r="L200" i="956"/>
  <c r="L179" i="956"/>
  <c r="L202" i="956"/>
  <c r="N536" i="956"/>
  <c r="AE18" i="957"/>
  <c r="AL83" i="957"/>
  <c r="I351" i="957" s="1"/>
  <c r="N351" i="957" s="1"/>
  <c r="L215" i="957"/>
  <c r="AI230" i="957"/>
  <c r="AG231" i="957"/>
  <c r="AH231" i="957"/>
  <c r="L620" i="957"/>
  <c r="N680" i="957"/>
  <c r="N712" i="957"/>
  <c r="L727" i="957"/>
  <c r="B66" i="958"/>
  <c r="L180" i="958"/>
  <c r="L199" i="958"/>
  <c r="AI230" i="958"/>
  <c r="Z234" i="958"/>
  <c r="L621" i="958"/>
  <c r="AE16" i="959"/>
  <c r="AK26" i="959"/>
  <c r="AL84" i="959"/>
  <c r="I366" i="959" s="1"/>
  <c r="N366" i="959" s="1"/>
  <c r="L139" i="959"/>
  <c r="L175" i="959"/>
  <c r="L176" i="959"/>
  <c r="AH228" i="959"/>
  <c r="N620" i="959"/>
  <c r="L666" i="959"/>
  <c r="N62" i="960"/>
  <c r="AL82" i="960"/>
  <c r="I336" i="960" s="1"/>
  <c r="L336" i="960" s="1"/>
  <c r="AH96" i="960"/>
  <c r="F137" i="960"/>
  <c r="N152" i="960"/>
  <c r="F161" i="960"/>
  <c r="L194" i="960"/>
  <c r="L197" i="960"/>
  <c r="L200" i="960"/>
  <c r="AH95" i="961"/>
  <c r="I470" i="961" s="1"/>
  <c r="N470" i="961" s="1"/>
  <c r="L153" i="961"/>
  <c r="L166" i="961"/>
  <c r="L169" i="961"/>
  <c r="L185" i="961"/>
  <c r="L192" i="961"/>
  <c r="L216" i="961"/>
  <c r="L15" i="957"/>
  <c r="F146" i="957"/>
  <c r="F152" i="957"/>
  <c r="F164" i="957"/>
  <c r="AB184" i="957"/>
  <c r="AD184" i="957" s="1"/>
  <c r="N540" i="957"/>
  <c r="L636" i="957"/>
  <c r="L757" i="957"/>
  <c r="N778" i="957"/>
  <c r="L781" i="957"/>
  <c r="N784" i="957"/>
  <c r="AE142" i="958"/>
  <c r="I646" i="958" s="1"/>
  <c r="N646" i="958" s="1"/>
  <c r="Z243" i="958"/>
  <c r="L15" i="959"/>
  <c r="N144" i="959"/>
  <c r="L165" i="959"/>
  <c r="L172" i="959"/>
  <c r="L194" i="959"/>
  <c r="L535" i="959"/>
  <c r="L727" i="959"/>
  <c r="F138" i="960"/>
  <c r="L171" i="960"/>
  <c r="AB244" i="960"/>
  <c r="L538" i="960"/>
  <c r="L777" i="960"/>
  <c r="N780" i="960"/>
  <c r="L783" i="960"/>
  <c r="L148" i="961"/>
  <c r="L182" i="961"/>
  <c r="N592" i="961"/>
  <c r="L606" i="961"/>
  <c r="L652" i="961"/>
  <c r="L696" i="961"/>
  <c r="N740" i="961"/>
  <c r="L201" i="956"/>
  <c r="L215" i="956"/>
  <c r="L540" i="956"/>
  <c r="N577" i="956"/>
  <c r="N591" i="956"/>
  <c r="N742" i="956"/>
  <c r="L36" i="957"/>
  <c r="N710" i="957"/>
  <c r="L179" i="958"/>
  <c r="L198" i="958"/>
  <c r="N538" i="958"/>
  <c r="N544" i="958"/>
  <c r="L582" i="958"/>
  <c r="N681" i="958"/>
  <c r="AH88" i="959"/>
  <c r="I395" i="959" s="1"/>
  <c r="N124" i="959"/>
  <c r="N562" i="959"/>
  <c r="L757" i="959"/>
  <c r="L69" i="960"/>
  <c r="L137" i="960"/>
  <c r="L190" i="960"/>
  <c r="L209" i="960"/>
  <c r="AB234" i="960"/>
  <c r="L666" i="960"/>
  <c r="AE141" i="961"/>
  <c r="I631" i="961" s="1"/>
  <c r="L631" i="961" s="1"/>
  <c r="L145" i="961"/>
  <c r="AE150" i="961"/>
  <c r="I721" i="961" s="1"/>
  <c r="N721" i="961" s="1"/>
  <c r="L181" i="961"/>
  <c r="L209" i="961"/>
  <c r="N590" i="961"/>
  <c r="N665" i="961"/>
  <c r="N544" i="956"/>
  <c r="L552" i="956"/>
  <c r="N607" i="956"/>
  <c r="L621" i="956"/>
  <c r="L667" i="956"/>
  <c r="L680" i="956"/>
  <c r="L682" i="956"/>
  <c r="L165" i="957"/>
  <c r="F173" i="957"/>
  <c r="L727" i="958"/>
  <c r="AJ90" i="959"/>
  <c r="I427" i="959" s="1"/>
  <c r="N125" i="959"/>
  <c r="L151" i="959"/>
  <c r="L199" i="959"/>
  <c r="L65" i="960"/>
  <c r="AB264" i="960"/>
  <c r="N560" i="960"/>
  <c r="L184" i="961"/>
  <c r="L206" i="961"/>
  <c r="L681" i="961"/>
  <c r="Z237" i="958"/>
  <c r="F262" i="960"/>
  <c r="Z238" i="961"/>
  <c r="L651" i="961"/>
  <c r="AG232" i="957"/>
  <c r="L536" i="957"/>
  <c r="L577" i="957"/>
  <c r="L591" i="957"/>
  <c r="AF18" i="958"/>
  <c r="AH98" i="958"/>
  <c r="I515" i="958" s="1"/>
  <c r="L191" i="958"/>
  <c r="L194" i="958"/>
  <c r="L539" i="958"/>
  <c r="N576" i="958"/>
  <c r="N126" i="959"/>
  <c r="L153" i="959"/>
  <c r="N539" i="959"/>
  <c r="L652" i="959"/>
  <c r="L783" i="959"/>
  <c r="AF18" i="960"/>
  <c r="N121" i="960"/>
  <c r="L145" i="960"/>
  <c r="AE150" i="960"/>
  <c r="I721" i="960" s="1"/>
  <c r="N721" i="960" s="1"/>
  <c r="L164" i="960"/>
  <c r="L204" i="960"/>
  <c r="L539" i="960"/>
  <c r="L680" i="960"/>
  <c r="AK26" i="961"/>
  <c r="L170" i="961"/>
  <c r="Z254" i="961"/>
  <c r="L537" i="961"/>
  <c r="L582" i="961"/>
  <c r="F917" i="956"/>
  <c r="N67" i="957"/>
  <c r="AE144" i="957"/>
  <c r="I676" i="957" s="1"/>
  <c r="N676" i="957" s="1"/>
  <c r="F157" i="957"/>
  <c r="L174" i="957"/>
  <c r="N536" i="957"/>
  <c r="L539" i="957"/>
  <c r="L777" i="957"/>
  <c r="AH88" i="958"/>
  <c r="L142" i="958"/>
  <c r="L160" i="958"/>
  <c r="AI253" i="959"/>
  <c r="N68" i="960"/>
  <c r="AB241" i="960"/>
  <c r="F140" i="961"/>
  <c r="N155" i="961"/>
  <c r="N636" i="961"/>
  <c r="N697" i="961"/>
  <c r="F144" i="957"/>
  <c r="F156" i="957"/>
  <c r="L166" i="960"/>
  <c r="L184" i="960"/>
  <c r="Z274" i="960"/>
  <c r="N607" i="960"/>
  <c r="N621" i="960"/>
  <c r="L652" i="960"/>
  <c r="AF18" i="961"/>
  <c r="AH97" i="961"/>
  <c r="I500" i="961" s="1"/>
  <c r="L198" i="961"/>
  <c r="L201" i="961"/>
  <c r="N612" i="961"/>
  <c r="AF83" i="952"/>
  <c r="I353" i="952" s="1"/>
  <c r="N353" i="952" s="1"/>
  <c r="AF84" i="952"/>
  <c r="I368" i="952" s="1"/>
  <c r="N561" i="952"/>
  <c r="L561" i="952"/>
  <c r="AH247" i="953"/>
  <c r="AH232" i="953"/>
  <c r="AH231" i="953"/>
  <c r="AH228" i="953"/>
  <c r="N682" i="953"/>
  <c r="L682" i="953"/>
  <c r="L782" i="953"/>
  <c r="N782" i="953"/>
  <c r="L552" i="954"/>
  <c r="N552" i="954"/>
  <c r="F150" i="952"/>
  <c r="AH234" i="952"/>
  <c r="N725" i="953"/>
  <c r="L725" i="953"/>
  <c r="F321" i="954"/>
  <c r="AL81" i="954"/>
  <c r="I321" i="954" s="1"/>
  <c r="N321" i="954" s="1"/>
  <c r="F143" i="954"/>
  <c r="F144" i="954"/>
  <c r="AH230" i="954"/>
  <c r="N562" i="954"/>
  <c r="L562" i="954"/>
  <c r="N620" i="954"/>
  <c r="L620" i="954"/>
  <c r="N727" i="954"/>
  <c r="L727" i="954"/>
  <c r="N781" i="956"/>
  <c r="L781" i="956"/>
  <c r="AK26" i="952"/>
  <c r="L66" i="952"/>
  <c r="F187" i="952"/>
  <c r="AD251" i="952"/>
  <c r="AD285" i="952"/>
  <c r="AD235" i="952"/>
  <c r="AD261" i="952"/>
  <c r="AG228" i="952"/>
  <c r="AG242" i="952"/>
  <c r="AG232" i="952"/>
  <c r="AH243" i="952"/>
  <c r="L67" i="953"/>
  <c r="N67" i="953"/>
  <c r="AI237" i="953"/>
  <c r="AI233" i="953"/>
  <c r="AI230" i="953"/>
  <c r="N128" i="954"/>
  <c r="N126" i="954"/>
  <c r="F138" i="954"/>
  <c r="F140" i="954"/>
  <c r="AG228" i="954"/>
  <c r="AH231" i="954"/>
  <c r="N695" i="954"/>
  <c r="L695" i="954"/>
  <c r="N755" i="954"/>
  <c r="L755" i="954"/>
  <c r="AI233" i="955"/>
  <c r="AH84" i="952"/>
  <c r="I365" i="952" s="1"/>
  <c r="L365" i="952" s="1"/>
  <c r="N127" i="952"/>
  <c r="AE135" i="952"/>
  <c r="I586" i="952" s="1"/>
  <c r="F152" i="952"/>
  <c r="AH286" i="952"/>
  <c r="AH231" i="952"/>
  <c r="AH283" i="952"/>
  <c r="AG284" i="952"/>
  <c r="N637" i="952"/>
  <c r="L637" i="952"/>
  <c r="L780" i="952"/>
  <c r="N780" i="952"/>
  <c r="I664" i="953"/>
  <c r="AE143" i="953"/>
  <c r="I661" i="953" s="1"/>
  <c r="L661" i="953" s="1"/>
  <c r="I440" i="954"/>
  <c r="L440" i="954" s="1"/>
  <c r="AJ91" i="954"/>
  <c r="I442" i="954" s="1"/>
  <c r="N442" i="954" s="1"/>
  <c r="AG232" i="954"/>
  <c r="N710" i="954"/>
  <c r="L710" i="954"/>
  <c r="L740" i="954"/>
  <c r="N740" i="954"/>
  <c r="N621" i="957"/>
  <c r="L621" i="957"/>
  <c r="L15" i="952"/>
  <c r="AE133" i="952"/>
  <c r="I556" i="952" s="1"/>
  <c r="L556" i="952" s="1"/>
  <c r="AI282" i="952"/>
  <c r="N528" i="952"/>
  <c r="L528" i="952"/>
  <c r="N697" i="952"/>
  <c r="L697" i="952"/>
  <c r="N63" i="953"/>
  <c r="AI242" i="954"/>
  <c r="AI233" i="954"/>
  <c r="N667" i="954"/>
  <c r="L667" i="954"/>
  <c r="N777" i="954"/>
  <c r="L777" i="954"/>
  <c r="N781" i="954"/>
  <c r="L781" i="954"/>
  <c r="N535" i="955"/>
  <c r="L535" i="955"/>
  <c r="L562" i="956"/>
  <c r="N562" i="956"/>
  <c r="N755" i="956"/>
  <c r="L755" i="956"/>
  <c r="P12" i="952"/>
  <c r="AF19" i="952"/>
  <c r="B167" i="952"/>
  <c r="AE142" i="952"/>
  <c r="I646" i="952" s="1"/>
  <c r="N646" i="952" s="1"/>
  <c r="F149" i="952"/>
  <c r="AD233" i="952"/>
  <c r="F272" i="952"/>
  <c r="N635" i="952"/>
  <c r="L635" i="952"/>
  <c r="N781" i="952"/>
  <c r="L781" i="952"/>
  <c r="F321" i="953"/>
  <c r="AL81" i="953"/>
  <c r="I321" i="953" s="1"/>
  <c r="N321" i="953" s="1"/>
  <c r="F455" i="953"/>
  <c r="AH92" i="953"/>
  <c r="I455" i="953" s="1"/>
  <c r="L455" i="953" s="1"/>
  <c r="AI228" i="953"/>
  <c r="AF17" i="954"/>
  <c r="AE17" i="954"/>
  <c r="F470" i="954"/>
  <c r="AH95" i="954"/>
  <c r="I470" i="954" s="1"/>
  <c r="N696" i="954"/>
  <c r="L696" i="954"/>
  <c r="AF18" i="956"/>
  <c r="AE18" i="956"/>
  <c r="I649" i="956"/>
  <c r="L649" i="956" s="1"/>
  <c r="AE142" i="956"/>
  <c r="I646" i="956" s="1"/>
  <c r="L646" i="956" s="1"/>
  <c r="L65" i="952"/>
  <c r="F140" i="952"/>
  <c r="AE143" i="952"/>
  <c r="I661" i="952" s="1"/>
  <c r="F242" i="952"/>
  <c r="N695" i="952"/>
  <c r="L695" i="952"/>
  <c r="N697" i="953"/>
  <c r="L697" i="953"/>
  <c r="N665" i="954"/>
  <c r="L665" i="954"/>
  <c r="AG231" i="952"/>
  <c r="N535" i="952"/>
  <c r="L535" i="952"/>
  <c r="L606" i="952"/>
  <c r="N606" i="952"/>
  <c r="N682" i="952"/>
  <c r="L682" i="952"/>
  <c r="N543" i="953"/>
  <c r="L543" i="953"/>
  <c r="BB3" i="954"/>
  <c r="C753" i="954" s="1"/>
  <c r="F425" i="954"/>
  <c r="AH90" i="954"/>
  <c r="I425" i="954" s="1"/>
  <c r="N652" i="954"/>
  <c r="L652" i="954"/>
  <c r="AI256" i="952"/>
  <c r="AG228" i="953"/>
  <c r="L149" i="954"/>
  <c r="L184" i="954"/>
  <c r="Z234" i="954"/>
  <c r="Z244" i="954"/>
  <c r="AG229" i="955"/>
  <c r="N606" i="955"/>
  <c r="L606" i="955"/>
  <c r="B208" i="956"/>
  <c r="N209" i="956"/>
  <c r="L209" i="956"/>
  <c r="I559" i="958"/>
  <c r="AE133" i="958"/>
  <c r="I556" i="958" s="1"/>
  <c r="L556" i="958" s="1"/>
  <c r="AB182" i="952"/>
  <c r="AC182" i="952" s="1"/>
  <c r="F206" i="952"/>
  <c r="AG246" i="952"/>
  <c r="Z237" i="952"/>
  <c r="N537" i="952"/>
  <c r="L650" i="952"/>
  <c r="AE16" i="953"/>
  <c r="AH84" i="953"/>
  <c r="I365" i="953" s="1"/>
  <c r="N365" i="953" s="1"/>
  <c r="AE137" i="953"/>
  <c r="I616" i="953" s="1"/>
  <c r="L616" i="953" s="1"/>
  <c r="AG261" i="953"/>
  <c r="AD235" i="953"/>
  <c r="N539" i="953"/>
  <c r="L622" i="953"/>
  <c r="L779" i="953"/>
  <c r="L22" i="954"/>
  <c r="L139" i="954"/>
  <c r="L142" i="954"/>
  <c r="L155" i="954"/>
  <c r="L175" i="954"/>
  <c r="L176" i="954"/>
  <c r="L36" i="955"/>
  <c r="B67" i="955"/>
  <c r="I709" i="955"/>
  <c r="AE149" i="955"/>
  <c r="I706" i="955" s="1"/>
  <c r="N706" i="955" s="1"/>
  <c r="N562" i="955"/>
  <c r="L562" i="955"/>
  <c r="N592" i="955"/>
  <c r="L592" i="955"/>
  <c r="AF141" i="956"/>
  <c r="I638" i="956" s="1"/>
  <c r="AF145" i="956"/>
  <c r="I698" i="956" s="1"/>
  <c r="N698" i="956" s="1"/>
  <c r="N68" i="956"/>
  <c r="L68" i="956"/>
  <c r="F335" i="956"/>
  <c r="AH82" i="956"/>
  <c r="I604" i="956"/>
  <c r="AE136" i="956"/>
  <c r="I601" i="956" s="1"/>
  <c r="L601" i="956" s="1"/>
  <c r="N665" i="956"/>
  <c r="L665" i="956"/>
  <c r="I739" i="957"/>
  <c r="L739" i="957" s="1"/>
  <c r="AE151" i="957"/>
  <c r="I736" i="957" s="1"/>
  <c r="L736" i="957" s="1"/>
  <c r="F205" i="952"/>
  <c r="L15" i="953"/>
  <c r="F138" i="953"/>
  <c r="AI265" i="953"/>
  <c r="L15" i="954"/>
  <c r="AE134" i="954"/>
  <c r="I571" i="954" s="1"/>
  <c r="AE135" i="954"/>
  <c r="I586" i="954" s="1"/>
  <c r="N586" i="954" s="1"/>
  <c r="AE136" i="954"/>
  <c r="I601" i="954" s="1"/>
  <c r="N601" i="954" s="1"/>
  <c r="L140" i="954"/>
  <c r="L144" i="954"/>
  <c r="L148" i="954"/>
  <c r="L153" i="954"/>
  <c r="AB182" i="954"/>
  <c r="AD182" i="954" s="1"/>
  <c r="AG265" i="954"/>
  <c r="Z248" i="954"/>
  <c r="B63" i="955"/>
  <c r="N67" i="955"/>
  <c r="L67" i="955"/>
  <c r="N590" i="955"/>
  <c r="L590" i="955"/>
  <c r="N636" i="955"/>
  <c r="L636" i="955"/>
  <c r="F336" i="956"/>
  <c r="AL82" i="956"/>
  <c r="I336" i="956" s="1"/>
  <c r="L336" i="956" s="1"/>
  <c r="N650" i="956"/>
  <c r="L650" i="956"/>
  <c r="N612" i="957"/>
  <c r="L612" i="957"/>
  <c r="BB3" i="958"/>
  <c r="C618" i="958" s="1"/>
  <c r="L22" i="953"/>
  <c r="AG232" i="953"/>
  <c r="AD233" i="953"/>
  <c r="N537" i="953"/>
  <c r="N592" i="953"/>
  <c r="N780" i="953"/>
  <c r="B69" i="954"/>
  <c r="F141" i="954"/>
  <c r="F149" i="954"/>
  <c r="Z240" i="954"/>
  <c r="Z241" i="954"/>
  <c r="N537" i="954"/>
  <c r="N560" i="954"/>
  <c r="N612" i="954"/>
  <c r="N528" i="955"/>
  <c r="L528" i="955"/>
  <c r="L15" i="956"/>
  <c r="F395" i="956"/>
  <c r="AH88" i="956"/>
  <c r="I395" i="956" s="1"/>
  <c r="N395" i="956" s="1"/>
  <c r="AB254" i="956"/>
  <c r="AB256" i="956"/>
  <c r="AB238" i="956"/>
  <c r="AB248" i="956"/>
  <c r="AB234" i="956"/>
  <c r="L637" i="956"/>
  <c r="N637" i="956"/>
  <c r="L36" i="954"/>
  <c r="F137" i="954"/>
  <c r="AH259" i="954"/>
  <c r="N62" i="955"/>
  <c r="N63" i="955"/>
  <c r="L63" i="955"/>
  <c r="AI237" i="955"/>
  <c r="AI228" i="955"/>
  <c r="N537" i="955"/>
  <c r="L537" i="955"/>
  <c r="N122" i="956"/>
  <c r="N121" i="956"/>
  <c r="AG269" i="956"/>
  <c r="N575" i="957"/>
  <c r="L575" i="957"/>
  <c r="Z257" i="952"/>
  <c r="L666" i="952"/>
  <c r="L725" i="952"/>
  <c r="AH88" i="953"/>
  <c r="I395" i="953" s="1"/>
  <c r="AH96" i="953"/>
  <c r="I485" i="953" s="1"/>
  <c r="N485" i="953" s="1"/>
  <c r="AE150" i="953"/>
  <c r="I721" i="953" s="1"/>
  <c r="L721" i="953" s="1"/>
  <c r="AH246" i="953"/>
  <c r="N541" i="953"/>
  <c r="N561" i="953"/>
  <c r="L666" i="953"/>
  <c r="AH84" i="954"/>
  <c r="I365" i="954" s="1"/>
  <c r="L365" i="954" s="1"/>
  <c r="B160" i="954"/>
  <c r="L152" i="954"/>
  <c r="F159" i="954"/>
  <c r="L199" i="954"/>
  <c r="L202" i="954"/>
  <c r="AI257" i="954"/>
  <c r="Z246" i="954"/>
  <c r="L636" i="954"/>
  <c r="L779" i="954"/>
  <c r="AB184" i="955"/>
  <c r="AD184" i="955" s="1"/>
  <c r="AH232" i="955"/>
  <c r="N575" i="955"/>
  <c r="L575" i="955"/>
  <c r="N67" i="956"/>
  <c r="L67" i="956"/>
  <c r="N561" i="957"/>
  <c r="L561" i="957"/>
  <c r="B188" i="957"/>
  <c r="N622" i="957"/>
  <c r="L622" i="957"/>
  <c r="F381" i="958"/>
  <c r="AL85" i="958"/>
  <c r="I381" i="958" s="1"/>
  <c r="N562" i="958"/>
  <c r="L562" i="958"/>
  <c r="N695" i="958"/>
  <c r="L695" i="958"/>
  <c r="N159" i="960"/>
  <c r="L159" i="960"/>
  <c r="I478" i="961"/>
  <c r="N478" i="961" s="1"/>
  <c r="AF75" i="961"/>
  <c r="I604" i="961"/>
  <c r="AE136" i="961"/>
  <c r="I601" i="961" s="1"/>
  <c r="N601" i="961" s="1"/>
  <c r="F180" i="955"/>
  <c r="L143" i="955"/>
  <c r="L187" i="955"/>
  <c r="F198" i="955"/>
  <c r="L200" i="955"/>
  <c r="L206" i="955"/>
  <c r="AH239" i="955"/>
  <c r="Z240" i="955"/>
  <c r="C116" i="956"/>
  <c r="AE145" i="956"/>
  <c r="I691" i="956" s="1"/>
  <c r="L169" i="956"/>
  <c r="L192" i="956"/>
  <c r="L590" i="956"/>
  <c r="L636" i="956"/>
  <c r="L695" i="956"/>
  <c r="L777" i="956"/>
  <c r="N782" i="956"/>
  <c r="B66" i="957"/>
  <c r="L149" i="957"/>
  <c r="F153" i="957"/>
  <c r="F161" i="957"/>
  <c r="F170" i="957"/>
  <c r="AB183" i="957"/>
  <c r="AC183" i="957" s="1"/>
  <c r="F176" i="957"/>
  <c r="L191" i="957"/>
  <c r="AG228" i="957"/>
  <c r="N560" i="957"/>
  <c r="L560" i="957"/>
  <c r="N567" i="957"/>
  <c r="L783" i="957"/>
  <c r="N783" i="957"/>
  <c r="Q13" i="958"/>
  <c r="P12" i="958"/>
  <c r="AH91" i="958"/>
  <c r="I440" i="958" s="1"/>
  <c r="AH96" i="958"/>
  <c r="I485" i="958" s="1"/>
  <c r="N128" i="958"/>
  <c r="N127" i="958"/>
  <c r="N126" i="958"/>
  <c r="I604" i="958"/>
  <c r="AE136" i="958"/>
  <c r="I601" i="958" s="1"/>
  <c r="N601" i="958" s="1"/>
  <c r="AD252" i="958"/>
  <c r="AD235" i="958"/>
  <c r="AD241" i="958"/>
  <c r="AD237" i="958"/>
  <c r="AD234" i="958"/>
  <c r="AD233" i="958"/>
  <c r="N682" i="958"/>
  <c r="L682" i="958"/>
  <c r="B69" i="959"/>
  <c r="L65" i="961"/>
  <c r="N65" i="961"/>
  <c r="L69" i="961"/>
  <c r="N69" i="961"/>
  <c r="L12" i="956"/>
  <c r="F182" i="957"/>
  <c r="AD233" i="957"/>
  <c r="AD243" i="957"/>
  <c r="AD236" i="957"/>
  <c r="AD235" i="957"/>
  <c r="AD234" i="957"/>
  <c r="L597" i="957"/>
  <c r="L695" i="957"/>
  <c r="N697" i="957"/>
  <c r="L697" i="957"/>
  <c r="I589" i="958"/>
  <c r="AE135" i="958"/>
  <c r="I586" i="958" s="1"/>
  <c r="AG228" i="958"/>
  <c r="L710" i="958"/>
  <c r="N710" i="958"/>
  <c r="N68" i="959"/>
  <c r="L68" i="959"/>
  <c r="I709" i="959"/>
  <c r="L709" i="959" s="1"/>
  <c r="AE149" i="959"/>
  <c r="I706" i="959" s="1"/>
  <c r="L22" i="955"/>
  <c r="L153" i="955"/>
  <c r="F168" i="955"/>
  <c r="F197" i="955"/>
  <c r="L199" i="955"/>
  <c r="AG278" i="955"/>
  <c r="AE16" i="956"/>
  <c r="B65" i="956"/>
  <c r="B313" i="956"/>
  <c r="N124" i="956"/>
  <c r="L139" i="956"/>
  <c r="L149" i="956"/>
  <c r="AE149" i="956"/>
  <c r="I706" i="956" s="1"/>
  <c r="L156" i="956"/>
  <c r="L182" i="956"/>
  <c r="L216" i="956"/>
  <c r="AI233" i="956"/>
  <c r="AD239" i="956"/>
  <c r="N575" i="956"/>
  <c r="L757" i="956"/>
  <c r="L63" i="957"/>
  <c r="AH95" i="957"/>
  <c r="L143" i="957"/>
  <c r="L148" i="957"/>
  <c r="F169" i="957"/>
  <c r="L212" i="957"/>
  <c r="N607" i="957"/>
  <c r="L607" i="957"/>
  <c r="N652" i="957"/>
  <c r="L652" i="957"/>
  <c r="N215" i="958"/>
  <c r="L215" i="958"/>
  <c r="AG231" i="958"/>
  <c r="AG230" i="958"/>
  <c r="AG229" i="958"/>
  <c r="N540" i="958"/>
  <c r="L540" i="958"/>
  <c r="N543" i="958"/>
  <c r="L543" i="958"/>
  <c r="N696" i="958"/>
  <c r="L696" i="958"/>
  <c r="I313" i="959"/>
  <c r="B316" i="959" s="1"/>
  <c r="AF75" i="959"/>
  <c r="AG229" i="959"/>
  <c r="AH229" i="959"/>
  <c r="L544" i="961"/>
  <c r="N544" i="961"/>
  <c r="N64" i="959"/>
  <c r="L64" i="959"/>
  <c r="AH232" i="959"/>
  <c r="F410" i="960"/>
  <c r="AH89" i="960"/>
  <c r="I410" i="960" s="1"/>
  <c r="N410" i="960" s="1"/>
  <c r="L15" i="955"/>
  <c r="F142" i="955"/>
  <c r="F143" i="955"/>
  <c r="AE145" i="955"/>
  <c r="I691" i="955" s="1"/>
  <c r="F155" i="955"/>
  <c r="L160" i="955"/>
  <c r="L166" i="955"/>
  <c r="L178" i="955"/>
  <c r="L198" i="955"/>
  <c r="AH228" i="955"/>
  <c r="AG235" i="955"/>
  <c r="Z236" i="955"/>
  <c r="Z244" i="955"/>
  <c r="P12" i="956"/>
  <c r="L36" i="956"/>
  <c r="L63" i="956"/>
  <c r="AE141" i="956"/>
  <c r="I631" i="956" s="1"/>
  <c r="L144" i="956"/>
  <c r="L148" i="956"/>
  <c r="L155" i="956"/>
  <c r="L181" i="956"/>
  <c r="L184" i="956"/>
  <c r="L194" i="956"/>
  <c r="AG259" i="956"/>
  <c r="AG283" i="956"/>
  <c r="AG251" i="956"/>
  <c r="B64" i="957"/>
  <c r="AE135" i="957"/>
  <c r="I586" i="957" s="1"/>
  <c r="AE136" i="957"/>
  <c r="I601" i="957" s="1"/>
  <c r="F149" i="957"/>
  <c r="L153" i="957"/>
  <c r="L170" i="957"/>
  <c r="L176" i="957"/>
  <c r="F181" i="957"/>
  <c r="L199" i="957"/>
  <c r="N605" i="957"/>
  <c r="L605" i="957"/>
  <c r="N650" i="957"/>
  <c r="L650" i="957"/>
  <c r="N681" i="957"/>
  <c r="L681" i="957"/>
  <c r="N725" i="957"/>
  <c r="L725" i="957"/>
  <c r="L15" i="958"/>
  <c r="B64" i="958"/>
  <c r="L63" i="958"/>
  <c r="B65" i="958"/>
  <c r="F425" i="958"/>
  <c r="AH90" i="958"/>
  <c r="N541" i="958"/>
  <c r="L541" i="958"/>
  <c r="N637" i="958"/>
  <c r="L637" i="958"/>
  <c r="L780" i="958"/>
  <c r="N780" i="958"/>
  <c r="I619" i="959"/>
  <c r="AE137" i="959"/>
  <c r="I616" i="959" s="1"/>
  <c r="AG232" i="959"/>
  <c r="L528" i="959"/>
  <c r="N536" i="959"/>
  <c r="L536" i="959"/>
  <c r="F139" i="955"/>
  <c r="F144" i="955"/>
  <c r="F164" i="955"/>
  <c r="AI289" i="955"/>
  <c r="Z243" i="955"/>
  <c r="AV3" i="956"/>
  <c r="C784" i="956" s="1"/>
  <c r="P13" i="956"/>
  <c r="L22" i="956"/>
  <c r="N127" i="957"/>
  <c r="F142" i="957"/>
  <c r="L146" i="957"/>
  <c r="L150" i="957"/>
  <c r="L162" i="957"/>
  <c r="F165" i="957"/>
  <c r="L195" i="957"/>
  <c r="AD237" i="957"/>
  <c r="N535" i="957"/>
  <c r="L535" i="957"/>
  <c r="N552" i="957"/>
  <c r="L552" i="957"/>
  <c r="N637" i="957"/>
  <c r="L637" i="957"/>
  <c r="N755" i="957"/>
  <c r="L755" i="957"/>
  <c r="L36" i="958"/>
  <c r="L65" i="958"/>
  <c r="N65" i="958"/>
  <c r="I709" i="958"/>
  <c r="AE149" i="958"/>
  <c r="I706" i="958" s="1"/>
  <c r="N706" i="958" s="1"/>
  <c r="AG232" i="958"/>
  <c r="AH229" i="958"/>
  <c r="N139" i="959"/>
  <c r="B216" i="955"/>
  <c r="F146" i="955"/>
  <c r="F161" i="955"/>
  <c r="F163" i="955"/>
  <c r="F179" i="955"/>
  <c r="F205" i="955"/>
  <c r="AI232" i="955"/>
  <c r="AG233" i="955"/>
  <c r="Z242" i="955"/>
  <c r="BB3" i="956"/>
  <c r="C753" i="956" s="1"/>
  <c r="N65" i="956"/>
  <c r="AH84" i="956"/>
  <c r="N128" i="956"/>
  <c r="AE137" i="956"/>
  <c r="I616" i="956" s="1"/>
  <c r="N616" i="956" s="1"/>
  <c r="L153" i="956"/>
  <c r="L164" i="956"/>
  <c r="L170" i="956"/>
  <c r="L180" i="956"/>
  <c r="L193" i="956"/>
  <c r="L208" i="956"/>
  <c r="AI257" i="956"/>
  <c r="L22" i="957"/>
  <c r="B63" i="957"/>
  <c r="B67" i="957"/>
  <c r="AE137" i="957"/>
  <c r="I616" i="957" s="1"/>
  <c r="N616" i="957" s="1"/>
  <c r="F139" i="957"/>
  <c r="F143" i="957"/>
  <c r="F148" i="957"/>
  <c r="F183" i="957"/>
  <c r="AH271" i="957"/>
  <c r="AH236" i="957"/>
  <c r="AH234" i="957"/>
  <c r="AH229" i="957"/>
  <c r="BA31" i="958"/>
  <c r="C469" i="958" s="1"/>
  <c r="AH231" i="958"/>
  <c r="AH228" i="958"/>
  <c r="AH232" i="958"/>
  <c r="N528" i="958"/>
  <c r="L528" i="958"/>
  <c r="N635" i="958"/>
  <c r="L635" i="958"/>
  <c r="N781" i="958"/>
  <c r="L781" i="958"/>
  <c r="L207" i="961"/>
  <c r="N207" i="961"/>
  <c r="L156" i="958"/>
  <c r="L157" i="958"/>
  <c r="L195" i="958"/>
  <c r="L207" i="958"/>
  <c r="L210" i="958"/>
  <c r="AV3" i="959"/>
  <c r="C754" i="959" s="1"/>
  <c r="L142" i="959"/>
  <c r="L152" i="959"/>
  <c r="L160" i="959"/>
  <c r="L179" i="959"/>
  <c r="L202" i="959"/>
  <c r="Z263" i="959"/>
  <c r="Z244" i="959"/>
  <c r="Z236" i="959"/>
  <c r="Z233" i="959"/>
  <c r="Z234" i="959"/>
  <c r="Z241" i="959"/>
  <c r="N695" i="959"/>
  <c r="L695" i="959"/>
  <c r="Q13" i="960"/>
  <c r="P12" i="960"/>
  <c r="L169" i="960"/>
  <c r="L536" i="960"/>
  <c r="N536" i="960"/>
  <c r="B66" i="961"/>
  <c r="N62" i="961"/>
  <c r="I589" i="961"/>
  <c r="N589" i="961" s="1"/>
  <c r="AE135" i="961"/>
  <c r="I586" i="961" s="1"/>
  <c r="N586" i="961" s="1"/>
  <c r="L540" i="961"/>
  <c r="N540" i="961"/>
  <c r="L183" i="957"/>
  <c r="L187" i="957"/>
  <c r="L197" i="957"/>
  <c r="L214" i="957"/>
  <c r="L175" i="958"/>
  <c r="L176" i="958"/>
  <c r="L184" i="958"/>
  <c r="AH249" i="958"/>
  <c r="AI233" i="958"/>
  <c r="L650" i="958"/>
  <c r="L725" i="958"/>
  <c r="L156" i="959"/>
  <c r="L157" i="959"/>
  <c r="L182" i="959"/>
  <c r="L198" i="959"/>
  <c r="L214" i="959"/>
  <c r="AH247" i="959"/>
  <c r="Z240" i="959"/>
  <c r="L567" i="959"/>
  <c r="N576" i="959"/>
  <c r="N590" i="959"/>
  <c r="L592" i="959"/>
  <c r="L680" i="959"/>
  <c r="N680" i="959"/>
  <c r="L781" i="959"/>
  <c r="AF89" i="960"/>
  <c r="I413" i="960" s="1"/>
  <c r="N413" i="960" s="1"/>
  <c r="AF90" i="960"/>
  <c r="I428" i="960" s="1"/>
  <c r="N428" i="960" s="1"/>
  <c r="L15" i="960"/>
  <c r="AK26" i="960"/>
  <c r="I619" i="960"/>
  <c r="N619" i="960" s="1"/>
  <c r="AE137" i="960"/>
  <c r="I616" i="960" s="1"/>
  <c r="L616" i="960" s="1"/>
  <c r="F183" i="960"/>
  <c r="L188" i="960"/>
  <c r="N188" i="960"/>
  <c r="L192" i="960"/>
  <c r="I574" i="961"/>
  <c r="L574" i="961" s="1"/>
  <c r="AE134" i="961"/>
  <c r="I571" i="961" s="1"/>
  <c r="L571" i="961" s="1"/>
  <c r="N150" i="961"/>
  <c r="L150" i="961"/>
  <c r="L168" i="961"/>
  <c r="N168" i="961"/>
  <c r="N194" i="961"/>
  <c r="L194" i="961"/>
  <c r="AB270" i="961"/>
  <c r="AB283" i="961"/>
  <c r="AB260" i="961"/>
  <c r="AB234" i="961"/>
  <c r="AB252" i="961"/>
  <c r="AB242" i="961"/>
  <c r="AB276" i="961"/>
  <c r="AB244" i="961"/>
  <c r="AB240" i="961"/>
  <c r="N607" i="961"/>
  <c r="L607" i="961"/>
  <c r="N666" i="961"/>
  <c r="L666" i="961"/>
  <c r="AD259" i="959"/>
  <c r="AD235" i="959"/>
  <c r="Z235" i="959"/>
  <c r="L667" i="959"/>
  <c r="N667" i="959"/>
  <c r="L22" i="960"/>
  <c r="L158" i="960"/>
  <c r="N158" i="960"/>
  <c r="L528" i="960"/>
  <c r="N528" i="960"/>
  <c r="AD274" i="961"/>
  <c r="AD242" i="961"/>
  <c r="AD238" i="961"/>
  <c r="L196" i="957"/>
  <c r="L213" i="957"/>
  <c r="AG272" i="957"/>
  <c r="L12" i="958"/>
  <c r="L144" i="958"/>
  <c r="L172" i="958"/>
  <c r="L183" i="958"/>
  <c r="L203" i="958"/>
  <c r="Z235" i="958"/>
  <c r="L22" i="959"/>
  <c r="L36" i="959"/>
  <c r="AE142" i="959"/>
  <c r="I646" i="959" s="1"/>
  <c r="L646" i="959" s="1"/>
  <c r="L155" i="959"/>
  <c r="L169" i="959"/>
  <c r="L191" i="959"/>
  <c r="L207" i="959"/>
  <c r="L537" i="959"/>
  <c r="L540" i="959"/>
  <c r="L650" i="959"/>
  <c r="L665" i="959"/>
  <c r="N779" i="959"/>
  <c r="L779" i="959"/>
  <c r="AF81" i="960"/>
  <c r="I323" i="960" s="1"/>
  <c r="F380" i="960"/>
  <c r="AH85" i="960"/>
  <c r="L150" i="960"/>
  <c r="N150" i="960"/>
  <c r="L181" i="960"/>
  <c r="F395" i="961"/>
  <c r="AH88" i="961"/>
  <c r="I694" i="961"/>
  <c r="AE145" i="961"/>
  <c r="I691" i="961" s="1"/>
  <c r="N691" i="961" s="1"/>
  <c r="L190" i="958"/>
  <c r="AG246" i="958"/>
  <c r="P13" i="960"/>
  <c r="F350" i="960"/>
  <c r="AH83" i="960"/>
  <c r="I350" i="960" s="1"/>
  <c r="L350" i="960" s="1"/>
  <c r="N779" i="960"/>
  <c r="L779" i="960"/>
  <c r="N190" i="961"/>
  <c r="L190" i="961"/>
  <c r="AB277" i="961"/>
  <c r="L742" i="961"/>
  <c r="N742" i="961"/>
  <c r="AI282" i="957"/>
  <c r="AG237" i="957"/>
  <c r="AH228" i="957"/>
  <c r="L22" i="958"/>
  <c r="N121" i="958"/>
  <c r="L146" i="958"/>
  <c r="AB183" i="958"/>
  <c r="AD183" i="958" s="1"/>
  <c r="L182" i="958"/>
  <c r="L186" i="958"/>
  <c r="L187" i="958"/>
  <c r="Z233" i="958"/>
  <c r="B143" i="959"/>
  <c r="AG259" i="959"/>
  <c r="Z237" i="959"/>
  <c r="N534" i="959"/>
  <c r="I485" i="960"/>
  <c r="N485" i="960" s="1"/>
  <c r="AJ96" i="960"/>
  <c r="I487" i="960" s="1"/>
  <c r="N487" i="960" s="1"/>
  <c r="I694" i="960"/>
  <c r="N694" i="960" s="1"/>
  <c r="AE145" i="960"/>
  <c r="I691" i="960" s="1"/>
  <c r="F174" i="960"/>
  <c r="AI259" i="960"/>
  <c r="AI228" i="960"/>
  <c r="AI232" i="960"/>
  <c r="AH229" i="961"/>
  <c r="AB268" i="961"/>
  <c r="N637" i="961"/>
  <c r="L637" i="961"/>
  <c r="N710" i="961"/>
  <c r="L725" i="961"/>
  <c r="F193" i="957"/>
  <c r="L528" i="957"/>
  <c r="L590" i="957"/>
  <c r="L665" i="957"/>
  <c r="N742" i="957"/>
  <c r="AE17" i="958"/>
  <c r="AE137" i="958"/>
  <c r="I616" i="958" s="1"/>
  <c r="N616" i="958" s="1"/>
  <c r="L161" i="958"/>
  <c r="L163" i="958"/>
  <c r="L164" i="958"/>
  <c r="L167" i="958"/>
  <c r="L178" i="958"/>
  <c r="L211" i="958"/>
  <c r="Z236" i="958"/>
  <c r="L605" i="958"/>
  <c r="N712" i="958"/>
  <c r="L12" i="959"/>
  <c r="AL83" i="959"/>
  <c r="I351" i="959" s="1"/>
  <c r="AL85" i="959"/>
  <c r="I381" i="959" s="1"/>
  <c r="N381" i="959" s="1"/>
  <c r="L163" i="959"/>
  <c r="L164" i="959"/>
  <c r="L167" i="959"/>
  <c r="L183" i="959"/>
  <c r="L187" i="959"/>
  <c r="L203" i="959"/>
  <c r="AG228" i="959"/>
  <c r="AG231" i="959"/>
  <c r="AH231" i="959"/>
  <c r="AH238" i="959"/>
  <c r="N605" i="959"/>
  <c r="N636" i="959"/>
  <c r="L636" i="959"/>
  <c r="N697" i="959"/>
  <c r="L697" i="959"/>
  <c r="F169" i="960"/>
  <c r="L193" i="960"/>
  <c r="L541" i="960"/>
  <c r="N541" i="960"/>
  <c r="L592" i="960"/>
  <c r="N592" i="960"/>
  <c r="L681" i="960"/>
  <c r="Q13" i="961"/>
  <c r="P12" i="961"/>
  <c r="N124" i="961"/>
  <c r="N125" i="961"/>
  <c r="N123" i="961"/>
  <c r="B143" i="961"/>
  <c r="L176" i="961"/>
  <c r="L211" i="961"/>
  <c r="N211" i="961"/>
  <c r="N552" i="961"/>
  <c r="L552" i="961"/>
  <c r="L15" i="961"/>
  <c r="L22" i="961"/>
  <c r="L147" i="961"/>
  <c r="AI230" i="961"/>
  <c r="AG229" i="961"/>
  <c r="L206" i="960"/>
  <c r="L216" i="960"/>
  <c r="L36" i="961"/>
  <c r="L141" i="961"/>
  <c r="F144" i="961"/>
  <c r="L173" i="961"/>
  <c r="L186" i="961"/>
  <c r="L197" i="961"/>
  <c r="AH230" i="961"/>
  <c r="AG265" i="961"/>
  <c r="AH228" i="961"/>
  <c r="Z262" i="961"/>
  <c r="AE133" i="960"/>
  <c r="I556" i="960" s="1"/>
  <c r="L139" i="960"/>
  <c r="L141" i="960"/>
  <c r="F179" i="960"/>
  <c r="F190" i="960"/>
  <c r="Z243" i="960"/>
  <c r="F254" i="960"/>
  <c r="N544" i="960"/>
  <c r="N561" i="960"/>
  <c r="AL85" i="961"/>
  <c r="I381" i="961" s="1"/>
  <c r="N381" i="961" s="1"/>
  <c r="AH98" i="961"/>
  <c r="I515" i="961" s="1"/>
  <c r="N515" i="961" s="1"/>
  <c r="L193" i="961"/>
  <c r="L200" i="961"/>
  <c r="AH232" i="961"/>
  <c r="L650" i="961"/>
  <c r="L779" i="961"/>
  <c r="L577" i="959"/>
  <c r="N597" i="959"/>
  <c r="L651" i="959"/>
  <c r="AL81" i="960"/>
  <c r="I321" i="960" s="1"/>
  <c r="L321" i="960" s="1"/>
  <c r="AE149" i="960"/>
  <c r="I706" i="960" s="1"/>
  <c r="N706" i="960" s="1"/>
  <c r="L177" i="960"/>
  <c r="L180" i="960"/>
  <c r="L183" i="960"/>
  <c r="L198" i="960"/>
  <c r="L205" i="960"/>
  <c r="F235" i="960"/>
  <c r="AE19" i="961"/>
  <c r="L156" i="961"/>
  <c r="L161" i="961"/>
  <c r="N163" i="961"/>
  <c r="L164" i="961"/>
  <c r="AB183" i="961"/>
  <c r="AD183" i="961" s="1"/>
  <c r="L189" i="961"/>
  <c r="L199" i="961"/>
  <c r="N203" i="961"/>
  <c r="L214" i="961"/>
  <c r="Z270" i="961"/>
  <c r="L538" i="961"/>
  <c r="N782" i="959"/>
  <c r="AH88" i="960"/>
  <c r="AH92" i="960"/>
  <c r="L138" i="960"/>
  <c r="L143" i="960"/>
  <c r="L149" i="960"/>
  <c r="L173" i="960"/>
  <c r="L176" i="960"/>
  <c r="L186" i="960"/>
  <c r="L201" i="960"/>
  <c r="AB236" i="960"/>
  <c r="AH235" i="960"/>
  <c r="Z255" i="960"/>
  <c r="N575" i="960"/>
  <c r="N620" i="960"/>
  <c r="N622" i="960"/>
  <c r="L637" i="960"/>
  <c r="L650" i="960"/>
  <c r="L665" i="960"/>
  <c r="L682" i="960"/>
  <c r="L697" i="960"/>
  <c r="F917" i="960"/>
  <c r="AV3" i="961"/>
  <c r="C664" i="961" s="1"/>
  <c r="L12" i="961"/>
  <c r="AL82" i="961"/>
  <c r="I336" i="961" s="1"/>
  <c r="N336" i="961" s="1"/>
  <c r="AH91" i="961"/>
  <c r="I440" i="961" s="1"/>
  <c r="N440" i="961" s="1"/>
  <c r="N128" i="961"/>
  <c r="L143" i="961"/>
  <c r="L171" i="961"/>
  <c r="AG233" i="961"/>
  <c r="L680" i="961"/>
  <c r="L12" i="960"/>
  <c r="L36" i="960"/>
  <c r="B208" i="960"/>
  <c r="F199" i="960"/>
  <c r="AG241" i="961"/>
  <c r="Z246" i="961"/>
  <c r="H62" i="961"/>
  <c r="K36" i="961"/>
  <c r="AC5" i="961"/>
  <c r="A22" i="961"/>
  <c r="K5" i="961"/>
  <c r="K130" i="961" s="1"/>
  <c r="B143" i="960"/>
  <c r="B138" i="961"/>
  <c r="B139" i="961"/>
  <c r="B225" i="958"/>
  <c r="N225" i="959"/>
  <c r="L137" i="961"/>
  <c r="L144" i="961"/>
  <c r="L179" i="961"/>
  <c r="L191" i="961"/>
  <c r="L195" i="961"/>
  <c r="L187" i="961"/>
  <c r="B156" i="960"/>
  <c r="L170" i="959"/>
  <c r="L138" i="961"/>
  <c r="L146" i="961"/>
  <c r="L159" i="961"/>
  <c r="C117" i="961"/>
  <c r="L196" i="960"/>
  <c r="L175" i="961"/>
  <c r="L215" i="961"/>
  <c r="AF98" i="961"/>
  <c r="I518" i="961" s="1"/>
  <c r="AF97" i="961"/>
  <c r="I503" i="961" s="1"/>
  <c r="AF96" i="961"/>
  <c r="I488" i="961" s="1"/>
  <c r="AF95" i="961"/>
  <c r="I473" i="961" s="1"/>
  <c r="BA31" i="961"/>
  <c r="N383" i="961"/>
  <c r="L383" i="961"/>
  <c r="L398" i="961"/>
  <c r="N398" i="961"/>
  <c r="AF152" i="961"/>
  <c r="I758" i="961" s="1"/>
  <c r="AF151" i="961"/>
  <c r="I743" i="961" s="1"/>
  <c r="AF150" i="961"/>
  <c r="I728" i="961" s="1"/>
  <c r="AF149" i="961"/>
  <c r="I713" i="961" s="1"/>
  <c r="AF136" i="961"/>
  <c r="I608" i="961" s="1"/>
  <c r="AF135" i="961"/>
  <c r="I593" i="961" s="1"/>
  <c r="AF134" i="961"/>
  <c r="I578" i="961" s="1"/>
  <c r="AF133" i="961"/>
  <c r="I563" i="961" s="1"/>
  <c r="AF137" i="961"/>
  <c r="I623" i="961" s="1"/>
  <c r="BB3" i="961"/>
  <c r="W5" i="961"/>
  <c r="I918" i="961"/>
  <c r="I1038" i="961"/>
  <c r="I1041" i="961"/>
  <c r="I921" i="961"/>
  <c r="H12" i="961"/>
  <c r="B36" i="961"/>
  <c r="L63" i="961"/>
  <c r="B65" i="961"/>
  <c r="L67" i="961"/>
  <c r="B69" i="961"/>
  <c r="I1030" i="961"/>
  <c r="I910" i="961"/>
  <c r="N313" i="961"/>
  <c r="L313" i="961"/>
  <c r="N325" i="961"/>
  <c r="L325" i="961"/>
  <c r="N344" i="961"/>
  <c r="L344" i="961"/>
  <c r="N361" i="961"/>
  <c r="L361" i="961"/>
  <c r="N379" i="961"/>
  <c r="L379" i="961"/>
  <c r="I1323" i="961"/>
  <c r="I1321" i="961"/>
  <c r="I1320" i="961"/>
  <c r="N394" i="961"/>
  <c r="L394" i="961"/>
  <c r="AF89" i="961"/>
  <c r="I413" i="961" s="1"/>
  <c r="L420" i="961"/>
  <c r="N420" i="961"/>
  <c r="N436" i="961"/>
  <c r="L436" i="961"/>
  <c r="L445" i="961"/>
  <c r="N445" i="961"/>
  <c r="L464" i="961"/>
  <c r="N464" i="961"/>
  <c r="N480" i="961"/>
  <c r="L480" i="961"/>
  <c r="N511" i="961"/>
  <c r="L511" i="961"/>
  <c r="N524" i="961"/>
  <c r="L524" i="961"/>
  <c r="U130" i="961"/>
  <c r="I559" i="961"/>
  <c r="AE133" i="961"/>
  <c r="I556" i="961" s="1"/>
  <c r="N648" i="961"/>
  <c r="L648" i="961"/>
  <c r="AF144" i="961"/>
  <c r="I683" i="961" s="1"/>
  <c r="F149" i="961"/>
  <c r="N720" i="961"/>
  <c r="L720" i="961"/>
  <c r="F152" i="961"/>
  <c r="I752" i="961"/>
  <c r="I746" i="961"/>
  <c r="N154" i="961"/>
  <c r="L154" i="961"/>
  <c r="L157" i="961"/>
  <c r="F167" i="961"/>
  <c r="F186" i="961"/>
  <c r="F198" i="961"/>
  <c r="F202" i="961"/>
  <c r="H15" i="961"/>
  <c r="H36" i="961"/>
  <c r="N63" i="961"/>
  <c r="N315" i="961"/>
  <c r="L315" i="961"/>
  <c r="N321" i="961"/>
  <c r="L321" i="961"/>
  <c r="N331" i="961"/>
  <c r="L331" i="961"/>
  <c r="AF83" i="961"/>
  <c r="I353" i="961" s="1"/>
  <c r="N358" i="961"/>
  <c r="L358" i="961"/>
  <c r="N372" i="961"/>
  <c r="L372" i="961"/>
  <c r="N387" i="961"/>
  <c r="L387" i="961"/>
  <c r="N409" i="961"/>
  <c r="L409" i="961"/>
  <c r="N419" i="961"/>
  <c r="L419" i="961"/>
  <c r="L433" i="961"/>
  <c r="N433" i="961"/>
  <c r="N451" i="961"/>
  <c r="L451" i="961"/>
  <c r="N495" i="961"/>
  <c r="L495" i="961"/>
  <c r="L508" i="961"/>
  <c r="N508" i="961"/>
  <c r="N573" i="961"/>
  <c r="L573" i="961"/>
  <c r="L613" i="961"/>
  <c r="N613" i="961"/>
  <c r="L140" i="961"/>
  <c r="AF142" i="961"/>
  <c r="I653" i="961" s="1"/>
  <c r="B148" i="961"/>
  <c r="I739" i="961"/>
  <c r="AE151" i="961"/>
  <c r="I736" i="961" s="1"/>
  <c r="N162" i="961"/>
  <c r="L162" i="961"/>
  <c r="F182" i="961"/>
  <c r="F190" i="961"/>
  <c r="F194" i="961"/>
  <c r="L824" i="961"/>
  <c r="L804" i="961"/>
  <c r="L1077" i="961"/>
  <c r="L912" i="961"/>
  <c r="L965" i="961"/>
  <c r="L1025" i="961"/>
  <c r="L1021" i="961"/>
  <c r="L908" i="961"/>
  <c r="L856" i="961"/>
  <c r="L1145" i="961"/>
  <c r="W221" i="961"/>
  <c r="V165" i="961"/>
  <c r="P170" i="961"/>
  <c r="V108" i="961"/>
  <c r="J36" i="961"/>
  <c r="B64" i="961"/>
  <c r="B68" i="961"/>
  <c r="I1060" i="961"/>
  <c r="I1036" i="961"/>
  <c r="I936" i="961"/>
  <c r="I1067" i="961"/>
  <c r="I915" i="961"/>
  <c r="I1065" i="961"/>
  <c r="I938" i="961"/>
  <c r="I1064" i="961"/>
  <c r="I935" i="961"/>
  <c r="I1057" i="961"/>
  <c r="I1053" i="961"/>
  <c r="I1049" i="961"/>
  <c r="I929" i="961"/>
  <c r="I1068" i="961"/>
  <c r="I1056" i="961"/>
  <c r="I1052" i="961"/>
  <c r="I1066" i="961"/>
  <c r="I928" i="961"/>
  <c r="I1059" i="961"/>
  <c r="I1055" i="961"/>
  <c r="I1051" i="961"/>
  <c r="I931" i="961"/>
  <c r="I1058" i="961"/>
  <c r="I937" i="961"/>
  <c r="I1050" i="961"/>
  <c r="I1054" i="961"/>
  <c r="I1031" i="961"/>
  <c r="I911" i="961"/>
  <c r="N314" i="961"/>
  <c r="L314" i="961"/>
  <c r="N328" i="961"/>
  <c r="L328" i="961"/>
  <c r="N349" i="961"/>
  <c r="L349" i="961"/>
  <c r="L360" i="961"/>
  <c r="N360" i="961"/>
  <c r="AL84" i="961"/>
  <c r="I366" i="961" s="1"/>
  <c r="N370" i="961"/>
  <c r="L370" i="961"/>
  <c r="N385" i="961"/>
  <c r="L385" i="961"/>
  <c r="L402" i="961"/>
  <c r="N402" i="961"/>
  <c r="AH89" i="961"/>
  <c r="AF90" i="961"/>
  <c r="I428" i="961" s="1"/>
  <c r="N435" i="961"/>
  <c r="L435" i="961"/>
  <c r="L448" i="961"/>
  <c r="N448" i="961"/>
  <c r="N494" i="961"/>
  <c r="L494" i="961"/>
  <c r="N510" i="961"/>
  <c r="L510" i="961"/>
  <c r="C116" i="961"/>
  <c r="N126" i="961"/>
  <c r="N553" i="961"/>
  <c r="L553" i="961"/>
  <c r="E137" i="961"/>
  <c r="I103" i="961" s="1"/>
  <c r="N615" i="961"/>
  <c r="L615" i="961"/>
  <c r="F138" i="961"/>
  <c r="B141" i="961"/>
  <c r="N693" i="961"/>
  <c r="L693" i="961"/>
  <c r="F146" i="961"/>
  <c r="F147" i="961"/>
  <c r="L705" i="961"/>
  <c r="N705" i="961"/>
  <c r="F178" i="961"/>
  <c r="F216" i="961"/>
  <c r="F227" i="961"/>
  <c r="N668" i="961"/>
  <c r="L668" i="961"/>
  <c r="I914" i="961"/>
  <c r="I930" i="961"/>
  <c r="I933" i="961"/>
  <c r="I932" i="961"/>
  <c r="I939" i="961"/>
  <c r="AF81" i="961"/>
  <c r="I323" i="961" s="1"/>
  <c r="N330" i="961"/>
  <c r="L330" i="961"/>
  <c r="N342" i="961"/>
  <c r="L342" i="961"/>
  <c r="N359" i="961"/>
  <c r="L359" i="961"/>
  <c r="N376" i="961"/>
  <c r="L376" i="961"/>
  <c r="N391" i="961"/>
  <c r="L391" i="961"/>
  <c r="N400" i="961"/>
  <c r="L400" i="961"/>
  <c r="N424" i="961"/>
  <c r="L424" i="961"/>
  <c r="L434" i="961"/>
  <c r="N434" i="961"/>
  <c r="N450" i="961"/>
  <c r="L450" i="961"/>
  <c r="N462" i="961"/>
  <c r="L462" i="961"/>
  <c r="L470" i="961"/>
  <c r="L484" i="961"/>
  <c r="N484" i="961"/>
  <c r="N570" i="961"/>
  <c r="L570" i="961"/>
  <c r="N583" i="961"/>
  <c r="L583" i="961"/>
  <c r="N603" i="961"/>
  <c r="L603" i="961"/>
  <c r="F137" i="961"/>
  <c r="N614" i="961"/>
  <c r="L614" i="961"/>
  <c r="F139" i="961"/>
  <c r="N633" i="961"/>
  <c r="L633" i="961"/>
  <c r="F142" i="961"/>
  <c r="I731" i="961"/>
  <c r="I737" i="961"/>
  <c r="F156" i="961"/>
  <c r="F159" i="961"/>
  <c r="F169" i="961"/>
  <c r="F208" i="961"/>
  <c r="F212" i="961"/>
  <c r="F225" i="961"/>
  <c r="F237" i="961"/>
  <c r="W2" i="961"/>
  <c r="AE17" i="961"/>
  <c r="B22" i="961"/>
  <c r="B63" i="961"/>
  <c r="B67" i="961"/>
  <c r="I913" i="961"/>
  <c r="I908" i="961"/>
  <c r="I1028" i="961"/>
  <c r="AD75" i="961"/>
  <c r="N319" i="961"/>
  <c r="L319" i="961"/>
  <c r="F320" i="961"/>
  <c r="N329" i="961"/>
  <c r="L329" i="961"/>
  <c r="N340" i="961"/>
  <c r="L340" i="961"/>
  <c r="AF84" i="961"/>
  <c r="I368" i="961" s="1"/>
  <c r="N373" i="961"/>
  <c r="L373" i="961"/>
  <c r="N388" i="961"/>
  <c r="L388" i="961"/>
  <c r="N406" i="961"/>
  <c r="L406" i="961"/>
  <c r="L417" i="961"/>
  <c r="N417" i="961"/>
  <c r="AH90" i="961"/>
  <c r="AF91" i="961"/>
  <c r="I443" i="961" s="1"/>
  <c r="I461" i="961"/>
  <c r="I467" i="961"/>
  <c r="N477" i="961"/>
  <c r="L477" i="961"/>
  <c r="AH96" i="961"/>
  <c r="N499" i="961"/>
  <c r="L499" i="961"/>
  <c r="L529" i="961"/>
  <c r="N529" i="961"/>
  <c r="N120" i="961"/>
  <c r="L554" i="961"/>
  <c r="N554" i="961"/>
  <c r="B216" i="961"/>
  <c r="B208" i="961"/>
  <c r="B200" i="961"/>
  <c r="B192" i="961"/>
  <c r="B186" i="961"/>
  <c r="B180" i="961"/>
  <c r="B169" i="961"/>
  <c r="B161" i="961"/>
  <c r="B156" i="961"/>
  <c r="B152" i="961"/>
  <c r="B215" i="961"/>
  <c r="B207" i="961"/>
  <c r="B199" i="961"/>
  <c r="B191" i="961"/>
  <c r="B179" i="961"/>
  <c r="B175" i="961"/>
  <c r="B168" i="961"/>
  <c r="B163" i="961"/>
  <c r="B214" i="961"/>
  <c r="B206" i="961"/>
  <c r="B198" i="961"/>
  <c r="B190" i="961"/>
  <c r="B183" i="961"/>
  <c r="B178" i="961"/>
  <c r="B172" i="961"/>
  <c r="B167" i="961"/>
  <c r="B160" i="961"/>
  <c r="B151" i="961"/>
  <c r="B213" i="961"/>
  <c r="B205" i="961"/>
  <c r="B197" i="961"/>
  <c r="B189" i="961"/>
  <c r="B185" i="961"/>
  <c r="B177" i="961"/>
  <c r="B171" i="961"/>
  <c r="B166" i="961"/>
  <c r="B159" i="961"/>
  <c r="B147" i="961"/>
  <c r="B145" i="961"/>
  <c r="B212" i="961"/>
  <c r="B204" i="961"/>
  <c r="B196" i="961"/>
  <c r="B188" i="961"/>
  <c r="B174" i="961"/>
  <c r="B162" i="961"/>
  <c r="B158" i="961"/>
  <c r="B154" i="961"/>
  <c r="B150" i="961"/>
  <c r="B140" i="961"/>
  <c r="N137" i="961"/>
  <c r="B137" i="961"/>
  <c r="B211" i="961"/>
  <c r="B203" i="961"/>
  <c r="B195" i="961"/>
  <c r="B187" i="961"/>
  <c r="B165" i="961"/>
  <c r="B157" i="961"/>
  <c r="B210" i="961"/>
  <c r="B202" i="961"/>
  <c r="B194" i="961"/>
  <c r="B184" i="961"/>
  <c r="B182" i="961"/>
  <c r="B176" i="961"/>
  <c r="B164" i="961"/>
  <c r="B153" i="961"/>
  <c r="B149" i="961"/>
  <c r="B209" i="961"/>
  <c r="B201" i="961"/>
  <c r="B193" i="961"/>
  <c r="B181" i="961"/>
  <c r="B173" i="961"/>
  <c r="B170" i="961"/>
  <c r="L139" i="961"/>
  <c r="N631" i="961"/>
  <c r="L142" i="961"/>
  <c r="L663" i="961"/>
  <c r="N663" i="961"/>
  <c r="AF145" i="961"/>
  <c r="I698" i="961" s="1"/>
  <c r="AE149" i="961"/>
  <c r="I706" i="961" s="1"/>
  <c r="F151" i="961"/>
  <c r="AE152" i="961"/>
  <c r="I751" i="961" s="1"/>
  <c r="B155" i="961"/>
  <c r="F176" i="961"/>
  <c r="F184" i="961"/>
  <c r="F200" i="961"/>
  <c r="F204" i="961"/>
  <c r="F295" i="961"/>
  <c r="F285" i="961"/>
  <c r="F291" i="961"/>
  <c r="F280" i="961"/>
  <c r="F279" i="961"/>
  <c r="F272" i="961"/>
  <c r="F264" i="961"/>
  <c r="F256" i="961"/>
  <c r="F248" i="961"/>
  <c r="F287" i="961"/>
  <c r="F271" i="961"/>
  <c r="F263" i="961"/>
  <c r="F255" i="961"/>
  <c r="F247" i="961"/>
  <c r="F239" i="961"/>
  <c r="F288" i="961"/>
  <c r="F283" i="961"/>
  <c r="F281" i="961"/>
  <c r="F270" i="961"/>
  <c r="F262" i="961"/>
  <c r="F254" i="961"/>
  <c r="F246" i="961"/>
  <c r="F276" i="961"/>
  <c r="F268" i="961"/>
  <c r="F260" i="961"/>
  <c r="F252" i="961"/>
  <c r="F244" i="961"/>
  <c r="F250" i="961"/>
  <c r="F234" i="961"/>
  <c r="F230" i="961"/>
  <c r="F158" i="961"/>
  <c r="F154" i="961"/>
  <c r="F150" i="961"/>
  <c r="F284" i="961"/>
  <c r="F235" i="961"/>
  <c r="F211" i="961"/>
  <c r="F203" i="961"/>
  <c r="F195" i="961"/>
  <c r="F187" i="961"/>
  <c r="F165" i="961"/>
  <c r="F266" i="961"/>
  <c r="F232" i="961"/>
  <c r="D137" i="961"/>
  <c r="I83" i="961" s="1"/>
  <c r="F236" i="961"/>
  <c r="F209" i="961"/>
  <c r="F201" i="961"/>
  <c r="F193" i="961"/>
  <c r="F181" i="961"/>
  <c r="F173" i="961"/>
  <c r="F170" i="961"/>
  <c r="F148" i="961"/>
  <c r="F143" i="961"/>
  <c r="F242" i="961"/>
  <c r="I115" i="961"/>
  <c r="F258" i="961"/>
  <c r="F228" i="961"/>
  <c r="F215" i="961"/>
  <c r="F207" i="961"/>
  <c r="F199" i="961"/>
  <c r="F191" i="961"/>
  <c r="F179" i="961"/>
  <c r="F175" i="961"/>
  <c r="F168" i="961"/>
  <c r="F163" i="961"/>
  <c r="F155" i="961"/>
  <c r="F238" i="961"/>
  <c r="F274" i="961"/>
  <c r="F240" i="961"/>
  <c r="F226" i="961"/>
  <c r="F213" i="961"/>
  <c r="F205" i="961"/>
  <c r="F197" i="961"/>
  <c r="F189" i="961"/>
  <c r="F185" i="961"/>
  <c r="F177" i="961"/>
  <c r="F171" i="961"/>
  <c r="U12" i="961"/>
  <c r="H22" i="961"/>
  <c r="I1029" i="961"/>
  <c r="I909" i="961"/>
  <c r="I1048" i="961"/>
  <c r="U79" i="961"/>
  <c r="N312" i="961"/>
  <c r="L312" i="961"/>
  <c r="N320" i="961"/>
  <c r="L320" i="961"/>
  <c r="AF82" i="961"/>
  <c r="I338" i="961" s="1"/>
  <c r="N346" i="961"/>
  <c r="L346" i="961"/>
  <c r="N364" i="961"/>
  <c r="L364" i="961"/>
  <c r="N375" i="961"/>
  <c r="L375" i="961"/>
  <c r="N390" i="961"/>
  <c r="L390" i="961"/>
  <c r="AF92" i="961"/>
  <c r="I458" i="961" s="1"/>
  <c r="N466" i="961"/>
  <c r="L466" i="961"/>
  <c r="I476" i="961"/>
  <c r="I482" i="961"/>
  <c r="N492" i="961"/>
  <c r="L492" i="961"/>
  <c r="N500" i="961"/>
  <c r="L500" i="961"/>
  <c r="L520" i="961"/>
  <c r="N519" i="961"/>
  <c r="N520" i="961"/>
  <c r="N122" i="961"/>
  <c r="N584" i="961"/>
  <c r="L584" i="961"/>
  <c r="N600" i="961"/>
  <c r="L600" i="961"/>
  <c r="AF141" i="961"/>
  <c r="I638" i="961" s="1"/>
  <c r="F145" i="961"/>
  <c r="L149" i="961"/>
  <c r="N735" i="961"/>
  <c r="L735" i="961"/>
  <c r="F161" i="961"/>
  <c r="F164" i="961"/>
  <c r="F174" i="961"/>
  <c r="F180" i="961"/>
  <c r="F192" i="961"/>
  <c r="F196" i="961"/>
  <c r="P13" i="961"/>
  <c r="AE16" i="961"/>
  <c r="J22" i="961"/>
  <c r="B316" i="961"/>
  <c r="N310" i="961"/>
  <c r="B320" i="961"/>
  <c r="L310" i="961"/>
  <c r="B314" i="961"/>
  <c r="B321" i="961"/>
  <c r="B310" i="961"/>
  <c r="B315" i="961"/>
  <c r="B312" i="961"/>
  <c r="B319" i="961"/>
  <c r="B313" i="961"/>
  <c r="F322" i="961"/>
  <c r="N334" i="961"/>
  <c r="L334" i="961"/>
  <c r="L343" i="961"/>
  <c r="N343" i="961"/>
  <c r="N357" i="961"/>
  <c r="L357" i="961"/>
  <c r="AH84" i="961"/>
  <c r="N374" i="961"/>
  <c r="L374" i="961"/>
  <c r="L389" i="961"/>
  <c r="N389" i="961"/>
  <c r="N405" i="961"/>
  <c r="L405" i="961"/>
  <c r="N421" i="961"/>
  <c r="L421" i="961"/>
  <c r="L432" i="961"/>
  <c r="N432" i="961"/>
  <c r="L440" i="961"/>
  <c r="N454" i="961"/>
  <c r="L454" i="961"/>
  <c r="L463" i="961"/>
  <c r="N463" i="961"/>
  <c r="L481" i="961"/>
  <c r="N481" i="961"/>
  <c r="L507" i="961"/>
  <c r="N507" i="961"/>
  <c r="L523" i="961"/>
  <c r="N523" i="961"/>
  <c r="N599" i="961"/>
  <c r="L599" i="961"/>
  <c r="F141" i="961"/>
  <c r="B144" i="961"/>
  <c r="I679" i="961"/>
  <c r="AE144" i="961"/>
  <c r="I676" i="961" s="1"/>
  <c r="B146" i="961"/>
  <c r="L709" i="961"/>
  <c r="N709" i="961"/>
  <c r="I722" i="961"/>
  <c r="I716" i="961"/>
  <c r="N754" i="961"/>
  <c r="L754" i="961"/>
  <c r="F153" i="961"/>
  <c r="N158" i="961"/>
  <c r="L158" i="961"/>
  <c r="F162" i="961"/>
  <c r="L165" i="961"/>
  <c r="F172" i="961"/>
  <c r="F188" i="961"/>
  <c r="F214" i="961"/>
  <c r="A36" i="961"/>
  <c r="N316" i="961"/>
  <c r="L316" i="961"/>
  <c r="AJ81" i="961"/>
  <c r="I322" i="961" s="1"/>
  <c r="N327" i="961"/>
  <c r="L327" i="961"/>
  <c r="AH82" i="961"/>
  <c r="N345" i="961"/>
  <c r="L345" i="961"/>
  <c r="AL83" i="961"/>
  <c r="I351" i="961" s="1"/>
  <c r="N355" i="961"/>
  <c r="L355" i="961"/>
  <c r="L404" i="961"/>
  <c r="N404" i="961"/>
  <c r="N418" i="961"/>
  <c r="L418" i="961"/>
  <c r="N430" i="961"/>
  <c r="L430" i="961"/>
  <c r="L447" i="961"/>
  <c r="N447" i="961"/>
  <c r="AH92" i="961"/>
  <c r="N465" i="961"/>
  <c r="L465" i="961"/>
  <c r="N496" i="961"/>
  <c r="L496" i="961"/>
  <c r="AJ97" i="961"/>
  <c r="I502" i="961" s="1"/>
  <c r="I619" i="961"/>
  <c r="AE137" i="961"/>
  <c r="I616" i="961" s="1"/>
  <c r="B142" i="961"/>
  <c r="N678" i="961"/>
  <c r="L678" i="961"/>
  <c r="N151" i="961"/>
  <c r="L151" i="961"/>
  <c r="F157" i="961"/>
  <c r="F160" i="961"/>
  <c r="F183" i="961"/>
  <c r="F206" i="961"/>
  <c r="F210" i="961"/>
  <c r="F233" i="961"/>
  <c r="F241" i="961"/>
  <c r="AI285" i="961"/>
  <c r="N509" i="961"/>
  <c r="L509" i="961"/>
  <c r="L525" i="961"/>
  <c r="N525" i="961"/>
  <c r="N558" i="961"/>
  <c r="L558" i="961"/>
  <c r="N574" i="961"/>
  <c r="N664" i="961"/>
  <c r="L664" i="961"/>
  <c r="L719" i="961"/>
  <c r="N719" i="961"/>
  <c r="L733" i="961"/>
  <c r="N733" i="961"/>
  <c r="N753" i="961"/>
  <c r="L753" i="961"/>
  <c r="N768" i="961"/>
  <c r="L768" i="961"/>
  <c r="L759" i="961" s="1"/>
  <c r="N759" i="961"/>
  <c r="AI229" i="961"/>
  <c r="AH233" i="961"/>
  <c r="AG234" i="961"/>
  <c r="AG238" i="961"/>
  <c r="F243" i="961"/>
  <c r="F253" i="961"/>
  <c r="AI263" i="961"/>
  <c r="AH264" i="961"/>
  <c r="AD266" i="961"/>
  <c r="L174" i="961"/>
  <c r="AB182" i="961"/>
  <c r="AB184" i="961"/>
  <c r="AD184" i="961" s="1"/>
  <c r="L188" i="961"/>
  <c r="L196" i="961"/>
  <c r="L204" i="961"/>
  <c r="L212" i="961"/>
  <c r="F229" i="961"/>
  <c r="F231" i="961"/>
  <c r="AI233" i="961"/>
  <c r="AG237" i="961"/>
  <c r="AH238" i="961"/>
  <c r="F265" i="961"/>
  <c r="F267" i="961"/>
  <c r="F277" i="961"/>
  <c r="AH297" i="961"/>
  <c r="I491" i="961"/>
  <c r="I497" i="961"/>
  <c r="N514" i="961"/>
  <c r="L514" i="961"/>
  <c r="L555" i="961"/>
  <c r="N555" i="961"/>
  <c r="L568" i="961"/>
  <c r="N568" i="961"/>
  <c r="N588" i="961"/>
  <c r="L588" i="961"/>
  <c r="N604" i="961"/>
  <c r="L604" i="961"/>
  <c r="N649" i="961"/>
  <c r="L649" i="961"/>
  <c r="AE143" i="961"/>
  <c r="I661" i="961" s="1"/>
  <c r="L708" i="961"/>
  <c r="N708" i="961"/>
  <c r="N734" i="961"/>
  <c r="L734" i="961"/>
  <c r="N748" i="961"/>
  <c r="L748" i="961"/>
  <c r="N225" i="961"/>
  <c r="AH237" i="961"/>
  <c r="AG239" i="961"/>
  <c r="AI247" i="961"/>
  <c r="AH248" i="961"/>
  <c r="AG249" i="961"/>
  <c r="AD250" i="961"/>
  <c r="AH282" i="961"/>
  <c r="I701" i="961"/>
  <c r="I707" i="961"/>
  <c r="N724" i="961"/>
  <c r="L724" i="961"/>
  <c r="N750" i="961"/>
  <c r="L750" i="961"/>
  <c r="L160" i="961"/>
  <c r="L167" i="961"/>
  <c r="L172" i="961"/>
  <c r="L178" i="961"/>
  <c r="L183" i="961"/>
  <c r="AI237" i="961"/>
  <c r="AI239" i="961"/>
  <c r="F249" i="961"/>
  <c r="F251" i="961"/>
  <c r="F261" i="961"/>
  <c r="AI271" i="961"/>
  <c r="AH272" i="961"/>
  <c r="AG273" i="961"/>
  <c r="AG286" i="961"/>
  <c r="F294" i="961"/>
  <c r="N403" i="961"/>
  <c r="L403" i="961"/>
  <c r="N415" i="961"/>
  <c r="L415" i="961"/>
  <c r="L439" i="961"/>
  <c r="N439" i="961"/>
  <c r="N449" i="961"/>
  <c r="L449" i="961"/>
  <c r="N469" i="961"/>
  <c r="L469" i="961"/>
  <c r="L479" i="961"/>
  <c r="N479" i="961"/>
  <c r="N493" i="961"/>
  <c r="L493" i="961"/>
  <c r="I512" i="961"/>
  <c r="I506" i="961"/>
  <c r="N569" i="961"/>
  <c r="L569" i="961"/>
  <c r="L585" i="961"/>
  <c r="N585" i="961"/>
  <c r="N598" i="961"/>
  <c r="L598" i="961"/>
  <c r="N618" i="961"/>
  <c r="L618" i="961"/>
  <c r="N634" i="961"/>
  <c r="L634" i="961"/>
  <c r="AE142" i="961"/>
  <c r="I646" i="961" s="1"/>
  <c r="N694" i="961"/>
  <c r="L694" i="961"/>
  <c r="L703" i="961"/>
  <c r="N703" i="961"/>
  <c r="N723" i="961"/>
  <c r="L723" i="961"/>
  <c r="N749" i="961"/>
  <c r="L749" i="961"/>
  <c r="AB185" i="961"/>
  <c r="AD185" i="961" s="1"/>
  <c r="B225" i="961"/>
  <c r="AG228" i="961"/>
  <c r="AG297" i="961"/>
  <c r="AG295" i="961"/>
  <c r="AG292" i="961"/>
  <c r="AG289" i="961"/>
  <c r="AG285" i="961"/>
  <c r="AG277" i="961"/>
  <c r="AG294" i="961"/>
  <c r="AG284" i="961"/>
  <c r="AG296" i="961"/>
  <c r="AG288" i="961"/>
  <c r="AG293" i="961"/>
  <c r="AG281" i="961"/>
  <c r="AG287" i="961"/>
  <c r="AG271" i="961"/>
  <c r="AG263" i="961"/>
  <c r="AG255" i="961"/>
  <c r="AG247" i="961"/>
  <c r="AG280" i="961"/>
  <c r="AG270" i="961"/>
  <c r="AG262" i="961"/>
  <c r="AG254" i="961"/>
  <c r="AG246" i="961"/>
  <c r="AG269" i="961"/>
  <c r="AG261" i="961"/>
  <c r="AG253" i="961"/>
  <c r="AG245" i="961"/>
  <c r="AG283" i="961"/>
  <c r="AG276" i="961"/>
  <c r="AG268" i="961"/>
  <c r="AG260" i="961"/>
  <c r="AG252" i="961"/>
  <c r="AG244" i="961"/>
  <c r="AG232" i="961"/>
  <c r="AG275" i="961"/>
  <c r="AG267" i="961"/>
  <c r="AG259" i="961"/>
  <c r="AG251" i="961"/>
  <c r="AG243" i="961"/>
  <c r="AG290" i="961"/>
  <c r="AG274" i="961"/>
  <c r="AG266" i="961"/>
  <c r="AG258" i="961"/>
  <c r="AG250" i="961"/>
  <c r="AG242" i="961"/>
  <c r="AG291" i="961"/>
  <c r="AG282" i="961"/>
  <c r="AG279" i="961"/>
  <c r="AG278" i="961"/>
  <c r="AG272" i="961"/>
  <c r="AG264" i="961"/>
  <c r="AG256" i="961"/>
  <c r="AG248" i="961"/>
  <c r="AG240" i="961"/>
  <c r="AG230" i="961"/>
  <c r="AG235" i="961"/>
  <c r="F273" i="961"/>
  <c r="F275" i="961"/>
  <c r="AD278" i="961"/>
  <c r="AD285" i="961"/>
  <c r="AD282" i="961"/>
  <c r="AD279" i="961"/>
  <c r="AD272" i="961"/>
  <c r="AD264" i="961"/>
  <c r="AD256" i="961"/>
  <c r="AD248" i="961"/>
  <c r="AD284" i="961"/>
  <c r="AD271" i="961"/>
  <c r="AD263" i="961"/>
  <c r="AD255" i="961"/>
  <c r="AD247" i="961"/>
  <c r="AD239" i="961"/>
  <c r="AD280" i="961"/>
  <c r="AD270" i="961"/>
  <c r="AD262" i="961"/>
  <c r="AD254" i="961"/>
  <c r="AD246" i="961"/>
  <c r="AD281" i="961"/>
  <c r="AD269" i="961"/>
  <c r="AD261" i="961"/>
  <c r="AD253" i="961"/>
  <c r="AD245" i="961"/>
  <c r="AD237" i="961"/>
  <c r="AD235" i="961"/>
  <c r="AD233" i="961"/>
  <c r="AD283" i="961"/>
  <c r="AD277" i="961"/>
  <c r="AD276" i="961"/>
  <c r="AD268" i="961"/>
  <c r="AD260" i="961"/>
  <c r="AD252" i="961"/>
  <c r="AD244" i="961"/>
  <c r="AD275" i="961"/>
  <c r="AD267" i="961"/>
  <c r="AD259" i="961"/>
  <c r="AD251" i="961"/>
  <c r="AD243" i="961"/>
  <c r="AD273" i="961"/>
  <c r="AD265" i="961"/>
  <c r="AD257" i="961"/>
  <c r="AD249" i="961"/>
  <c r="AD241" i="961"/>
  <c r="AD236" i="961"/>
  <c r="AD234" i="961"/>
  <c r="AG231" i="961"/>
  <c r="AI232" i="961"/>
  <c r="AH292" i="961"/>
  <c r="AH289" i="961"/>
  <c r="AH285" i="961"/>
  <c r="AH294" i="961"/>
  <c r="AH284" i="961"/>
  <c r="AH296" i="961"/>
  <c r="AH291" i="961"/>
  <c r="AH286" i="961"/>
  <c r="AH283" i="961"/>
  <c r="AH293" i="961"/>
  <c r="AH290" i="961"/>
  <c r="AH280" i="961"/>
  <c r="AH288" i="961"/>
  <c r="AH270" i="961"/>
  <c r="AH262" i="961"/>
  <c r="AH254" i="961"/>
  <c r="AH246" i="961"/>
  <c r="AH269" i="961"/>
  <c r="AH261" i="961"/>
  <c r="AH253" i="961"/>
  <c r="AH245" i="961"/>
  <c r="AH281" i="961"/>
  <c r="AH276" i="961"/>
  <c r="AH268" i="961"/>
  <c r="AH260" i="961"/>
  <c r="AH252" i="961"/>
  <c r="AH244" i="961"/>
  <c r="AH277" i="961"/>
  <c r="AH275" i="961"/>
  <c r="AH267" i="961"/>
  <c r="AH259" i="961"/>
  <c r="AH251" i="961"/>
  <c r="AH243" i="961"/>
  <c r="AH231" i="961"/>
  <c r="AH274" i="961"/>
  <c r="AH266" i="961"/>
  <c r="AH258" i="961"/>
  <c r="AH250" i="961"/>
  <c r="AH242" i="961"/>
  <c r="AH273" i="961"/>
  <c r="AH265" i="961"/>
  <c r="AH257" i="961"/>
  <c r="AH249" i="961"/>
  <c r="AH241" i="961"/>
  <c r="AH236" i="961"/>
  <c r="AH234" i="961"/>
  <c r="AH295" i="961"/>
  <c r="AH287" i="961"/>
  <c r="AH271" i="961"/>
  <c r="AH263" i="961"/>
  <c r="AH255" i="961"/>
  <c r="AH247" i="961"/>
  <c r="AH239" i="961"/>
  <c r="AH235" i="961"/>
  <c r="AG236" i="961"/>
  <c r="AD240" i="961"/>
  <c r="F245" i="961"/>
  <c r="AI255" i="961"/>
  <c r="AH256" i="961"/>
  <c r="AG257" i="961"/>
  <c r="AD258" i="961"/>
  <c r="F292" i="961"/>
  <c r="N704" i="961"/>
  <c r="L704" i="961"/>
  <c r="N718" i="961"/>
  <c r="L718" i="961"/>
  <c r="N738" i="961"/>
  <c r="L738" i="961"/>
  <c r="AI228" i="961"/>
  <c r="AI231" i="961"/>
  <c r="AI278" i="961"/>
  <c r="AI235" i="961"/>
  <c r="AH240" i="961"/>
  <c r="F257" i="961"/>
  <c r="F259" i="961"/>
  <c r="F269" i="961"/>
  <c r="AH278" i="961"/>
  <c r="AH279" i="961"/>
  <c r="Z233" i="961"/>
  <c r="Z235" i="961"/>
  <c r="Z237" i="961"/>
  <c r="AI238" i="961"/>
  <c r="AB243" i="961"/>
  <c r="Z245" i="961"/>
  <c r="AI246" i="961"/>
  <c r="AB251" i="961"/>
  <c r="Z253" i="961"/>
  <c r="AI254" i="961"/>
  <c r="AB259" i="961"/>
  <c r="Z261" i="961"/>
  <c r="AI262" i="961"/>
  <c r="AB267" i="961"/>
  <c r="Z269" i="961"/>
  <c r="AI270" i="961"/>
  <c r="AB275" i="961"/>
  <c r="F289" i="961"/>
  <c r="Z283" i="961"/>
  <c r="Z282" i="961"/>
  <c r="Z278" i="961"/>
  <c r="AB233" i="961"/>
  <c r="AB235" i="961"/>
  <c r="AB237" i="961"/>
  <c r="Z239" i="961"/>
  <c r="AI240" i="961"/>
  <c r="AB245" i="961"/>
  <c r="Z247" i="961"/>
  <c r="AI248" i="961"/>
  <c r="AB253" i="961"/>
  <c r="Z255" i="961"/>
  <c r="AI256" i="961"/>
  <c r="AB261" i="961"/>
  <c r="Z263" i="961"/>
  <c r="AI264" i="961"/>
  <c r="AB269" i="961"/>
  <c r="Z271" i="961"/>
  <c r="AI272" i="961"/>
  <c r="Z280" i="961"/>
  <c r="AB281" i="961"/>
  <c r="AI294" i="961"/>
  <c r="AI284" i="961"/>
  <c r="AI296" i="961"/>
  <c r="AI291" i="961"/>
  <c r="AI286" i="961"/>
  <c r="AI283" i="961"/>
  <c r="AI288" i="961"/>
  <c r="AI282" i="961"/>
  <c r="AI293" i="961"/>
  <c r="AI290" i="961"/>
  <c r="AI297" i="961"/>
  <c r="AI295" i="961"/>
  <c r="AI287" i="961"/>
  <c r="AI279" i="961"/>
  <c r="AI234" i="961"/>
  <c r="AI236" i="961"/>
  <c r="AB238" i="961"/>
  <c r="Z240" i="961"/>
  <c r="AI241" i="961"/>
  <c r="AB246" i="961"/>
  <c r="Z248" i="961"/>
  <c r="AI249" i="961"/>
  <c r="AB254" i="961"/>
  <c r="Z256" i="961"/>
  <c r="AI257" i="961"/>
  <c r="AB262" i="961"/>
  <c r="Z264" i="961"/>
  <c r="AI265" i="961"/>
  <c r="Z272" i="961"/>
  <c r="AI273" i="961"/>
  <c r="Z279" i="961"/>
  <c r="Z284" i="961"/>
  <c r="F286" i="961"/>
  <c r="AB280" i="961"/>
  <c r="AB284" i="961"/>
  <c r="Z234" i="961"/>
  <c r="Z236" i="961"/>
  <c r="AB239" i="961"/>
  <c r="Z241" i="961"/>
  <c r="AI242" i="961"/>
  <c r="AB247" i="961"/>
  <c r="Z249" i="961"/>
  <c r="AI250" i="961"/>
  <c r="AB255" i="961"/>
  <c r="Z257" i="961"/>
  <c r="AI258" i="961"/>
  <c r="AB263" i="961"/>
  <c r="Z265" i="961"/>
  <c r="AI266" i="961"/>
  <c r="AB271" i="961"/>
  <c r="Z273" i="961"/>
  <c r="AI274" i="961"/>
  <c r="AI289" i="961"/>
  <c r="AI292" i="961"/>
  <c r="Z242" i="961"/>
  <c r="AI243" i="961"/>
  <c r="AB248" i="961"/>
  <c r="Z250" i="961"/>
  <c r="AI251" i="961"/>
  <c r="AB256" i="961"/>
  <c r="Z258" i="961"/>
  <c r="AI259" i="961"/>
  <c r="AB264" i="961"/>
  <c r="Z266" i="961"/>
  <c r="AI267" i="961"/>
  <c r="AB272" i="961"/>
  <c r="Z274" i="961"/>
  <c r="AI275" i="961"/>
  <c r="AI277" i="961"/>
  <c r="AB279" i="961"/>
  <c r="Z285" i="961"/>
  <c r="F293" i="961"/>
  <c r="AB241" i="961"/>
  <c r="Z243" i="961"/>
  <c r="AI244" i="961"/>
  <c r="AB249" i="961"/>
  <c r="Z251" i="961"/>
  <c r="AI252" i="961"/>
  <c r="AB257" i="961"/>
  <c r="Z259" i="961"/>
  <c r="AI260" i="961"/>
  <c r="AB265" i="961"/>
  <c r="Z267" i="961"/>
  <c r="AI268" i="961"/>
  <c r="AB273" i="961"/>
  <c r="Z275" i="961"/>
  <c r="AI276" i="961"/>
  <c r="AB278" i="961"/>
  <c r="AI281" i="961"/>
  <c r="AB282" i="961"/>
  <c r="F290" i="961"/>
  <c r="Z244" i="961"/>
  <c r="AI245" i="961"/>
  <c r="AB250" i="961"/>
  <c r="Z252" i="961"/>
  <c r="AI253" i="961"/>
  <c r="AB258" i="961"/>
  <c r="Z260" i="961"/>
  <c r="AI261" i="961"/>
  <c r="AB266" i="961"/>
  <c r="Z268" i="961"/>
  <c r="AI269" i="961"/>
  <c r="AB274" i="961"/>
  <c r="Z276" i="961"/>
  <c r="Z277" i="961"/>
  <c r="F278" i="961"/>
  <c r="AI280" i="961"/>
  <c r="F282" i="961"/>
  <c r="AB285" i="961"/>
  <c r="N543" i="961"/>
  <c r="L543" i="961"/>
  <c r="N755" i="961"/>
  <c r="L755" i="961"/>
  <c r="N528" i="961"/>
  <c r="L528" i="961"/>
  <c r="L536" i="961"/>
  <c r="N536" i="961"/>
  <c r="N534" i="961"/>
  <c r="N541" i="961"/>
  <c r="L567" i="961"/>
  <c r="L777" i="961"/>
  <c r="L535" i="961"/>
  <c r="L542" i="961"/>
  <c r="L561" i="961"/>
  <c r="N577" i="961"/>
  <c r="L577" i="961"/>
  <c r="N539" i="961"/>
  <c r="L757" i="961"/>
  <c r="N783" i="961"/>
  <c r="L783" i="961"/>
  <c r="G917" i="961"/>
  <c r="F917" i="961"/>
  <c r="L622" i="961"/>
  <c r="L695" i="961"/>
  <c r="N712" i="961"/>
  <c r="L591" i="961"/>
  <c r="L597" i="961"/>
  <c r="L605" i="961"/>
  <c r="L635" i="961"/>
  <c r="L667" i="961"/>
  <c r="L682" i="961"/>
  <c r="N774" i="961"/>
  <c r="L776" i="961"/>
  <c r="N778" i="961"/>
  <c r="L780" i="961"/>
  <c r="N782" i="961"/>
  <c r="L191" i="960"/>
  <c r="L199" i="960"/>
  <c r="L207" i="960"/>
  <c r="N225" i="960"/>
  <c r="L140" i="960"/>
  <c r="L154" i="960"/>
  <c r="L181" i="959"/>
  <c r="L162" i="960"/>
  <c r="C117" i="960"/>
  <c r="L209" i="959"/>
  <c r="L174" i="960"/>
  <c r="L175" i="960"/>
  <c r="L144" i="960"/>
  <c r="L179" i="960"/>
  <c r="AF151" i="960"/>
  <c r="I743" i="960" s="1"/>
  <c r="AF149" i="960"/>
  <c r="I713" i="960" s="1"/>
  <c r="AF150" i="960"/>
  <c r="I728" i="960" s="1"/>
  <c r="AF152" i="960"/>
  <c r="I758" i="960" s="1"/>
  <c r="BA31" i="960"/>
  <c r="N353" i="960"/>
  <c r="L353" i="960"/>
  <c r="AF137" i="960"/>
  <c r="I623" i="960" s="1"/>
  <c r="AF136" i="960"/>
  <c r="I608" i="960" s="1"/>
  <c r="AF135" i="960"/>
  <c r="I593" i="960" s="1"/>
  <c r="N579" i="960" s="1"/>
  <c r="AF134" i="960"/>
  <c r="I578" i="960" s="1"/>
  <c r="AF133" i="960"/>
  <c r="I563" i="960" s="1"/>
  <c r="N549" i="960" s="1"/>
  <c r="AV3" i="960"/>
  <c r="BB3" i="960"/>
  <c r="L824" i="960"/>
  <c r="L804" i="960"/>
  <c r="L965" i="960"/>
  <c r="L856" i="960"/>
  <c r="L1077" i="960"/>
  <c r="L1025" i="960"/>
  <c r="L1145" i="960"/>
  <c r="L1021" i="960"/>
  <c r="L908" i="960"/>
  <c r="L912" i="960"/>
  <c r="P170" i="960"/>
  <c r="W221" i="960"/>
  <c r="H62" i="960"/>
  <c r="H36" i="960"/>
  <c r="H15" i="960"/>
  <c r="B36" i="960"/>
  <c r="H12" i="960"/>
  <c r="W5" i="960"/>
  <c r="A36" i="960"/>
  <c r="V165" i="960"/>
  <c r="J22" i="960"/>
  <c r="U79" i="960"/>
  <c r="H22" i="960"/>
  <c r="K5" i="960"/>
  <c r="K36" i="960"/>
  <c r="U130" i="960"/>
  <c r="B22" i="960"/>
  <c r="W2" i="960"/>
  <c r="V108" i="960"/>
  <c r="J36" i="960"/>
  <c r="A22" i="960"/>
  <c r="AC5" i="960"/>
  <c r="AF97" i="960"/>
  <c r="I503" i="960" s="1"/>
  <c r="AF96" i="960"/>
  <c r="I488" i="960" s="1"/>
  <c r="AF95" i="960"/>
  <c r="I473" i="960" s="1"/>
  <c r="AF98" i="960"/>
  <c r="I518" i="960" s="1"/>
  <c r="AF143" i="960"/>
  <c r="I668" i="960" s="1"/>
  <c r="AF144" i="960"/>
  <c r="I683" i="960" s="1"/>
  <c r="N323" i="960"/>
  <c r="L323" i="960"/>
  <c r="L435" i="960"/>
  <c r="N435" i="960"/>
  <c r="L492" i="960"/>
  <c r="N492" i="960"/>
  <c r="L524" i="960"/>
  <c r="N524" i="960"/>
  <c r="L599" i="960"/>
  <c r="N599" i="960"/>
  <c r="B64" i="960"/>
  <c r="B68" i="960"/>
  <c r="I1060" i="960"/>
  <c r="I1036" i="960"/>
  <c r="I936" i="960"/>
  <c r="I1067" i="960"/>
  <c r="I915" i="960"/>
  <c r="I1065" i="960"/>
  <c r="I938" i="960"/>
  <c r="I1058" i="960"/>
  <c r="I1054" i="960"/>
  <c r="I1050" i="960"/>
  <c r="I931" i="960"/>
  <c r="I937" i="960"/>
  <c r="I1057" i="960"/>
  <c r="I1053" i="960"/>
  <c r="I1049" i="960"/>
  <c r="I935" i="960"/>
  <c r="I1068" i="960"/>
  <c r="I1066" i="960"/>
  <c r="I1056" i="960"/>
  <c r="I1052" i="960"/>
  <c r="I929" i="960"/>
  <c r="I1064" i="960"/>
  <c r="I1055" i="960"/>
  <c r="I1059" i="960"/>
  <c r="I1051" i="960"/>
  <c r="I928" i="960"/>
  <c r="I911" i="960"/>
  <c r="I1031" i="960"/>
  <c r="N314" i="960"/>
  <c r="L314" i="960"/>
  <c r="N328" i="960"/>
  <c r="L328" i="960"/>
  <c r="N349" i="960"/>
  <c r="L349" i="960"/>
  <c r="N360" i="960"/>
  <c r="L360" i="960"/>
  <c r="AL84" i="960"/>
  <c r="I366" i="960" s="1"/>
  <c r="L370" i="960"/>
  <c r="N370" i="960"/>
  <c r="N385" i="960"/>
  <c r="L385" i="960"/>
  <c r="N409" i="960"/>
  <c r="L409" i="960"/>
  <c r="N419" i="960"/>
  <c r="L419" i="960"/>
  <c r="N433" i="960"/>
  <c r="L433" i="960"/>
  <c r="N445" i="960"/>
  <c r="L445" i="960"/>
  <c r="N463" i="960"/>
  <c r="L463" i="960"/>
  <c r="I482" i="960"/>
  <c r="I476" i="960"/>
  <c r="N499" i="960"/>
  <c r="L499" i="960"/>
  <c r="L509" i="960"/>
  <c r="N509" i="960"/>
  <c r="L525" i="960"/>
  <c r="N525" i="960"/>
  <c r="I115" i="960"/>
  <c r="N125" i="960"/>
  <c r="AE134" i="960"/>
  <c r="I571" i="960" s="1"/>
  <c r="N584" i="960"/>
  <c r="L584" i="960"/>
  <c r="N600" i="960"/>
  <c r="L600" i="960"/>
  <c r="E137" i="960"/>
  <c r="I103" i="960" s="1"/>
  <c r="N613" i="960"/>
  <c r="L613" i="960"/>
  <c r="F168" i="960"/>
  <c r="F195" i="960"/>
  <c r="F196" i="960"/>
  <c r="F231" i="960"/>
  <c r="AH245" i="960"/>
  <c r="AH246" i="960"/>
  <c r="F271" i="960"/>
  <c r="N329" i="960"/>
  <c r="N376" i="960"/>
  <c r="L376" i="960"/>
  <c r="N718" i="960"/>
  <c r="L718" i="960"/>
  <c r="N342" i="960"/>
  <c r="L342" i="960"/>
  <c r="L481" i="960"/>
  <c r="N481" i="960"/>
  <c r="L586" i="960"/>
  <c r="N586" i="960"/>
  <c r="N615" i="960"/>
  <c r="L615" i="960"/>
  <c r="N734" i="960"/>
  <c r="L734" i="960"/>
  <c r="B158" i="960"/>
  <c r="B216" i="960"/>
  <c r="AE17" i="960"/>
  <c r="B63" i="960"/>
  <c r="B67" i="960"/>
  <c r="I913" i="960"/>
  <c r="I1034" i="960"/>
  <c r="I908" i="960"/>
  <c r="I1028" i="960"/>
  <c r="N319" i="960"/>
  <c r="L319" i="960"/>
  <c r="F320" i="960"/>
  <c r="N340" i="960"/>
  <c r="L340" i="960"/>
  <c r="AF84" i="960"/>
  <c r="I368" i="960" s="1"/>
  <c r="N373" i="960"/>
  <c r="L373" i="960"/>
  <c r="N388" i="960"/>
  <c r="L388" i="960"/>
  <c r="N400" i="960"/>
  <c r="L400" i="960"/>
  <c r="N424" i="960"/>
  <c r="L424" i="960"/>
  <c r="L434" i="960"/>
  <c r="N434" i="960"/>
  <c r="L448" i="960"/>
  <c r="N448" i="960"/>
  <c r="N464" i="960"/>
  <c r="L464" i="960"/>
  <c r="N478" i="960"/>
  <c r="L478" i="960"/>
  <c r="I497" i="960"/>
  <c r="I491" i="960"/>
  <c r="N514" i="960"/>
  <c r="L514" i="960"/>
  <c r="N126" i="960"/>
  <c r="N559" i="960"/>
  <c r="L559" i="960"/>
  <c r="B214" i="960"/>
  <c r="B206" i="960"/>
  <c r="B198" i="960"/>
  <c r="B190" i="960"/>
  <c r="B183" i="960"/>
  <c r="B178" i="960"/>
  <c r="B172" i="960"/>
  <c r="B167" i="960"/>
  <c r="B160" i="960"/>
  <c r="B151" i="960"/>
  <c r="B213" i="960"/>
  <c r="B205" i="960"/>
  <c r="B197" i="960"/>
  <c r="B189" i="960"/>
  <c r="B185" i="960"/>
  <c r="B177" i="960"/>
  <c r="B171" i="960"/>
  <c r="B166" i="960"/>
  <c r="B159" i="960"/>
  <c r="B147" i="960"/>
  <c r="B145" i="960"/>
  <c r="B141" i="960"/>
  <c r="B138" i="960"/>
  <c r="B212" i="960"/>
  <c r="B204" i="960"/>
  <c r="B196" i="960"/>
  <c r="B188" i="960"/>
  <c r="B174" i="960"/>
  <c r="B211" i="960"/>
  <c r="B203" i="960"/>
  <c r="B195" i="960"/>
  <c r="B187" i="960"/>
  <c r="B165" i="960"/>
  <c r="B157" i="960"/>
  <c r="B146" i="960"/>
  <c r="B142" i="960"/>
  <c r="B210" i="960"/>
  <c r="B202" i="960"/>
  <c r="B194" i="960"/>
  <c r="B184" i="960"/>
  <c r="B182" i="960"/>
  <c r="B176" i="960"/>
  <c r="B164" i="960"/>
  <c r="B153" i="960"/>
  <c r="B149" i="960"/>
  <c r="B209" i="960"/>
  <c r="B201" i="960"/>
  <c r="B193" i="960"/>
  <c r="B181" i="960"/>
  <c r="B173" i="960"/>
  <c r="B170" i="960"/>
  <c r="B148" i="960"/>
  <c r="B215" i="960"/>
  <c r="B207" i="960"/>
  <c r="B199" i="960"/>
  <c r="B191" i="960"/>
  <c r="B179" i="960"/>
  <c r="B175" i="960"/>
  <c r="B168" i="960"/>
  <c r="B163" i="960"/>
  <c r="B155" i="960"/>
  <c r="N614" i="960"/>
  <c r="L614" i="960"/>
  <c r="B140" i="960"/>
  <c r="F143" i="960"/>
  <c r="F145" i="960"/>
  <c r="AF145" i="960"/>
  <c r="I698" i="960" s="1"/>
  <c r="F148" i="960"/>
  <c r="F150" i="960"/>
  <c r="B154" i="960"/>
  <c r="F164" i="960"/>
  <c r="N165" i="960"/>
  <c r="L165" i="960"/>
  <c r="F203" i="960"/>
  <c r="F228" i="960"/>
  <c r="F230" i="960"/>
  <c r="AG269" i="960"/>
  <c r="L402" i="960"/>
  <c r="N402" i="960"/>
  <c r="L500" i="960"/>
  <c r="N500" i="960"/>
  <c r="N691" i="960"/>
  <c r="L691" i="960"/>
  <c r="N187" i="960"/>
  <c r="L187" i="960"/>
  <c r="AH231" i="960"/>
  <c r="AH232" i="960"/>
  <c r="AH228" i="960"/>
  <c r="F291" i="960"/>
  <c r="F287" i="960"/>
  <c r="F284" i="960"/>
  <c r="F276" i="960"/>
  <c r="F268" i="960"/>
  <c r="F260" i="960"/>
  <c r="F290" i="960"/>
  <c r="F283" i="960"/>
  <c r="F275" i="960"/>
  <c r="F267" i="960"/>
  <c r="F282" i="960"/>
  <c r="F274" i="960"/>
  <c r="F266" i="960"/>
  <c r="F258" i="960"/>
  <c r="F288" i="960"/>
  <c r="F280" i="960"/>
  <c r="F272" i="960"/>
  <c r="F264" i="960"/>
  <c r="F256" i="960"/>
  <c r="F292" i="960"/>
  <c r="F285" i="960"/>
  <c r="F295" i="960"/>
  <c r="F278" i="960"/>
  <c r="F250" i="960"/>
  <c r="F247" i="960"/>
  <c r="F246" i="960"/>
  <c r="F233" i="960"/>
  <c r="F229" i="960"/>
  <c r="F210" i="960"/>
  <c r="F202" i="960"/>
  <c r="F194" i="960"/>
  <c r="F184" i="960"/>
  <c r="F182" i="960"/>
  <c r="F176" i="960"/>
  <c r="F153" i="960"/>
  <c r="F149" i="960"/>
  <c r="F232" i="960"/>
  <c r="F209" i="960"/>
  <c r="F201" i="960"/>
  <c r="F193" i="960"/>
  <c r="F181" i="960"/>
  <c r="F173" i="960"/>
  <c r="F170" i="960"/>
  <c r="F251" i="960"/>
  <c r="F248" i="960"/>
  <c r="F243" i="960"/>
  <c r="F216" i="960"/>
  <c r="F208" i="960"/>
  <c r="F200" i="960"/>
  <c r="F192" i="960"/>
  <c r="F186" i="960"/>
  <c r="F180" i="960"/>
  <c r="F270" i="960"/>
  <c r="F244" i="960"/>
  <c r="F294" i="960"/>
  <c r="F286" i="960"/>
  <c r="F240" i="960"/>
  <c r="F213" i="960"/>
  <c r="F205" i="960"/>
  <c r="F197" i="960"/>
  <c r="F189" i="960"/>
  <c r="F185" i="960"/>
  <c r="F177" i="960"/>
  <c r="F171" i="960"/>
  <c r="F166" i="960"/>
  <c r="F159" i="960"/>
  <c r="F147" i="960"/>
  <c r="F259" i="960"/>
  <c r="F252" i="960"/>
  <c r="F238" i="960"/>
  <c r="F236" i="960"/>
  <c r="F234" i="960"/>
  <c r="F211" i="960"/>
  <c r="U12" i="960"/>
  <c r="I1029" i="960"/>
  <c r="I1048" i="960"/>
  <c r="I909" i="960"/>
  <c r="AF75" i="960"/>
  <c r="L312" i="960"/>
  <c r="N312" i="960"/>
  <c r="AH81" i="960"/>
  <c r="AF82" i="960"/>
  <c r="I338" i="960" s="1"/>
  <c r="L346" i="960"/>
  <c r="N346" i="960"/>
  <c r="L364" i="960"/>
  <c r="N364" i="960"/>
  <c r="L375" i="960"/>
  <c r="N375" i="960"/>
  <c r="AL85" i="960"/>
  <c r="I381" i="960" s="1"/>
  <c r="N390" i="960"/>
  <c r="L390" i="960"/>
  <c r="N406" i="960"/>
  <c r="L406" i="960"/>
  <c r="L417" i="960"/>
  <c r="N417" i="960"/>
  <c r="AH90" i="960"/>
  <c r="AF91" i="960"/>
  <c r="I443" i="960" s="1"/>
  <c r="N450" i="960"/>
  <c r="L450" i="960"/>
  <c r="L480" i="960"/>
  <c r="N480" i="960"/>
  <c r="L496" i="960"/>
  <c r="N496" i="960"/>
  <c r="AJ97" i="960"/>
  <c r="I502" i="960" s="1"/>
  <c r="N507" i="960"/>
  <c r="L507" i="960"/>
  <c r="AH98" i="960"/>
  <c r="N120" i="960"/>
  <c r="N127" i="960"/>
  <c r="L558" i="960"/>
  <c r="N558" i="960"/>
  <c r="L574" i="960"/>
  <c r="N574" i="960"/>
  <c r="N633" i="960"/>
  <c r="L633" i="960"/>
  <c r="N142" i="960"/>
  <c r="L142" i="960"/>
  <c r="N144" i="960"/>
  <c r="N704" i="960"/>
  <c r="L704" i="960"/>
  <c r="B152" i="960"/>
  <c r="F163" i="960"/>
  <c r="F167" i="960"/>
  <c r="L168" i="960"/>
  <c r="N168" i="960"/>
  <c r="AB185" i="960"/>
  <c r="AD185" i="960" s="1"/>
  <c r="N195" i="960"/>
  <c r="L195" i="960"/>
  <c r="F198" i="960"/>
  <c r="F207" i="960"/>
  <c r="F226" i="960"/>
  <c r="AH290" i="960"/>
  <c r="F239" i="960"/>
  <c r="AH257" i="960"/>
  <c r="N336" i="960"/>
  <c r="N391" i="960"/>
  <c r="L391" i="960"/>
  <c r="N451" i="960"/>
  <c r="L451" i="960"/>
  <c r="B162" i="960"/>
  <c r="B66" i="960"/>
  <c r="B314" i="960"/>
  <c r="B310" i="960"/>
  <c r="B315" i="960"/>
  <c r="B312" i="960"/>
  <c r="L310" i="960"/>
  <c r="B316" i="960"/>
  <c r="B313" i="960"/>
  <c r="B319" i="960"/>
  <c r="N310" i="960"/>
  <c r="F322" i="960"/>
  <c r="N334" i="960"/>
  <c r="L334" i="960"/>
  <c r="N343" i="960"/>
  <c r="L343" i="960"/>
  <c r="N357" i="960"/>
  <c r="L357" i="960"/>
  <c r="N365" i="960"/>
  <c r="L365" i="960"/>
  <c r="N374" i="960"/>
  <c r="L374" i="960"/>
  <c r="N389" i="960"/>
  <c r="L389" i="960"/>
  <c r="N403" i="960"/>
  <c r="L403" i="960"/>
  <c r="N415" i="960"/>
  <c r="L415" i="960"/>
  <c r="N439" i="960"/>
  <c r="L439" i="960"/>
  <c r="L449" i="960"/>
  <c r="N449" i="960"/>
  <c r="L469" i="960"/>
  <c r="N469" i="960"/>
  <c r="L479" i="960"/>
  <c r="N479" i="960"/>
  <c r="N493" i="960"/>
  <c r="L493" i="960"/>
  <c r="I512" i="960"/>
  <c r="I506" i="960"/>
  <c r="N553" i="960"/>
  <c r="L553" i="960"/>
  <c r="N573" i="960"/>
  <c r="L573" i="960"/>
  <c r="L589" i="960"/>
  <c r="N589" i="960"/>
  <c r="I679" i="960"/>
  <c r="AE144" i="960"/>
  <c r="I676" i="960" s="1"/>
  <c r="F146" i="960"/>
  <c r="F155" i="960"/>
  <c r="F157" i="960"/>
  <c r="F178" i="960"/>
  <c r="B186" i="960"/>
  <c r="B192" i="960"/>
  <c r="F212" i="960"/>
  <c r="F215" i="960"/>
  <c r="AG232" i="960"/>
  <c r="AG228" i="960"/>
  <c r="AG231" i="960"/>
  <c r="AG229" i="960"/>
  <c r="AG235" i="960"/>
  <c r="AG233" i="960"/>
  <c r="AH249" i="960"/>
  <c r="F269" i="960"/>
  <c r="I914" i="960"/>
  <c r="I939" i="960"/>
  <c r="I930" i="960"/>
  <c r="I933" i="960"/>
  <c r="I932" i="960"/>
  <c r="N359" i="960"/>
  <c r="L359" i="960"/>
  <c r="N316" i="960"/>
  <c r="L316" i="960"/>
  <c r="N327" i="960"/>
  <c r="L327" i="960"/>
  <c r="AH82" i="960"/>
  <c r="N345" i="960"/>
  <c r="L345" i="960"/>
  <c r="AL83" i="960"/>
  <c r="I351" i="960" s="1"/>
  <c r="N355" i="960"/>
  <c r="L355" i="960"/>
  <c r="AF85" i="960"/>
  <c r="I383" i="960" s="1"/>
  <c r="AF88" i="960"/>
  <c r="I398" i="960" s="1"/>
  <c r="L405" i="960"/>
  <c r="N405" i="960"/>
  <c r="N421" i="960"/>
  <c r="L421" i="960"/>
  <c r="N432" i="960"/>
  <c r="L432" i="960"/>
  <c r="AH91" i="960"/>
  <c r="AF92" i="960"/>
  <c r="I458" i="960" s="1"/>
  <c r="N462" i="960"/>
  <c r="L462" i="960"/>
  <c r="AH95" i="960"/>
  <c r="L495" i="960"/>
  <c r="N495" i="960"/>
  <c r="N511" i="960"/>
  <c r="L511" i="960"/>
  <c r="L529" i="960"/>
  <c r="N529" i="960"/>
  <c r="N555" i="960"/>
  <c r="L555" i="960"/>
  <c r="N568" i="960"/>
  <c r="L568" i="960"/>
  <c r="L588" i="960"/>
  <c r="N588" i="960"/>
  <c r="L604" i="960"/>
  <c r="N604" i="960"/>
  <c r="B137" i="960"/>
  <c r="N137" i="960"/>
  <c r="F141" i="960"/>
  <c r="AF141" i="960"/>
  <c r="I638" i="960" s="1"/>
  <c r="I649" i="960"/>
  <c r="AE142" i="960"/>
  <c r="I646" i="960" s="1"/>
  <c r="B144" i="960"/>
  <c r="N678" i="960"/>
  <c r="L678" i="960"/>
  <c r="N738" i="960"/>
  <c r="L738" i="960"/>
  <c r="F156" i="960"/>
  <c r="F158" i="960"/>
  <c r="B161" i="960"/>
  <c r="F162" i="960"/>
  <c r="B169" i="960"/>
  <c r="N203" i="960"/>
  <c r="L203" i="960"/>
  <c r="F206" i="960"/>
  <c r="AH233" i="960"/>
  <c r="AI230" i="960"/>
  <c r="AI231" i="960"/>
  <c r="F242" i="960"/>
  <c r="F281" i="960"/>
  <c r="L330" i="960"/>
  <c r="N330" i="960"/>
  <c r="I918" i="960"/>
  <c r="I1038" i="960"/>
  <c r="I1041" i="960"/>
  <c r="I921" i="960"/>
  <c r="L63" i="960"/>
  <c r="B65" i="960"/>
  <c r="L67" i="960"/>
  <c r="B69" i="960"/>
  <c r="I1030" i="960"/>
  <c r="I910" i="960"/>
  <c r="L313" i="960"/>
  <c r="N313" i="960"/>
  <c r="N325" i="960"/>
  <c r="L325" i="960"/>
  <c r="N344" i="960"/>
  <c r="L344" i="960"/>
  <c r="N361" i="960"/>
  <c r="L361" i="960"/>
  <c r="AJ84" i="960"/>
  <c r="I367" i="960" s="1"/>
  <c r="N379" i="960"/>
  <c r="L379" i="960"/>
  <c r="I1323" i="960"/>
  <c r="I1321" i="960"/>
  <c r="I1320" i="960"/>
  <c r="N394" i="960"/>
  <c r="L394" i="960"/>
  <c r="N404" i="960"/>
  <c r="L404" i="960"/>
  <c r="N418" i="960"/>
  <c r="L418" i="960"/>
  <c r="N430" i="960"/>
  <c r="L430" i="960"/>
  <c r="N454" i="960"/>
  <c r="L454" i="960"/>
  <c r="I461" i="960"/>
  <c r="I467" i="960"/>
  <c r="N484" i="960"/>
  <c r="L484" i="960"/>
  <c r="N494" i="960"/>
  <c r="L494" i="960"/>
  <c r="N508" i="960"/>
  <c r="L508" i="960"/>
  <c r="L520" i="960"/>
  <c r="N519" i="960"/>
  <c r="N520" i="960"/>
  <c r="B139" i="960"/>
  <c r="F140" i="960"/>
  <c r="F144" i="960"/>
  <c r="B150" i="960"/>
  <c r="F154" i="960"/>
  <c r="L163" i="960"/>
  <c r="N163" i="960"/>
  <c r="F172" i="960"/>
  <c r="B180" i="960"/>
  <c r="F187" i="960"/>
  <c r="F188" i="960"/>
  <c r="B200" i="960"/>
  <c r="F214" i="960"/>
  <c r="F225" i="960"/>
  <c r="AH236" i="960"/>
  <c r="F237" i="960"/>
  <c r="F241" i="960"/>
  <c r="L465" i="960"/>
  <c r="N465" i="960"/>
  <c r="L315" i="960"/>
  <c r="N315" i="960"/>
  <c r="N331" i="960"/>
  <c r="L331" i="960"/>
  <c r="L358" i="960"/>
  <c r="N358" i="960"/>
  <c r="L372" i="960"/>
  <c r="N372" i="960"/>
  <c r="N387" i="960"/>
  <c r="L387" i="960"/>
  <c r="L420" i="960"/>
  <c r="N420" i="960"/>
  <c r="N436" i="960"/>
  <c r="L436" i="960"/>
  <c r="N447" i="960"/>
  <c r="L447" i="960"/>
  <c r="L466" i="960"/>
  <c r="N466" i="960"/>
  <c r="L477" i="960"/>
  <c r="N477" i="960"/>
  <c r="L510" i="960"/>
  <c r="N510" i="960"/>
  <c r="N523" i="960"/>
  <c r="L523" i="960"/>
  <c r="L556" i="960"/>
  <c r="N556" i="960"/>
  <c r="L569" i="960"/>
  <c r="N569" i="960"/>
  <c r="N585" i="960"/>
  <c r="L585" i="960"/>
  <c r="N598" i="960"/>
  <c r="L598" i="960"/>
  <c r="D137" i="960"/>
  <c r="I83" i="960" s="1"/>
  <c r="L618" i="960"/>
  <c r="N618" i="960"/>
  <c r="F139" i="960"/>
  <c r="AF142" i="960"/>
  <c r="I653" i="960" s="1"/>
  <c r="N146" i="960"/>
  <c r="L146" i="960"/>
  <c r="L708" i="960"/>
  <c r="N708" i="960"/>
  <c r="F151" i="960"/>
  <c r="F152" i="960"/>
  <c r="N748" i="960"/>
  <c r="L748" i="960"/>
  <c r="L155" i="960"/>
  <c r="N155" i="960"/>
  <c r="N157" i="960"/>
  <c r="L157" i="960"/>
  <c r="F160" i="960"/>
  <c r="F165" i="960"/>
  <c r="F175" i="960"/>
  <c r="F191" i="960"/>
  <c r="N211" i="960"/>
  <c r="L211" i="960"/>
  <c r="AD284" i="960"/>
  <c r="AD276" i="960"/>
  <c r="AD268" i="960"/>
  <c r="AD260" i="960"/>
  <c r="AD283" i="960"/>
  <c r="AD275" i="960"/>
  <c r="AD267" i="960"/>
  <c r="AD282" i="960"/>
  <c r="AD274" i="960"/>
  <c r="AD266" i="960"/>
  <c r="AD258" i="960"/>
  <c r="AD281" i="960"/>
  <c r="AD273" i="960"/>
  <c r="AD265" i="960"/>
  <c r="AD257" i="960"/>
  <c r="AD249" i="960"/>
  <c r="AD280" i="960"/>
  <c r="AD272" i="960"/>
  <c r="AD264" i="960"/>
  <c r="AD256" i="960"/>
  <c r="AD279" i="960"/>
  <c r="AD271" i="960"/>
  <c r="AD263" i="960"/>
  <c r="AD255" i="960"/>
  <c r="AD285" i="960"/>
  <c r="AD277" i="960"/>
  <c r="AD269" i="960"/>
  <c r="AD261" i="960"/>
  <c r="AD253" i="960"/>
  <c r="AD245" i="960"/>
  <c r="AD246" i="960"/>
  <c r="AD237" i="960"/>
  <c r="AD235" i="960"/>
  <c r="AD233" i="960"/>
  <c r="AD252" i="960"/>
  <c r="AD250" i="960"/>
  <c r="AD262" i="960"/>
  <c r="AD247" i="960"/>
  <c r="AD259" i="960"/>
  <c r="AD248" i="960"/>
  <c r="AD243" i="960"/>
  <c r="AD242" i="960"/>
  <c r="AD278" i="960"/>
  <c r="AD244" i="960"/>
  <c r="AD241" i="960"/>
  <c r="AD236" i="960"/>
  <c r="AD234" i="960"/>
  <c r="AD254" i="960"/>
  <c r="AD251" i="960"/>
  <c r="AD240" i="960"/>
  <c r="AD270" i="960"/>
  <c r="AD238" i="960"/>
  <c r="AH237" i="960"/>
  <c r="AG238" i="960"/>
  <c r="AD239" i="960"/>
  <c r="N693" i="960"/>
  <c r="L693" i="960"/>
  <c r="L705" i="960"/>
  <c r="N705" i="960"/>
  <c r="I722" i="960"/>
  <c r="I716" i="960"/>
  <c r="L739" i="960"/>
  <c r="N739" i="960"/>
  <c r="AE152" i="960"/>
  <c r="I751" i="960" s="1"/>
  <c r="N175" i="960"/>
  <c r="N179" i="960"/>
  <c r="AB183" i="960"/>
  <c r="N191" i="960"/>
  <c r="N199" i="960"/>
  <c r="N207" i="960"/>
  <c r="N215" i="960"/>
  <c r="AG237" i="960"/>
  <c r="AB240" i="960"/>
  <c r="Z242" i="960"/>
  <c r="AG245" i="960"/>
  <c r="AG246" i="960"/>
  <c r="Z248" i="960"/>
  <c r="F249" i="960"/>
  <c r="AG249" i="960"/>
  <c r="AH250" i="960"/>
  <c r="F253" i="960"/>
  <c r="AG253" i="960"/>
  <c r="F257" i="960"/>
  <c r="AG257" i="960"/>
  <c r="Z258" i="960"/>
  <c r="AI267" i="960"/>
  <c r="AH268" i="960"/>
  <c r="AH297" i="960"/>
  <c r="N720" i="960"/>
  <c r="L720" i="960"/>
  <c r="I731" i="960"/>
  <c r="I737" i="960"/>
  <c r="N754" i="960"/>
  <c r="L754" i="960"/>
  <c r="L182" i="960"/>
  <c r="L202" i="960"/>
  <c r="L210" i="960"/>
  <c r="AG296" i="960"/>
  <c r="AG292" i="960"/>
  <c r="AG289" i="960"/>
  <c r="AG286" i="960"/>
  <c r="AG283" i="960"/>
  <c r="AG275" i="960"/>
  <c r="AG267" i="960"/>
  <c r="AG259" i="960"/>
  <c r="AG288" i="960"/>
  <c r="AG282" i="960"/>
  <c r="AG274" i="960"/>
  <c r="AG266" i="960"/>
  <c r="AG281" i="960"/>
  <c r="AG273" i="960"/>
  <c r="AG265" i="960"/>
  <c r="AG280" i="960"/>
  <c r="AG272" i="960"/>
  <c r="AG264" i="960"/>
  <c r="AG256" i="960"/>
  <c r="AG248" i="960"/>
  <c r="AG295" i="960"/>
  <c r="AG293" i="960"/>
  <c r="AG287" i="960"/>
  <c r="AG279" i="960"/>
  <c r="AG271" i="960"/>
  <c r="AG263" i="960"/>
  <c r="AG255" i="960"/>
  <c r="AG294" i="960"/>
  <c r="AG278" i="960"/>
  <c r="AG270" i="960"/>
  <c r="AG262" i="960"/>
  <c r="AG254" i="960"/>
  <c r="AG297" i="960"/>
  <c r="AG290" i="960"/>
  <c r="AG284" i="960"/>
  <c r="AG276" i="960"/>
  <c r="AG268" i="960"/>
  <c r="AG260" i="960"/>
  <c r="AG252" i="960"/>
  <c r="AG244" i="960"/>
  <c r="AI233" i="960"/>
  <c r="AI235" i="960"/>
  <c r="AI237" i="960"/>
  <c r="AH238" i="960"/>
  <c r="AG239" i="960"/>
  <c r="AB242" i="960"/>
  <c r="AI245" i="960"/>
  <c r="Z247" i="960"/>
  <c r="AB248" i="960"/>
  <c r="AI249" i="960"/>
  <c r="L664" i="960"/>
  <c r="N664" i="960"/>
  <c r="L719" i="960"/>
  <c r="N719" i="960"/>
  <c r="L733" i="960"/>
  <c r="N733" i="960"/>
  <c r="N753" i="960"/>
  <c r="L753" i="960"/>
  <c r="N759" i="960"/>
  <c r="L768" i="960"/>
  <c r="L759" i="960" s="1"/>
  <c r="N768" i="960"/>
  <c r="AH229" i="960"/>
  <c r="AG230" i="960"/>
  <c r="Z233" i="960"/>
  <c r="Z235" i="960"/>
  <c r="Z237" i="960"/>
  <c r="AI238" i="960"/>
  <c r="AH239" i="960"/>
  <c r="AG240" i="960"/>
  <c r="Z246" i="960"/>
  <c r="Z250" i="960"/>
  <c r="AG251" i="960"/>
  <c r="AG258" i="960"/>
  <c r="F265" i="960"/>
  <c r="AI275" i="960"/>
  <c r="AH276" i="960"/>
  <c r="AG277" i="960"/>
  <c r="AI286" i="960"/>
  <c r="N663" i="960"/>
  <c r="L663" i="960"/>
  <c r="L709" i="960"/>
  <c r="N709" i="960"/>
  <c r="L735" i="960"/>
  <c r="N735" i="960"/>
  <c r="I752" i="960"/>
  <c r="I746" i="960"/>
  <c r="AB182" i="960"/>
  <c r="AB184" i="960"/>
  <c r="AD184" i="960" s="1"/>
  <c r="L212" i="960"/>
  <c r="AI229" i="960"/>
  <c r="AH230" i="960"/>
  <c r="AH293" i="960"/>
  <c r="AH289" i="960"/>
  <c r="AH288" i="960"/>
  <c r="AH282" i="960"/>
  <c r="AH274" i="960"/>
  <c r="AH266" i="960"/>
  <c r="AH258" i="960"/>
  <c r="AH296" i="960"/>
  <c r="AH281" i="960"/>
  <c r="AH273" i="960"/>
  <c r="AH265" i="960"/>
  <c r="AH280" i="960"/>
  <c r="AH272" i="960"/>
  <c r="AH264" i="960"/>
  <c r="AH295" i="960"/>
  <c r="AH287" i="960"/>
  <c r="AH279" i="960"/>
  <c r="AH271" i="960"/>
  <c r="AH263" i="960"/>
  <c r="AH255" i="960"/>
  <c r="AH247" i="960"/>
  <c r="AH294" i="960"/>
  <c r="AH292" i="960"/>
  <c r="AH278" i="960"/>
  <c r="AH270" i="960"/>
  <c r="AH262" i="960"/>
  <c r="AH254" i="960"/>
  <c r="AH291" i="960"/>
  <c r="AH285" i="960"/>
  <c r="AH277" i="960"/>
  <c r="AH269" i="960"/>
  <c r="AH261" i="960"/>
  <c r="AH253" i="960"/>
  <c r="AH286" i="960"/>
  <c r="AH283" i="960"/>
  <c r="AH275" i="960"/>
  <c r="AH267" i="960"/>
  <c r="AH259" i="960"/>
  <c r="AH251" i="960"/>
  <c r="AH243" i="960"/>
  <c r="AG234" i="960"/>
  <c r="AG236" i="960"/>
  <c r="Z238" i="960"/>
  <c r="AI239" i="960"/>
  <c r="AH240" i="960"/>
  <c r="AG241" i="960"/>
  <c r="AH244" i="960"/>
  <c r="AI251" i="960"/>
  <c r="AB252" i="960"/>
  <c r="AI255" i="960"/>
  <c r="AB256" i="960"/>
  <c r="AB272" i="960"/>
  <c r="F277" i="960"/>
  <c r="F279" i="960"/>
  <c r="Z280" i="960"/>
  <c r="Z272" i="960"/>
  <c r="Z264" i="960"/>
  <c r="Z256" i="960"/>
  <c r="Z279" i="960"/>
  <c r="Z271" i="960"/>
  <c r="Z263" i="960"/>
  <c r="Z278" i="960"/>
  <c r="Z270" i="960"/>
  <c r="Z262" i="960"/>
  <c r="Z285" i="960"/>
  <c r="Z277" i="960"/>
  <c r="Z269" i="960"/>
  <c r="Z261" i="960"/>
  <c r="Z253" i="960"/>
  <c r="Z245" i="960"/>
  <c r="Z284" i="960"/>
  <c r="Z276" i="960"/>
  <c r="Z268" i="960"/>
  <c r="Z260" i="960"/>
  <c r="Z252" i="960"/>
  <c r="Z283" i="960"/>
  <c r="Z275" i="960"/>
  <c r="Z267" i="960"/>
  <c r="Z259" i="960"/>
  <c r="Z251" i="960"/>
  <c r="Z281" i="960"/>
  <c r="Z273" i="960"/>
  <c r="Z265" i="960"/>
  <c r="Z257" i="960"/>
  <c r="Z249" i="960"/>
  <c r="AB233" i="960"/>
  <c r="AH234" i="960"/>
  <c r="AB235" i="960"/>
  <c r="AB237" i="960"/>
  <c r="Z239" i="960"/>
  <c r="AI240" i="960"/>
  <c r="AH241" i="960"/>
  <c r="AG242" i="960"/>
  <c r="AG243" i="960"/>
  <c r="AI244" i="960"/>
  <c r="AB246" i="960"/>
  <c r="AH248" i="960"/>
  <c r="F255" i="960"/>
  <c r="AH260" i="960"/>
  <c r="AG261" i="960"/>
  <c r="N554" i="960"/>
  <c r="L554" i="960"/>
  <c r="N570" i="960"/>
  <c r="L570" i="960"/>
  <c r="L583" i="960"/>
  <c r="N583" i="960"/>
  <c r="L603" i="960"/>
  <c r="N603" i="960"/>
  <c r="L648" i="960"/>
  <c r="N648" i="960"/>
  <c r="I701" i="960"/>
  <c r="I707" i="960"/>
  <c r="N724" i="960"/>
  <c r="L724" i="960"/>
  <c r="L151" i="960"/>
  <c r="AE151" i="960"/>
  <c r="I736" i="960" s="1"/>
  <c r="N750" i="960"/>
  <c r="L750" i="960"/>
  <c r="L160" i="960"/>
  <c r="L167" i="960"/>
  <c r="L172" i="960"/>
  <c r="L178" i="960"/>
  <c r="AI293" i="960"/>
  <c r="AI290" i="960"/>
  <c r="AI297" i="960"/>
  <c r="AI294" i="960"/>
  <c r="AI296" i="960"/>
  <c r="AI281" i="960"/>
  <c r="AI273" i="960"/>
  <c r="AI265" i="960"/>
  <c r="AI257" i="960"/>
  <c r="AI280" i="960"/>
  <c r="AI272" i="960"/>
  <c r="AI264" i="960"/>
  <c r="AI295" i="960"/>
  <c r="AI287" i="960"/>
  <c r="AI279" i="960"/>
  <c r="AI271" i="960"/>
  <c r="AI263" i="960"/>
  <c r="AI292" i="960"/>
  <c r="AI278" i="960"/>
  <c r="AI270" i="960"/>
  <c r="AI262" i="960"/>
  <c r="AI254" i="960"/>
  <c r="AI246" i="960"/>
  <c r="AI291" i="960"/>
  <c r="AI285" i="960"/>
  <c r="AI277" i="960"/>
  <c r="AI269" i="960"/>
  <c r="AI261" i="960"/>
  <c r="AI253" i="960"/>
  <c r="AI284" i="960"/>
  <c r="AI276" i="960"/>
  <c r="AI268" i="960"/>
  <c r="AI260" i="960"/>
  <c r="AI252" i="960"/>
  <c r="AI289" i="960"/>
  <c r="AI288" i="960"/>
  <c r="AI282" i="960"/>
  <c r="AI274" i="960"/>
  <c r="AI266" i="960"/>
  <c r="AI258" i="960"/>
  <c r="AI250" i="960"/>
  <c r="AI234" i="960"/>
  <c r="AI236" i="960"/>
  <c r="AB238" i="960"/>
  <c r="Z240" i="960"/>
  <c r="AI241" i="960"/>
  <c r="AH242" i="960"/>
  <c r="AI243" i="960"/>
  <c r="AB245" i="960"/>
  <c r="AG247" i="960"/>
  <c r="AI248" i="960"/>
  <c r="AH256" i="960"/>
  <c r="F261" i="960"/>
  <c r="F263" i="960"/>
  <c r="Z266" i="960"/>
  <c r="F273" i="960"/>
  <c r="AI283" i="960"/>
  <c r="AH284" i="960"/>
  <c r="AG285" i="960"/>
  <c r="N634" i="960"/>
  <c r="L634" i="960"/>
  <c r="L703" i="960"/>
  <c r="N703" i="960"/>
  <c r="N723" i="960"/>
  <c r="L723" i="960"/>
  <c r="L749" i="960"/>
  <c r="N749" i="960"/>
  <c r="AB278" i="960"/>
  <c r="AB270" i="960"/>
  <c r="AB262" i="960"/>
  <c r="AB254" i="960"/>
  <c r="AB285" i="960"/>
  <c r="AB277" i="960"/>
  <c r="AB269" i="960"/>
  <c r="AB261" i="960"/>
  <c r="AB284" i="960"/>
  <c r="AB276" i="960"/>
  <c r="AB268" i="960"/>
  <c r="AB260" i="960"/>
  <c r="AB283" i="960"/>
  <c r="AB275" i="960"/>
  <c r="AB267" i="960"/>
  <c r="AB259" i="960"/>
  <c r="AB251" i="960"/>
  <c r="AB243" i="960"/>
  <c r="AB282" i="960"/>
  <c r="AB274" i="960"/>
  <c r="AB266" i="960"/>
  <c r="AB258" i="960"/>
  <c r="AB250" i="960"/>
  <c r="AB281" i="960"/>
  <c r="AB273" i="960"/>
  <c r="AB265" i="960"/>
  <c r="AB257" i="960"/>
  <c r="AB249" i="960"/>
  <c r="AB279" i="960"/>
  <c r="AB271" i="960"/>
  <c r="AB263" i="960"/>
  <c r="AB255" i="960"/>
  <c r="AB247" i="960"/>
  <c r="Z234" i="960"/>
  <c r="Z236" i="960"/>
  <c r="AB239" i="960"/>
  <c r="Z241" i="960"/>
  <c r="AI242" i="960"/>
  <c r="Z244" i="960"/>
  <c r="F245" i="960"/>
  <c r="AI247" i="960"/>
  <c r="AG250" i="960"/>
  <c r="AH252" i="960"/>
  <c r="Z254" i="960"/>
  <c r="AI256" i="960"/>
  <c r="AB280" i="960"/>
  <c r="AG291" i="960"/>
  <c r="F289" i="960"/>
  <c r="F293" i="960"/>
  <c r="N540" i="960"/>
  <c r="L540" i="960"/>
  <c r="L543" i="960"/>
  <c r="N543" i="960"/>
  <c r="L612" i="960"/>
  <c r="N612" i="960"/>
  <c r="L597" i="960"/>
  <c r="N597" i="960"/>
  <c r="L537" i="960"/>
  <c r="N537" i="960"/>
  <c r="N577" i="960"/>
  <c r="N562" i="960"/>
  <c r="N576" i="960"/>
  <c r="N534" i="960"/>
  <c r="L535" i="960"/>
  <c r="N535" i="960"/>
  <c r="L582" i="960"/>
  <c r="L651" i="960"/>
  <c r="N695" i="960"/>
  <c r="L695" i="960"/>
  <c r="N774" i="960"/>
  <c r="L776" i="960"/>
  <c r="N776" i="960"/>
  <c r="L552" i="960"/>
  <c r="N710" i="960"/>
  <c r="L782" i="960"/>
  <c r="N782" i="960"/>
  <c r="L635" i="960"/>
  <c r="L667" i="960"/>
  <c r="N712" i="960"/>
  <c r="N742" i="960"/>
  <c r="N784" i="960"/>
  <c r="N740" i="960"/>
  <c r="L175" i="956"/>
  <c r="L156" i="957"/>
  <c r="L173" i="959"/>
  <c r="L193" i="959"/>
  <c r="L184" i="957"/>
  <c r="L209" i="955"/>
  <c r="L167" i="957"/>
  <c r="C117" i="959"/>
  <c r="L143" i="959"/>
  <c r="L148" i="959"/>
  <c r="L201" i="959"/>
  <c r="L160" i="957"/>
  <c r="L169" i="957"/>
  <c r="L216" i="957"/>
  <c r="L824" i="959"/>
  <c r="L804" i="959"/>
  <c r="L1077" i="959"/>
  <c r="L912" i="959"/>
  <c r="L965" i="959"/>
  <c r="L1025" i="959"/>
  <c r="L1021" i="959"/>
  <c r="L908" i="959"/>
  <c r="L1145" i="959"/>
  <c r="L856" i="959"/>
  <c r="P170" i="959"/>
  <c r="V108" i="959"/>
  <c r="W221" i="959"/>
  <c r="V165" i="959"/>
  <c r="B22" i="959"/>
  <c r="H12" i="959"/>
  <c r="W5" i="959"/>
  <c r="U130" i="959"/>
  <c r="K36" i="959"/>
  <c r="U79" i="959"/>
  <c r="J36" i="959"/>
  <c r="K5" i="959"/>
  <c r="H36" i="959"/>
  <c r="J22" i="959"/>
  <c r="W2" i="959"/>
  <c r="B36" i="959"/>
  <c r="H22" i="959"/>
  <c r="AC5" i="959"/>
  <c r="A36" i="959"/>
  <c r="A22" i="959"/>
  <c r="H62" i="959"/>
  <c r="H15" i="959"/>
  <c r="AF149" i="959"/>
  <c r="I713" i="959" s="1"/>
  <c r="AF152" i="959"/>
  <c r="I758" i="959" s="1"/>
  <c r="AF151" i="959"/>
  <c r="I743" i="959" s="1"/>
  <c r="AF150" i="959"/>
  <c r="I728" i="959" s="1"/>
  <c r="AF91" i="959"/>
  <c r="I443" i="959" s="1"/>
  <c r="AF90" i="959"/>
  <c r="I428" i="959" s="1"/>
  <c r="N414" i="959" s="1"/>
  <c r="AF92" i="959"/>
  <c r="I458" i="959" s="1"/>
  <c r="AF89" i="959"/>
  <c r="I413" i="959" s="1"/>
  <c r="AF88" i="959"/>
  <c r="I398" i="959" s="1"/>
  <c r="N353" i="959"/>
  <c r="L353" i="959"/>
  <c r="AF136" i="959"/>
  <c r="I608" i="959" s="1"/>
  <c r="N594" i="959" s="1"/>
  <c r="AF134" i="959"/>
  <c r="I578" i="959" s="1"/>
  <c r="AF137" i="959"/>
  <c r="I623" i="959" s="1"/>
  <c r="AF135" i="959"/>
  <c r="I593" i="959" s="1"/>
  <c r="AF133" i="959"/>
  <c r="I563" i="959" s="1"/>
  <c r="BB3" i="959"/>
  <c r="BA31" i="959"/>
  <c r="AF95" i="959"/>
  <c r="I473" i="959" s="1"/>
  <c r="AF98" i="959"/>
  <c r="I518" i="959" s="1"/>
  <c r="AF97" i="959"/>
  <c r="I503" i="959" s="1"/>
  <c r="AF96" i="959"/>
  <c r="I488" i="959" s="1"/>
  <c r="AE18" i="959"/>
  <c r="AF19" i="959"/>
  <c r="I1030" i="959"/>
  <c r="I910" i="959"/>
  <c r="AD75" i="959"/>
  <c r="N315" i="959"/>
  <c r="L315" i="959"/>
  <c r="N346" i="959"/>
  <c r="L346" i="959"/>
  <c r="N361" i="959"/>
  <c r="L361" i="959"/>
  <c r="N370" i="959"/>
  <c r="L370" i="959"/>
  <c r="L404" i="959"/>
  <c r="N404" i="959"/>
  <c r="N432" i="959"/>
  <c r="L432" i="959"/>
  <c r="N445" i="959"/>
  <c r="L445" i="959"/>
  <c r="N466" i="959"/>
  <c r="L466" i="959"/>
  <c r="N508" i="959"/>
  <c r="L508" i="959"/>
  <c r="F170" i="959"/>
  <c r="F192" i="959"/>
  <c r="F199" i="959"/>
  <c r="F235" i="959"/>
  <c r="F243" i="959"/>
  <c r="N65" i="959"/>
  <c r="N314" i="959"/>
  <c r="L314" i="959"/>
  <c r="AF82" i="959"/>
  <c r="I338" i="959" s="1"/>
  <c r="N343" i="959"/>
  <c r="L343" i="959"/>
  <c r="L351" i="959"/>
  <c r="N351" i="959"/>
  <c r="N358" i="959"/>
  <c r="L358" i="959"/>
  <c r="L366" i="959"/>
  <c r="N394" i="959"/>
  <c r="L394" i="959"/>
  <c r="N430" i="959"/>
  <c r="L430" i="959"/>
  <c r="N463" i="959"/>
  <c r="L463" i="959"/>
  <c r="N493" i="959"/>
  <c r="L493" i="959"/>
  <c r="N510" i="959"/>
  <c r="L510" i="959"/>
  <c r="F180" i="959"/>
  <c r="F188" i="959"/>
  <c r="F247" i="959"/>
  <c r="F251" i="959"/>
  <c r="F255" i="959"/>
  <c r="F263" i="959"/>
  <c r="AF145" i="959"/>
  <c r="I698" i="959" s="1"/>
  <c r="AF142" i="959"/>
  <c r="I653" i="959" s="1"/>
  <c r="AF143" i="959"/>
  <c r="I668" i="959" s="1"/>
  <c r="AF144" i="959"/>
  <c r="I683" i="959" s="1"/>
  <c r="B66" i="959"/>
  <c r="I1060" i="959"/>
  <c r="I1036" i="959"/>
  <c r="I936" i="959"/>
  <c r="I1067" i="959"/>
  <c r="I915" i="959"/>
  <c r="I1065" i="959"/>
  <c r="I938" i="959"/>
  <c r="I935" i="959"/>
  <c r="I1057" i="959"/>
  <c r="I1053" i="959"/>
  <c r="I1049" i="959"/>
  <c r="I1068" i="959"/>
  <c r="I929" i="959"/>
  <c r="I1066" i="959"/>
  <c r="I1056" i="959"/>
  <c r="I1052" i="959"/>
  <c r="I1064" i="959"/>
  <c r="I928" i="959"/>
  <c r="I1059" i="959"/>
  <c r="I1055" i="959"/>
  <c r="I1051" i="959"/>
  <c r="I931" i="959"/>
  <c r="I1058" i="959"/>
  <c r="I1054" i="959"/>
  <c r="I1050" i="959"/>
  <c r="I937" i="959"/>
  <c r="I1031" i="959"/>
  <c r="I911" i="959"/>
  <c r="L334" i="959"/>
  <c r="N334" i="959"/>
  <c r="N345" i="959"/>
  <c r="L345" i="959"/>
  <c r="N360" i="959"/>
  <c r="L360" i="959"/>
  <c r="N387" i="959"/>
  <c r="L387" i="959"/>
  <c r="N409" i="959"/>
  <c r="L409" i="959"/>
  <c r="F410" i="959"/>
  <c r="AH89" i="959"/>
  <c r="N436" i="959"/>
  <c r="L436" i="959"/>
  <c r="N479" i="959"/>
  <c r="L479" i="959"/>
  <c r="N495" i="959"/>
  <c r="L495" i="959"/>
  <c r="N509" i="959"/>
  <c r="L509" i="959"/>
  <c r="N529" i="959"/>
  <c r="L529" i="959"/>
  <c r="N121" i="959"/>
  <c r="N122" i="959"/>
  <c r="N584" i="959"/>
  <c r="L584" i="959"/>
  <c r="F141" i="959"/>
  <c r="F152" i="959"/>
  <c r="F179" i="959"/>
  <c r="F183" i="959"/>
  <c r="F191" i="959"/>
  <c r="F216" i="959"/>
  <c r="F242" i="959"/>
  <c r="AF17" i="959"/>
  <c r="B67" i="959"/>
  <c r="B63" i="959"/>
  <c r="N62" i="959"/>
  <c r="L320" i="959"/>
  <c r="N320" i="959"/>
  <c r="N327" i="959"/>
  <c r="L327" i="959"/>
  <c r="N344" i="959"/>
  <c r="L344" i="959"/>
  <c r="N375" i="959"/>
  <c r="L375" i="959"/>
  <c r="I1323" i="959"/>
  <c r="I1321" i="959"/>
  <c r="I1320" i="959"/>
  <c r="N385" i="959"/>
  <c r="L385" i="959"/>
  <c r="N415" i="959"/>
  <c r="L415" i="959"/>
  <c r="N427" i="959"/>
  <c r="L427" i="959"/>
  <c r="N433" i="959"/>
  <c r="L433" i="959"/>
  <c r="N494" i="959"/>
  <c r="L494" i="959"/>
  <c r="L520" i="959"/>
  <c r="N520" i="959"/>
  <c r="N519" i="959"/>
  <c r="L571" i="959"/>
  <c r="F143" i="959"/>
  <c r="F148" i="959"/>
  <c r="F163" i="959"/>
  <c r="F169" i="959"/>
  <c r="F212" i="959"/>
  <c r="F225" i="959"/>
  <c r="F227" i="959"/>
  <c r="F250" i="959"/>
  <c r="F288" i="959"/>
  <c r="F280" i="959"/>
  <c r="F272" i="959"/>
  <c r="F264" i="959"/>
  <c r="F295" i="959"/>
  <c r="F279" i="959"/>
  <c r="F271" i="959"/>
  <c r="F293" i="959"/>
  <c r="F285" i="959"/>
  <c r="F277" i="959"/>
  <c r="F269" i="959"/>
  <c r="F261" i="959"/>
  <c r="F292" i="959"/>
  <c r="F287" i="959"/>
  <c r="F284" i="959"/>
  <c r="F276" i="959"/>
  <c r="F268" i="959"/>
  <c r="F289" i="959"/>
  <c r="F283" i="959"/>
  <c r="F275" i="959"/>
  <c r="F281" i="959"/>
  <c r="F273" i="959"/>
  <c r="F265" i="959"/>
  <c r="F257" i="959"/>
  <c r="F249" i="959"/>
  <c r="F241" i="959"/>
  <c r="F231" i="959"/>
  <c r="F214" i="959"/>
  <c r="F206" i="959"/>
  <c r="F198" i="959"/>
  <c r="F190" i="959"/>
  <c r="F178" i="959"/>
  <c r="F172" i="959"/>
  <c r="F167" i="959"/>
  <c r="F160" i="959"/>
  <c r="F151" i="959"/>
  <c r="F259" i="959"/>
  <c r="F256" i="959"/>
  <c r="F248" i="959"/>
  <c r="F240" i="959"/>
  <c r="F230" i="959"/>
  <c r="F226" i="959"/>
  <c r="F213" i="959"/>
  <c r="F205" i="959"/>
  <c r="F197" i="959"/>
  <c r="F189" i="959"/>
  <c r="F185" i="959"/>
  <c r="F177" i="959"/>
  <c r="F171" i="959"/>
  <c r="F166" i="959"/>
  <c r="F159" i="959"/>
  <c r="F147" i="959"/>
  <c r="F145" i="959"/>
  <c r="F158" i="959"/>
  <c r="F154" i="959"/>
  <c r="F150" i="959"/>
  <c r="F140" i="959"/>
  <c r="F137" i="959"/>
  <c r="F246" i="959"/>
  <c r="F238" i="959"/>
  <c r="F236" i="959"/>
  <c r="F234" i="959"/>
  <c r="F211" i="959"/>
  <c r="F203" i="959"/>
  <c r="F195" i="959"/>
  <c r="F187" i="959"/>
  <c r="F165" i="959"/>
  <c r="F157" i="959"/>
  <c r="F146" i="959"/>
  <c r="F142" i="959"/>
  <c r="E137" i="959"/>
  <c r="I102" i="959" s="1"/>
  <c r="F245" i="959"/>
  <c r="F233" i="959"/>
  <c r="F229" i="959"/>
  <c r="F210" i="959"/>
  <c r="F202" i="959"/>
  <c r="F194" i="959"/>
  <c r="F184" i="959"/>
  <c r="F182" i="959"/>
  <c r="F176" i="959"/>
  <c r="F164" i="959"/>
  <c r="F153" i="959"/>
  <c r="F149" i="959"/>
  <c r="D137" i="959"/>
  <c r="I83" i="959" s="1"/>
  <c r="F267" i="959"/>
  <c r="F260" i="959"/>
  <c r="F244" i="959"/>
  <c r="F232" i="959"/>
  <c r="F209" i="959"/>
  <c r="F201" i="959"/>
  <c r="F193" i="959"/>
  <c r="F181" i="959"/>
  <c r="F252" i="959"/>
  <c r="I115" i="959"/>
  <c r="F253" i="959"/>
  <c r="U12" i="959"/>
  <c r="B68" i="959"/>
  <c r="N312" i="959"/>
  <c r="L312" i="959"/>
  <c r="F322" i="959"/>
  <c r="N325" i="959"/>
  <c r="L325" i="959"/>
  <c r="N374" i="959"/>
  <c r="L374" i="959"/>
  <c r="N421" i="959"/>
  <c r="L421" i="959"/>
  <c r="N449" i="959"/>
  <c r="L449" i="959"/>
  <c r="N484" i="959"/>
  <c r="L484" i="959"/>
  <c r="N523" i="959"/>
  <c r="L523" i="959"/>
  <c r="L601" i="959"/>
  <c r="N601" i="959"/>
  <c r="F144" i="959"/>
  <c r="F161" i="959"/>
  <c r="F162" i="959"/>
  <c r="F168" i="959"/>
  <c r="F175" i="959"/>
  <c r="F208" i="959"/>
  <c r="F215" i="959"/>
  <c r="AF84" i="959"/>
  <c r="I368" i="959" s="1"/>
  <c r="AF81" i="959"/>
  <c r="I323" i="959" s="1"/>
  <c r="L63" i="959"/>
  <c r="B65" i="959"/>
  <c r="I1029" i="959"/>
  <c r="I909" i="959"/>
  <c r="I1048" i="959"/>
  <c r="B312" i="959"/>
  <c r="B310" i="959"/>
  <c r="N310" i="959"/>
  <c r="L310" i="959"/>
  <c r="AJ81" i="959"/>
  <c r="I322" i="959" s="1"/>
  <c r="N331" i="959"/>
  <c r="L331" i="959"/>
  <c r="AJ82" i="959"/>
  <c r="I337" i="959" s="1"/>
  <c r="N349" i="959"/>
  <c r="L349" i="959"/>
  <c r="F350" i="959"/>
  <c r="AH83" i="959"/>
  <c r="L364" i="959"/>
  <c r="N364" i="959"/>
  <c r="AH84" i="959"/>
  <c r="AF85" i="959"/>
  <c r="I383" i="959" s="1"/>
  <c r="N418" i="959"/>
  <c r="L418" i="959"/>
  <c r="N469" i="959"/>
  <c r="L469" i="959"/>
  <c r="AH95" i="959"/>
  <c r="N477" i="959"/>
  <c r="L477" i="959"/>
  <c r="AH96" i="959"/>
  <c r="N499" i="959"/>
  <c r="L499" i="959"/>
  <c r="F500" i="959"/>
  <c r="AH97" i="959"/>
  <c r="N525" i="959"/>
  <c r="L525" i="959"/>
  <c r="N614" i="959"/>
  <c r="L614" i="959"/>
  <c r="N140" i="959"/>
  <c r="L140" i="959"/>
  <c r="F156" i="959"/>
  <c r="F173" i="959"/>
  <c r="F174" i="959"/>
  <c r="F186" i="959"/>
  <c r="F204" i="959"/>
  <c r="F237" i="959"/>
  <c r="N63" i="959"/>
  <c r="L66" i="959"/>
  <c r="N69" i="959"/>
  <c r="L316" i="959"/>
  <c r="N316" i="959"/>
  <c r="N328" i="959"/>
  <c r="L328" i="959"/>
  <c r="F336" i="959"/>
  <c r="AL82" i="959"/>
  <c r="I336" i="959" s="1"/>
  <c r="N357" i="959"/>
  <c r="L357" i="959"/>
  <c r="L379" i="959"/>
  <c r="N379" i="959"/>
  <c r="N403" i="959"/>
  <c r="L403" i="959"/>
  <c r="N420" i="959"/>
  <c r="L420" i="959"/>
  <c r="L454" i="959"/>
  <c r="N454" i="959"/>
  <c r="L462" i="959"/>
  <c r="N462" i="959"/>
  <c r="I476" i="959"/>
  <c r="I482" i="959"/>
  <c r="I512" i="959"/>
  <c r="I506" i="959"/>
  <c r="I559" i="959"/>
  <c r="AE133" i="959"/>
  <c r="I556" i="959" s="1"/>
  <c r="F155" i="959"/>
  <c r="F200" i="959"/>
  <c r="F207" i="959"/>
  <c r="F228" i="959"/>
  <c r="F239" i="959"/>
  <c r="I918" i="959"/>
  <c r="I1038" i="959"/>
  <c r="I1041" i="959"/>
  <c r="I921" i="959"/>
  <c r="B64" i="959"/>
  <c r="AL81" i="959"/>
  <c r="I321" i="959" s="1"/>
  <c r="N355" i="959"/>
  <c r="L355" i="959"/>
  <c r="L372" i="959"/>
  <c r="N372" i="959"/>
  <c r="AH85" i="959"/>
  <c r="L389" i="959"/>
  <c r="N389" i="959"/>
  <c r="N405" i="959"/>
  <c r="L405" i="959"/>
  <c r="L419" i="959"/>
  <c r="N419" i="959"/>
  <c r="N439" i="959"/>
  <c r="L439" i="959"/>
  <c r="AH91" i="959"/>
  <c r="N447" i="959"/>
  <c r="L447" i="959"/>
  <c r="AH92" i="959"/>
  <c r="I467" i="959"/>
  <c r="I461" i="959"/>
  <c r="N511" i="959"/>
  <c r="L511" i="959"/>
  <c r="B210" i="959"/>
  <c r="B202" i="959"/>
  <c r="B194" i="959"/>
  <c r="B184" i="959"/>
  <c r="B182" i="959"/>
  <c r="B176" i="959"/>
  <c r="B164" i="959"/>
  <c r="B153" i="959"/>
  <c r="B149" i="959"/>
  <c r="B209" i="959"/>
  <c r="B201" i="959"/>
  <c r="B193" i="959"/>
  <c r="B181" i="959"/>
  <c r="B173" i="959"/>
  <c r="B170" i="959"/>
  <c r="B148" i="959"/>
  <c r="B216" i="959"/>
  <c r="B208" i="959"/>
  <c r="B200" i="959"/>
  <c r="B192" i="959"/>
  <c r="B186" i="959"/>
  <c r="B180" i="959"/>
  <c r="B169" i="959"/>
  <c r="B161" i="959"/>
  <c r="B156" i="959"/>
  <c r="B152" i="959"/>
  <c r="B215" i="959"/>
  <c r="B207" i="959"/>
  <c r="B199" i="959"/>
  <c r="B191" i="959"/>
  <c r="B179" i="959"/>
  <c r="B175" i="959"/>
  <c r="B168" i="959"/>
  <c r="B163" i="959"/>
  <c r="B155" i="959"/>
  <c r="B144" i="959"/>
  <c r="B139" i="959"/>
  <c r="B214" i="959"/>
  <c r="B206" i="959"/>
  <c r="B198" i="959"/>
  <c r="B190" i="959"/>
  <c r="B183" i="959"/>
  <c r="B178" i="959"/>
  <c r="B172" i="959"/>
  <c r="B167" i="959"/>
  <c r="B160" i="959"/>
  <c r="B151" i="959"/>
  <c r="B213" i="959"/>
  <c r="B205" i="959"/>
  <c r="B197" i="959"/>
  <c r="B189" i="959"/>
  <c r="B185" i="959"/>
  <c r="B177" i="959"/>
  <c r="B171" i="959"/>
  <c r="B166" i="959"/>
  <c r="B159" i="959"/>
  <c r="B147" i="959"/>
  <c r="B145" i="959"/>
  <c r="B141" i="959"/>
  <c r="B138" i="959"/>
  <c r="B212" i="959"/>
  <c r="B204" i="959"/>
  <c r="B196" i="959"/>
  <c r="B188" i="959"/>
  <c r="B174" i="959"/>
  <c r="B162" i="959"/>
  <c r="B158" i="959"/>
  <c r="B154" i="959"/>
  <c r="B150" i="959"/>
  <c r="B140" i="959"/>
  <c r="N137" i="959"/>
  <c r="B137" i="959"/>
  <c r="B211" i="959"/>
  <c r="B203" i="959"/>
  <c r="B195" i="959"/>
  <c r="B187" i="959"/>
  <c r="B165" i="959"/>
  <c r="B157" i="959"/>
  <c r="B146" i="959"/>
  <c r="B142" i="959"/>
  <c r="L137" i="959"/>
  <c r="F139" i="959"/>
  <c r="AF141" i="959"/>
  <c r="I638" i="959" s="1"/>
  <c r="F196" i="959"/>
  <c r="I914" i="959"/>
  <c r="I930" i="959"/>
  <c r="I933" i="959"/>
  <c r="I932" i="959"/>
  <c r="I939" i="959"/>
  <c r="N330" i="959"/>
  <c r="L330" i="959"/>
  <c r="L342" i="959"/>
  <c r="N342" i="959"/>
  <c r="L359" i="959"/>
  <c r="N359" i="959"/>
  <c r="L376" i="959"/>
  <c r="N376" i="959"/>
  <c r="N391" i="959"/>
  <c r="L391" i="959"/>
  <c r="N402" i="959"/>
  <c r="L402" i="959"/>
  <c r="N435" i="959"/>
  <c r="L435" i="959"/>
  <c r="N451" i="959"/>
  <c r="L451" i="959"/>
  <c r="N465" i="959"/>
  <c r="L465" i="959"/>
  <c r="N481" i="959"/>
  <c r="L481" i="959"/>
  <c r="N492" i="959"/>
  <c r="L492" i="959"/>
  <c r="N524" i="959"/>
  <c r="L524" i="959"/>
  <c r="N128" i="959"/>
  <c r="N553" i="959"/>
  <c r="L553" i="959"/>
  <c r="L573" i="959"/>
  <c r="N573" i="959"/>
  <c r="N589" i="959"/>
  <c r="L589" i="959"/>
  <c r="L663" i="959"/>
  <c r="N663" i="959"/>
  <c r="L150" i="959"/>
  <c r="AE150" i="959"/>
  <c r="I721" i="959" s="1"/>
  <c r="N735" i="959"/>
  <c r="L735" i="959"/>
  <c r="I752" i="959"/>
  <c r="I746" i="959"/>
  <c r="L154" i="959"/>
  <c r="L158" i="959"/>
  <c r="L162" i="959"/>
  <c r="L174" i="959"/>
  <c r="AB182" i="959"/>
  <c r="AB184" i="959"/>
  <c r="AD184" i="959" s="1"/>
  <c r="L188" i="959"/>
  <c r="L196" i="959"/>
  <c r="L204" i="959"/>
  <c r="L212" i="959"/>
  <c r="AI229" i="959"/>
  <c r="AH230" i="959"/>
  <c r="AH293" i="959"/>
  <c r="AH294" i="959"/>
  <c r="AH292" i="959"/>
  <c r="AH278" i="959"/>
  <c r="AH270" i="959"/>
  <c r="AH262" i="959"/>
  <c r="AH289" i="959"/>
  <c r="AH285" i="959"/>
  <c r="AH277" i="959"/>
  <c r="AH269" i="959"/>
  <c r="AH284" i="959"/>
  <c r="AH276" i="959"/>
  <c r="AH268" i="959"/>
  <c r="AH260" i="959"/>
  <c r="AH296" i="959"/>
  <c r="AH291" i="959"/>
  <c r="AH286" i="959"/>
  <c r="AH283" i="959"/>
  <c r="AH275" i="959"/>
  <c r="AH267" i="959"/>
  <c r="AH259" i="959"/>
  <c r="AH288" i="959"/>
  <c r="AH282" i="959"/>
  <c r="AH274" i="959"/>
  <c r="AH266" i="959"/>
  <c r="AH295" i="959"/>
  <c r="AH281" i="959"/>
  <c r="AH273" i="959"/>
  <c r="AH290" i="959"/>
  <c r="AH280" i="959"/>
  <c r="AH272" i="959"/>
  <c r="AH264" i="959"/>
  <c r="AH256" i="959"/>
  <c r="AH297" i="959"/>
  <c r="AH287" i="959"/>
  <c r="AH279" i="959"/>
  <c r="AH271" i="959"/>
  <c r="AH263" i="959"/>
  <c r="AH255" i="959"/>
  <c r="AG234" i="959"/>
  <c r="AG236" i="959"/>
  <c r="Z238" i="959"/>
  <c r="AI239" i="959"/>
  <c r="AH240" i="959"/>
  <c r="AG241" i="959"/>
  <c r="AD242" i="959"/>
  <c r="AB244" i="959"/>
  <c r="Z246" i="959"/>
  <c r="AI247" i="959"/>
  <c r="AH248" i="959"/>
  <c r="AG249" i="959"/>
  <c r="AD250" i="959"/>
  <c r="AD251" i="959"/>
  <c r="AD252" i="959"/>
  <c r="AH253" i="959"/>
  <c r="AG255" i="959"/>
  <c r="Z256" i="959"/>
  <c r="F258" i="959"/>
  <c r="AG258" i="959"/>
  <c r="AH261" i="959"/>
  <c r="I913" i="959"/>
  <c r="I1034" i="959"/>
  <c r="I908" i="959"/>
  <c r="I1028" i="959"/>
  <c r="N319" i="959"/>
  <c r="L319" i="959"/>
  <c r="F320" i="959"/>
  <c r="N329" i="959"/>
  <c r="L329" i="959"/>
  <c r="L340" i="959"/>
  <c r="N340" i="959"/>
  <c r="N373" i="959"/>
  <c r="L373" i="959"/>
  <c r="N388" i="959"/>
  <c r="L388" i="959"/>
  <c r="N400" i="959"/>
  <c r="L400" i="959"/>
  <c r="N424" i="959"/>
  <c r="L424" i="959"/>
  <c r="N434" i="959"/>
  <c r="L434" i="959"/>
  <c r="N448" i="959"/>
  <c r="L448" i="959"/>
  <c r="N464" i="959"/>
  <c r="L464" i="959"/>
  <c r="N478" i="959"/>
  <c r="L478" i="959"/>
  <c r="I491" i="959"/>
  <c r="I497" i="959"/>
  <c r="N514" i="959"/>
  <c r="L514" i="959"/>
  <c r="N555" i="959"/>
  <c r="L555" i="959"/>
  <c r="N568" i="959"/>
  <c r="L568" i="959"/>
  <c r="N588" i="959"/>
  <c r="L588" i="959"/>
  <c r="N604" i="959"/>
  <c r="L604" i="959"/>
  <c r="L138" i="959"/>
  <c r="L141" i="959"/>
  <c r="L649" i="959"/>
  <c r="N649" i="959"/>
  <c r="AE143" i="959"/>
  <c r="I661" i="959" s="1"/>
  <c r="L145" i="959"/>
  <c r="L147" i="959"/>
  <c r="L708" i="959"/>
  <c r="N708" i="959"/>
  <c r="N734" i="959"/>
  <c r="L734" i="959"/>
  <c r="N748" i="959"/>
  <c r="L748" i="959"/>
  <c r="L159" i="959"/>
  <c r="L166" i="959"/>
  <c r="L171" i="959"/>
  <c r="L177" i="959"/>
  <c r="L185" i="959"/>
  <c r="L189" i="959"/>
  <c r="L197" i="959"/>
  <c r="L205" i="959"/>
  <c r="L213" i="959"/>
  <c r="Z284" i="959"/>
  <c r="Z276" i="959"/>
  <c r="Z268" i="959"/>
  <c r="Z260" i="959"/>
  <c r="Z283" i="959"/>
  <c r="Z275" i="959"/>
  <c r="Z267" i="959"/>
  <c r="Z282" i="959"/>
  <c r="Z274" i="959"/>
  <c r="Z266" i="959"/>
  <c r="Z258" i="959"/>
  <c r="Z281" i="959"/>
  <c r="Z273" i="959"/>
  <c r="Z265" i="959"/>
  <c r="Z257" i="959"/>
  <c r="Z280" i="959"/>
  <c r="Z272" i="959"/>
  <c r="Z279" i="959"/>
  <c r="Z271" i="959"/>
  <c r="Z278" i="959"/>
  <c r="Z270" i="959"/>
  <c r="Z262" i="959"/>
  <c r="Z254" i="959"/>
  <c r="Z285" i="959"/>
  <c r="Z277" i="959"/>
  <c r="Z269" i="959"/>
  <c r="Z261" i="959"/>
  <c r="Z253" i="959"/>
  <c r="AI230" i="959"/>
  <c r="AB233" i="959"/>
  <c r="AH234" i="959"/>
  <c r="AB235" i="959"/>
  <c r="AH236" i="959"/>
  <c r="AB237" i="959"/>
  <c r="Z239" i="959"/>
  <c r="AI240" i="959"/>
  <c r="AH241" i="959"/>
  <c r="AG242" i="959"/>
  <c r="AD243" i="959"/>
  <c r="AB245" i="959"/>
  <c r="Z247" i="959"/>
  <c r="AI248" i="959"/>
  <c r="AH249" i="959"/>
  <c r="AG250" i="959"/>
  <c r="AG251" i="959"/>
  <c r="AG252" i="959"/>
  <c r="AB254" i="959"/>
  <c r="AH258" i="959"/>
  <c r="Z259" i="959"/>
  <c r="F262" i="959"/>
  <c r="AG262" i="959"/>
  <c r="N390" i="959"/>
  <c r="L390" i="959"/>
  <c r="N406" i="959"/>
  <c r="L406" i="959"/>
  <c r="N417" i="959"/>
  <c r="L417" i="959"/>
  <c r="N425" i="959"/>
  <c r="L425" i="959"/>
  <c r="N450" i="959"/>
  <c r="L450" i="959"/>
  <c r="L480" i="959"/>
  <c r="N480" i="959"/>
  <c r="N496" i="959"/>
  <c r="L496" i="959"/>
  <c r="L507" i="959"/>
  <c r="N507" i="959"/>
  <c r="L554" i="959"/>
  <c r="N554" i="959"/>
  <c r="N570" i="959"/>
  <c r="L570" i="959"/>
  <c r="N583" i="959"/>
  <c r="L583" i="959"/>
  <c r="N603" i="959"/>
  <c r="L603" i="959"/>
  <c r="N648" i="959"/>
  <c r="L648" i="959"/>
  <c r="I701" i="959"/>
  <c r="I707" i="959"/>
  <c r="N724" i="959"/>
  <c r="L724" i="959"/>
  <c r="AE151" i="959"/>
  <c r="I736" i="959" s="1"/>
  <c r="N750" i="959"/>
  <c r="L750" i="959"/>
  <c r="AI297" i="959"/>
  <c r="AI295" i="959"/>
  <c r="AI293" i="959"/>
  <c r="AI289" i="959"/>
  <c r="AI285" i="959"/>
  <c r="AI277" i="959"/>
  <c r="AI269" i="959"/>
  <c r="AI261" i="959"/>
  <c r="AI284" i="959"/>
  <c r="AI276" i="959"/>
  <c r="AI268" i="959"/>
  <c r="AI296" i="959"/>
  <c r="AI291" i="959"/>
  <c r="AI286" i="959"/>
  <c r="AI283" i="959"/>
  <c r="AI275" i="959"/>
  <c r="AI267" i="959"/>
  <c r="AI259" i="959"/>
  <c r="AI288" i="959"/>
  <c r="AI282" i="959"/>
  <c r="AI274" i="959"/>
  <c r="AI266" i="959"/>
  <c r="AI258" i="959"/>
  <c r="AI281" i="959"/>
  <c r="AI273" i="959"/>
  <c r="AI265" i="959"/>
  <c r="AI290" i="959"/>
  <c r="AI280" i="959"/>
  <c r="AI272" i="959"/>
  <c r="AI287" i="959"/>
  <c r="AI279" i="959"/>
  <c r="AI271" i="959"/>
  <c r="AI263" i="959"/>
  <c r="AI255" i="959"/>
  <c r="AI294" i="959"/>
  <c r="AI292" i="959"/>
  <c r="AI278" i="959"/>
  <c r="AI270" i="959"/>
  <c r="AI262" i="959"/>
  <c r="AI254" i="959"/>
  <c r="AI234" i="959"/>
  <c r="AI236" i="959"/>
  <c r="AB238" i="959"/>
  <c r="AI241" i="959"/>
  <c r="AH242" i="959"/>
  <c r="AG243" i="959"/>
  <c r="AD244" i="959"/>
  <c r="Z248" i="959"/>
  <c r="AI249" i="959"/>
  <c r="AH250" i="959"/>
  <c r="AH251" i="959"/>
  <c r="AH252" i="959"/>
  <c r="F254" i="959"/>
  <c r="Z264" i="959"/>
  <c r="F291" i="959"/>
  <c r="N569" i="959"/>
  <c r="L569" i="959"/>
  <c r="N585" i="959"/>
  <c r="L585" i="959"/>
  <c r="N598" i="959"/>
  <c r="L598" i="959"/>
  <c r="N618" i="959"/>
  <c r="L618" i="959"/>
  <c r="N634" i="959"/>
  <c r="L634" i="959"/>
  <c r="N646" i="959"/>
  <c r="N694" i="959"/>
  <c r="L694" i="959"/>
  <c r="L703" i="959"/>
  <c r="N703" i="959"/>
  <c r="N723" i="959"/>
  <c r="L723" i="959"/>
  <c r="N749" i="959"/>
  <c r="L749" i="959"/>
  <c r="AB185" i="959"/>
  <c r="AD185" i="959" s="1"/>
  <c r="AB282" i="959"/>
  <c r="AB274" i="959"/>
  <c r="AB266" i="959"/>
  <c r="AB258" i="959"/>
  <c r="AB281" i="959"/>
  <c r="AB273" i="959"/>
  <c r="AB265" i="959"/>
  <c r="AB280" i="959"/>
  <c r="AB272" i="959"/>
  <c r="AB264" i="959"/>
  <c r="AB256" i="959"/>
  <c r="AB279" i="959"/>
  <c r="AB271" i="959"/>
  <c r="AB263" i="959"/>
  <c r="AB255" i="959"/>
  <c r="AB278" i="959"/>
  <c r="AB270" i="959"/>
  <c r="AB285" i="959"/>
  <c r="AB277" i="959"/>
  <c r="AB269" i="959"/>
  <c r="AB284" i="959"/>
  <c r="AB276" i="959"/>
  <c r="AB268" i="959"/>
  <c r="AB260" i="959"/>
  <c r="AB252" i="959"/>
  <c r="AB283" i="959"/>
  <c r="AB275" i="959"/>
  <c r="AB267" i="959"/>
  <c r="AB259" i="959"/>
  <c r="AB251" i="959"/>
  <c r="AD237" i="959"/>
  <c r="AB239" i="959"/>
  <c r="AI242" i="959"/>
  <c r="AH243" i="959"/>
  <c r="AG244" i="959"/>
  <c r="AD245" i="959"/>
  <c r="AB247" i="959"/>
  <c r="Z249" i="959"/>
  <c r="AI250" i="959"/>
  <c r="AI251" i="959"/>
  <c r="AI252" i="959"/>
  <c r="AG254" i="959"/>
  <c r="AD256" i="959"/>
  <c r="AD263" i="959"/>
  <c r="F270" i="959"/>
  <c r="F274" i="959"/>
  <c r="F278" i="959"/>
  <c r="F282" i="959"/>
  <c r="F286" i="959"/>
  <c r="N600" i="959"/>
  <c r="L600" i="959"/>
  <c r="L613" i="959"/>
  <c r="N613" i="959"/>
  <c r="N633" i="959"/>
  <c r="L633" i="959"/>
  <c r="L693" i="959"/>
  <c r="N693" i="959"/>
  <c r="N705" i="959"/>
  <c r="L705" i="959"/>
  <c r="I722" i="959"/>
  <c r="I716" i="959"/>
  <c r="L739" i="959"/>
  <c r="N739" i="959"/>
  <c r="AE152" i="959"/>
  <c r="I751" i="959" s="1"/>
  <c r="L180" i="959"/>
  <c r="L186" i="959"/>
  <c r="L192" i="959"/>
  <c r="L200" i="959"/>
  <c r="L208" i="959"/>
  <c r="L216" i="959"/>
  <c r="AI231" i="959"/>
  <c r="AG233" i="959"/>
  <c r="AG235" i="959"/>
  <c r="AG237" i="959"/>
  <c r="AD238" i="959"/>
  <c r="AB240" i="959"/>
  <c r="Z242" i="959"/>
  <c r="AI243" i="959"/>
  <c r="AH244" i="959"/>
  <c r="AG245" i="959"/>
  <c r="AD246" i="959"/>
  <c r="AB248" i="959"/>
  <c r="Z250" i="959"/>
  <c r="AH254" i="959"/>
  <c r="Z255" i="959"/>
  <c r="AI256" i="959"/>
  <c r="AB257" i="959"/>
  <c r="L599" i="959"/>
  <c r="N599" i="959"/>
  <c r="N615" i="959"/>
  <c r="L615" i="959"/>
  <c r="AE141" i="959"/>
  <c r="I631" i="959" s="1"/>
  <c r="N679" i="959"/>
  <c r="L679" i="959"/>
  <c r="AE145" i="959"/>
  <c r="I691" i="959" s="1"/>
  <c r="L704" i="959"/>
  <c r="N704" i="959"/>
  <c r="N718" i="959"/>
  <c r="L718" i="959"/>
  <c r="N738" i="959"/>
  <c r="L738" i="959"/>
  <c r="AI228" i="959"/>
  <c r="AD280" i="959"/>
  <c r="AD272" i="959"/>
  <c r="AD264" i="959"/>
  <c r="AD279" i="959"/>
  <c r="AD271" i="959"/>
  <c r="AD278" i="959"/>
  <c r="AD270" i="959"/>
  <c r="AD262" i="959"/>
  <c r="AD254" i="959"/>
  <c r="AD285" i="959"/>
  <c r="AD277" i="959"/>
  <c r="AD269" i="959"/>
  <c r="AD261" i="959"/>
  <c r="AD284" i="959"/>
  <c r="AD276" i="959"/>
  <c r="AD268" i="959"/>
  <c r="AD283" i="959"/>
  <c r="AD275" i="959"/>
  <c r="AD282" i="959"/>
  <c r="AD274" i="959"/>
  <c r="AD266" i="959"/>
  <c r="AD258" i="959"/>
  <c r="AD281" i="959"/>
  <c r="AD273" i="959"/>
  <c r="AD265" i="959"/>
  <c r="AD257" i="959"/>
  <c r="AI232" i="959"/>
  <c r="AH233" i="959"/>
  <c r="AB234" i="959"/>
  <c r="AH235" i="959"/>
  <c r="AB236" i="959"/>
  <c r="AH237" i="959"/>
  <c r="AG238" i="959"/>
  <c r="AD239" i="959"/>
  <c r="AB241" i="959"/>
  <c r="Z243" i="959"/>
  <c r="AI244" i="959"/>
  <c r="AH245" i="959"/>
  <c r="AG246" i="959"/>
  <c r="AD247" i="959"/>
  <c r="AB249" i="959"/>
  <c r="Z251" i="959"/>
  <c r="Z252" i="959"/>
  <c r="AB253" i="959"/>
  <c r="AI264" i="959"/>
  <c r="N678" i="959"/>
  <c r="L678" i="959"/>
  <c r="N706" i="959"/>
  <c r="L706" i="959"/>
  <c r="N720" i="959"/>
  <c r="L720" i="959"/>
  <c r="I731" i="959"/>
  <c r="I737" i="959"/>
  <c r="N754" i="959"/>
  <c r="L754" i="959"/>
  <c r="AG293" i="959"/>
  <c r="AG297" i="959"/>
  <c r="AG287" i="959"/>
  <c r="AG279" i="959"/>
  <c r="AG271" i="959"/>
  <c r="AG263" i="959"/>
  <c r="AG294" i="959"/>
  <c r="AG292" i="959"/>
  <c r="AG278" i="959"/>
  <c r="AG270" i="959"/>
  <c r="AG289" i="959"/>
  <c r="AG285" i="959"/>
  <c r="AG277" i="959"/>
  <c r="AG269" i="959"/>
  <c r="AG261" i="959"/>
  <c r="AG253" i="959"/>
  <c r="AG284" i="959"/>
  <c r="AG276" i="959"/>
  <c r="AG268" i="959"/>
  <c r="AG260" i="959"/>
  <c r="AG296" i="959"/>
  <c r="AG291" i="959"/>
  <c r="AG286" i="959"/>
  <c r="AG283" i="959"/>
  <c r="AG275" i="959"/>
  <c r="AG267" i="959"/>
  <c r="AG288" i="959"/>
  <c r="AG282" i="959"/>
  <c r="AG274" i="959"/>
  <c r="AG295" i="959"/>
  <c r="AG281" i="959"/>
  <c r="AG273" i="959"/>
  <c r="AG265" i="959"/>
  <c r="AG257" i="959"/>
  <c r="AG290" i="959"/>
  <c r="AG280" i="959"/>
  <c r="AG272" i="959"/>
  <c r="AG264" i="959"/>
  <c r="AG256" i="959"/>
  <c r="AI233" i="959"/>
  <c r="AI235" i="959"/>
  <c r="AI237" i="959"/>
  <c r="AG239" i="959"/>
  <c r="AD240" i="959"/>
  <c r="AB242" i="959"/>
  <c r="AI245" i="959"/>
  <c r="AH246" i="959"/>
  <c r="AG247" i="959"/>
  <c r="AD248" i="959"/>
  <c r="AB250" i="959"/>
  <c r="AH257" i="959"/>
  <c r="AD260" i="959"/>
  <c r="AB261" i="959"/>
  <c r="AH265" i="959"/>
  <c r="AG266" i="959"/>
  <c r="AD267" i="959"/>
  <c r="N558" i="959"/>
  <c r="L558" i="959"/>
  <c r="N574" i="959"/>
  <c r="L574" i="959"/>
  <c r="N616" i="959"/>
  <c r="L616" i="959"/>
  <c r="N664" i="959"/>
  <c r="L664" i="959"/>
  <c r="AE144" i="959"/>
  <c r="I676" i="959" s="1"/>
  <c r="L719" i="959"/>
  <c r="N719" i="959"/>
  <c r="L733" i="959"/>
  <c r="N733" i="959"/>
  <c r="N753" i="959"/>
  <c r="L753" i="959"/>
  <c r="N768" i="959"/>
  <c r="L768" i="959"/>
  <c r="L759" i="959" s="1"/>
  <c r="N759" i="959"/>
  <c r="AG230" i="959"/>
  <c r="AD234" i="959"/>
  <c r="AD236" i="959"/>
  <c r="AI238" i="959"/>
  <c r="AH239" i="959"/>
  <c r="AG240" i="959"/>
  <c r="AD241" i="959"/>
  <c r="AB243" i="959"/>
  <c r="Z245" i="959"/>
  <c r="AI246" i="959"/>
  <c r="AG248" i="959"/>
  <c r="AD249" i="959"/>
  <c r="AD253" i="959"/>
  <c r="AD255" i="959"/>
  <c r="AI257" i="959"/>
  <c r="AI260" i="959"/>
  <c r="AB262" i="959"/>
  <c r="F266" i="959"/>
  <c r="F290" i="959"/>
  <c r="F294" i="959"/>
  <c r="L538" i="959"/>
  <c r="L575" i="959"/>
  <c r="N712" i="959"/>
  <c r="L712" i="959"/>
  <c r="N538" i="959"/>
  <c r="N542" i="959"/>
  <c r="L542" i="959"/>
  <c r="L544" i="959"/>
  <c r="L561" i="959"/>
  <c r="N622" i="959"/>
  <c r="L622" i="959"/>
  <c r="L582" i="959"/>
  <c r="L612" i="959"/>
  <c r="L541" i="959"/>
  <c r="L543" i="959"/>
  <c r="L606" i="959"/>
  <c r="L742" i="959"/>
  <c r="N742" i="959"/>
  <c r="L784" i="959"/>
  <c r="N784" i="959"/>
  <c r="L696" i="959"/>
  <c r="N740" i="959"/>
  <c r="L682" i="959"/>
  <c r="N774" i="959"/>
  <c r="L776" i="959"/>
  <c r="N778" i="959"/>
  <c r="L143" i="958"/>
  <c r="B143" i="958"/>
  <c r="L152" i="957"/>
  <c r="L208" i="957"/>
  <c r="L174" i="955"/>
  <c r="L172" i="957"/>
  <c r="L151" i="957"/>
  <c r="L178" i="957"/>
  <c r="N503" i="958"/>
  <c r="L503" i="958"/>
  <c r="AF91" i="958"/>
  <c r="I443" i="958" s="1"/>
  <c r="AF90" i="958"/>
  <c r="I428" i="958" s="1"/>
  <c r="AF88" i="958"/>
  <c r="I398" i="958" s="1"/>
  <c r="AF92" i="958"/>
  <c r="I458" i="958" s="1"/>
  <c r="AF89" i="958"/>
  <c r="I413" i="958" s="1"/>
  <c r="AF145" i="958"/>
  <c r="I698" i="958" s="1"/>
  <c r="AF142" i="958"/>
  <c r="I653" i="958" s="1"/>
  <c r="AF143" i="958"/>
  <c r="I668" i="958" s="1"/>
  <c r="AF144" i="958"/>
  <c r="I683" i="958" s="1"/>
  <c r="N669" i="958" s="1"/>
  <c r="AF141" i="958"/>
  <c r="I638" i="958" s="1"/>
  <c r="AV3" i="958"/>
  <c r="L824" i="958"/>
  <c r="L804" i="958"/>
  <c r="L1077" i="958"/>
  <c r="L912" i="958"/>
  <c r="L965" i="958"/>
  <c r="L1145" i="958"/>
  <c r="L1025" i="958"/>
  <c r="L1021" i="958"/>
  <c r="L856" i="958"/>
  <c r="L908" i="958"/>
  <c r="P170" i="958"/>
  <c r="W221" i="958"/>
  <c r="V165" i="958"/>
  <c r="H22" i="958"/>
  <c r="K5" i="958"/>
  <c r="B22" i="958"/>
  <c r="W2" i="958"/>
  <c r="K36" i="958"/>
  <c r="A22" i="958"/>
  <c r="AC5" i="958"/>
  <c r="J36" i="958"/>
  <c r="H62" i="958"/>
  <c r="H36" i="958"/>
  <c r="H15" i="958"/>
  <c r="U79" i="958"/>
  <c r="B36" i="958"/>
  <c r="H12" i="958"/>
  <c r="W5" i="958"/>
  <c r="U130" i="958"/>
  <c r="V108" i="958"/>
  <c r="A36" i="958"/>
  <c r="J22" i="958"/>
  <c r="C678" i="958"/>
  <c r="C573" i="958"/>
  <c r="C484" i="958"/>
  <c r="C394" i="958"/>
  <c r="C454" i="958"/>
  <c r="C349" i="958"/>
  <c r="I111" i="958"/>
  <c r="I109" i="958"/>
  <c r="I113" i="958"/>
  <c r="I112" i="958"/>
  <c r="I110" i="958"/>
  <c r="AF84" i="958"/>
  <c r="I368" i="958" s="1"/>
  <c r="AF81" i="958"/>
  <c r="I323" i="958" s="1"/>
  <c r="P13" i="958"/>
  <c r="AE16" i="958"/>
  <c r="AK26" i="958"/>
  <c r="N67" i="958"/>
  <c r="I1060" i="958"/>
  <c r="I1036" i="958"/>
  <c r="I936" i="958"/>
  <c r="I1067" i="958"/>
  <c r="I915" i="958"/>
  <c r="I1065" i="958"/>
  <c r="I938" i="958"/>
  <c r="I1064" i="958"/>
  <c r="I1059" i="958"/>
  <c r="I1055" i="958"/>
  <c r="I1051" i="958"/>
  <c r="I931" i="958"/>
  <c r="I937" i="958"/>
  <c r="I1058" i="958"/>
  <c r="I1054" i="958"/>
  <c r="I1050" i="958"/>
  <c r="I935" i="958"/>
  <c r="I1057" i="958"/>
  <c r="I1053" i="958"/>
  <c r="I1049" i="958"/>
  <c r="I929" i="958"/>
  <c r="I1066" i="958"/>
  <c r="I1056" i="958"/>
  <c r="I1052" i="958"/>
  <c r="I928" i="958"/>
  <c r="I1068" i="958"/>
  <c r="I1031" i="958"/>
  <c r="I911" i="958"/>
  <c r="N334" i="958"/>
  <c r="L334" i="958"/>
  <c r="N345" i="958"/>
  <c r="L345" i="958"/>
  <c r="L360" i="958"/>
  <c r="N360" i="958"/>
  <c r="N381" i="958"/>
  <c r="L381" i="958"/>
  <c r="N394" i="958"/>
  <c r="L394" i="958"/>
  <c r="N430" i="958"/>
  <c r="L430" i="958"/>
  <c r="AJ91" i="958"/>
  <c r="I442" i="958" s="1"/>
  <c r="L463" i="958"/>
  <c r="N463" i="958"/>
  <c r="N493" i="958"/>
  <c r="L493" i="958"/>
  <c r="L510" i="958"/>
  <c r="N510" i="958"/>
  <c r="AF134" i="958"/>
  <c r="I578" i="958" s="1"/>
  <c r="L586" i="958"/>
  <c r="N586" i="958"/>
  <c r="N599" i="958"/>
  <c r="L599" i="958"/>
  <c r="B210" i="958"/>
  <c r="B202" i="958"/>
  <c r="B194" i="958"/>
  <c r="B184" i="958"/>
  <c r="B182" i="958"/>
  <c r="B176" i="958"/>
  <c r="B164" i="958"/>
  <c r="B153" i="958"/>
  <c r="B149" i="958"/>
  <c r="B209" i="958"/>
  <c r="B201" i="958"/>
  <c r="B193" i="958"/>
  <c r="B181" i="958"/>
  <c r="B173" i="958"/>
  <c r="B170" i="958"/>
  <c r="B148" i="958"/>
  <c r="B216" i="958"/>
  <c r="B208" i="958"/>
  <c r="B200" i="958"/>
  <c r="B192" i="958"/>
  <c r="B186" i="958"/>
  <c r="B180" i="958"/>
  <c r="B169" i="958"/>
  <c r="B161" i="958"/>
  <c r="B156" i="958"/>
  <c r="B152" i="958"/>
  <c r="B215" i="958"/>
  <c r="B207" i="958"/>
  <c r="B199" i="958"/>
  <c r="B191" i="958"/>
  <c r="B179" i="958"/>
  <c r="B175" i="958"/>
  <c r="B168" i="958"/>
  <c r="B163" i="958"/>
  <c r="B155" i="958"/>
  <c r="B144" i="958"/>
  <c r="B139" i="958"/>
  <c r="B214" i="958"/>
  <c r="B206" i="958"/>
  <c r="B198" i="958"/>
  <c r="B190" i="958"/>
  <c r="B183" i="958"/>
  <c r="B178" i="958"/>
  <c r="B172" i="958"/>
  <c r="B167" i="958"/>
  <c r="B160" i="958"/>
  <c r="B151" i="958"/>
  <c r="B213" i="958"/>
  <c r="B205" i="958"/>
  <c r="B197" i="958"/>
  <c r="B189" i="958"/>
  <c r="B185" i="958"/>
  <c r="B177" i="958"/>
  <c r="B171" i="958"/>
  <c r="B166" i="958"/>
  <c r="B159" i="958"/>
  <c r="B147" i="958"/>
  <c r="B145" i="958"/>
  <c r="B141" i="958"/>
  <c r="B138" i="958"/>
  <c r="B212" i="958"/>
  <c r="B204" i="958"/>
  <c r="B196" i="958"/>
  <c r="B188" i="958"/>
  <c r="B174" i="958"/>
  <c r="B162" i="958"/>
  <c r="B158" i="958"/>
  <c r="B154" i="958"/>
  <c r="B150" i="958"/>
  <c r="B140" i="958"/>
  <c r="N137" i="958"/>
  <c r="B137" i="958"/>
  <c r="B211" i="958"/>
  <c r="B203" i="958"/>
  <c r="B195" i="958"/>
  <c r="B187" i="958"/>
  <c r="B165" i="958"/>
  <c r="B157" i="958"/>
  <c r="B146" i="958"/>
  <c r="B142" i="958"/>
  <c r="L137" i="958"/>
  <c r="F139" i="958"/>
  <c r="F145" i="958"/>
  <c r="N148" i="958"/>
  <c r="L148" i="958"/>
  <c r="F155" i="958"/>
  <c r="F173" i="958"/>
  <c r="F177" i="958"/>
  <c r="F216" i="958"/>
  <c r="F235" i="958"/>
  <c r="B68" i="958"/>
  <c r="I914" i="958"/>
  <c r="I939" i="958"/>
  <c r="I930" i="958"/>
  <c r="I933" i="958"/>
  <c r="I932" i="958"/>
  <c r="N320" i="958"/>
  <c r="L320" i="958"/>
  <c r="N327" i="958"/>
  <c r="L327" i="958"/>
  <c r="N344" i="958"/>
  <c r="L344" i="958"/>
  <c r="N375" i="958"/>
  <c r="L375" i="958"/>
  <c r="N387" i="958"/>
  <c r="L387" i="958"/>
  <c r="I395" i="958"/>
  <c r="AJ88" i="958"/>
  <c r="I397" i="958" s="1"/>
  <c r="L409" i="958"/>
  <c r="N409" i="958"/>
  <c r="F410" i="958"/>
  <c r="AH89" i="958"/>
  <c r="N436" i="958"/>
  <c r="L436" i="958"/>
  <c r="L479" i="958"/>
  <c r="N479" i="958"/>
  <c r="N495" i="958"/>
  <c r="L495" i="958"/>
  <c r="N509" i="958"/>
  <c r="L509" i="958"/>
  <c r="N529" i="958"/>
  <c r="L529" i="958"/>
  <c r="I102" i="958"/>
  <c r="N559" i="958"/>
  <c r="L559" i="958"/>
  <c r="AF135" i="958"/>
  <c r="I593" i="958" s="1"/>
  <c r="N579" i="958" s="1"/>
  <c r="L646" i="958"/>
  <c r="N143" i="958"/>
  <c r="F159" i="958"/>
  <c r="F181" i="958"/>
  <c r="F186" i="958"/>
  <c r="F197" i="958"/>
  <c r="F201" i="958"/>
  <c r="F215" i="958"/>
  <c r="F227" i="958"/>
  <c r="N623" i="958"/>
  <c r="L623" i="958"/>
  <c r="I918" i="958"/>
  <c r="I1038" i="958"/>
  <c r="I1041" i="958"/>
  <c r="I921" i="958"/>
  <c r="AF75" i="958"/>
  <c r="L312" i="958"/>
  <c r="N312" i="958"/>
  <c r="F322" i="958"/>
  <c r="N325" i="958"/>
  <c r="L325" i="958"/>
  <c r="AF83" i="958"/>
  <c r="I353" i="958" s="1"/>
  <c r="N374" i="958"/>
  <c r="L374" i="958"/>
  <c r="I1323" i="958"/>
  <c r="I1321" i="958"/>
  <c r="I1320" i="958"/>
  <c r="N385" i="958"/>
  <c r="L385" i="958"/>
  <c r="N415" i="958"/>
  <c r="L415" i="958"/>
  <c r="N433" i="958"/>
  <c r="L433" i="958"/>
  <c r="AF96" i="958"/>
  <c r="I488" i="958" s="1"/>
  <c r="L494" i="958"/>
  <c r="N494" i="958"/>
  <c r="N520" i="958"/>
  <c r="L520" i="958"/>
  <c r="N519" i="958"/>
  <c r="N558" i="958"/>
  <c r="L558" i="958"/>
  <c r="L574" i="958"/>
  <c r="N574" i="958"/>
  <c r="AF136" i="958"/>
  <c r="I608" i="958" s="1"/>
  <c r="F171" i="958"/>
  <c r="F208" i="958"/>
  <c r="F232" i="958"/>
  <c r="N69" i="958"/>
  <c r="I1029" i="958"/>
  <c r="I909" i="958"/>
  <c r="I1048" i="958"/>
  <c r="B319" i="958"/>
  <c r="B313" i="958"/>
  <c r="L310" i="958"/>
  <c r="B316" i="958"/>
  <c r="B314" i="958"/>
  <c r="B310" i="958"/>
  <c r="B312" i="958"/>
  <c r="B320" i="958"/>
  <c r="B315" i="958"/>
  <c r="N310" i="958"/>
  <c r="AJ81" i="958"/>
  <c r="I322" i="958" s="1"/>
  <c r="N331" i="958"/>
  <c r="L331" i="958"/>
  <c r="N349" i="958"/>
  <c r="L349" i="958"/>
  <c r="F350" i="958"/>
  <c r="AH83" i="958"/>
  <c r="N364" i="958"/>
  <c r="L364" i="958"/>
  <c r="AH84" i="958"/>
  <c r="AF85" i="958"/>
  <c r="I383" i="958" s="1"/>
  <c r="N421" i="958"/>
  <c r="L421" i="958"/>
  <c r="N449" i="958"/>
  <c r="L449" i="958"/>
  <c r="N484" i="958"/>
  <c r="L484" i="958"/>
  <c r="L523" i="958"/>
  <c r="N523" i="958"/>
  <c r="C116" i="958"/>
  <c r="N120" i="958"/>
  <c r="N618" i="958"/>
  <c r="L618" i="958"/>
  <c r="F141" i="958"/>
  <c r="F166" i="958"/>
  <c r="F180" i="958"/>
  <c r="F185" i="958"/>
  <c r="F189" i="958"/>
  <c r="F193" i="958"/>
  <c r="F207" i="958"/>
  <c r="AF95" i="958"/>
  <c r="I473" i="958" s="1"/>
  <c r="AF98" i="958"/>
  <c r="I518" i="958" s="1"/>
  <c r="I106" i="958"/>
  <c r="I105" i="958"/>
  <c r="I104" i="958"/>
  <c r="I107" i="958"/>
  <c r="L316" i="958"/>
  <c r="N316" i="958"/>
  <c r="N328" i="958"/>
  <c r="L328" i="958"/>
  <c r="F336" i="958"/>
  <c r="AL82" i="958"/>
  <c r="I336" i="958" s="1"/>
  <c r="N357" i="958"/>
  <c r="L357" i="958"/>
  <c r="N379" i="958"/>
  <c r="L379" i="958"/>
  <c r="N418" i="958"/>
  <c r="L418" i="958"/>
  <c r="N469" i="958"/>
  <c r="L469" i="958"/>
  <c r="N477" i="958"/>
  <c r="L477" i="958"/>
  <c r="N499" i="958"/>
  <c r="L499" i="958"/>
  <c r="F500" i="958"/>
  <c r="AH97" i="958"/>
  <c r="N525" i="958"/>
  <c r="L525" i="958"/>
  <c r="L613" i="958"/>
  <c r="N613" i="958"/>
  <c r="F138" i="958"/>
  <c r="C117" i="958"/>
  <c r="F143" i="958"/>
  <c r="F152" i="958"/>
  <c r="F170" i="958"/>
  <c r="F179" i="958"/>
  <c r="F200" i="958"/>
  <c r="F228" i="958"/>
  <c r="F240" i="958"/>
  <c r="N313" i="958"/>
  <c r="L313" i="958"/>
  <c r="AL81" i="958"/>
  <c r="I321" i="958" s="1"/>
  <c r="N355" i="958"/>
  <c r="L355" i="958"/>
  <c r="N372" i="958"/>
  <c r="L372" i="958"/>
  <c r="AH85" i="958"/>
  <c r="N403" i="958"/>
  <c r="L403" i="958"/>
  <c r="L420" i="958"/>
  <c r="N420" i="958"/>
  <c r="N454" i="958"/>
  <c r="L454" i="958"/>
  <c r="N462" i="958"/>
  <c r="L462" i="958"/>
  <c r="I476" i="958"/>
  <c r="I482" i="958"/>
  <c r="I506" i="958"/>
  <c r="I512" i="958"/>
  <c r="D137" i="958"/>
  <c r="I83" i="958" s="1"/>
  <c r="L615" i="958"/>
  <c r="N615" i="958"/>
  <c r="N138" i="958"/>
  <c r="L138" i="958"/>
  <c r="F144" i="958"/>
  <c r="I694" i="958"/>
  <c r="AE145" i="958"/>
  <c r="I691" i="958" s="1"/>
  <c r="F148" i="958"/>
  <c r="F149" i="958"/>
  <c r="L703" i="958"/>
  <c r="N703" i="958"/>
  <c r="F199" i="958"/>
  <c r="F213" i="958"/>
  <c r="F237" i="958"/>
  <c r="AF149" i="958"/>
  <c r="I713" i="958" s="1"/>
  <c r="AF152" i="958"/>
  <c r="I758" i="958" s="1"/>
  <c r="AF151" i="958"/>
  <c r="I743" i="958" s="1"/>
  <c r="AF150" i="958"/>
  <c r="I728" i="958" s="1"/>
  <c r="I1030" i="958"/>
  <c r="I910" i="958"/>
  <c r="AD75" i="958"/>
  <c r="N315" i="958"/>
  <c r="L315" i="958"/>
  <c r="N346" i="958"/>
  <c r="L346" i="958"/>
  <c r="N361" i="958"/>
  <c r="L361" i="958"/>
  <c r="N370" i="958"/>
  <c r="L370" i="958"/>
  <c r="N389" i="958"/>
  <c r="L389" i="958"/>
  <c r="N405" i="958"/>
  <c r="L405" i="958"/>
  <c r="N419" i="958"/>
  <c r="L419" i="958"/>
  <c r="L439" i="958"/>
  <c r="N439" i="958"/>
  <c r="N440" i="958"/>
  <c r="L440" i="958"/>
  <c r="N447" i="958"/>
  <c r="L447" i="958"/>
  <c r="I455" i="958"/>
  <c r="AJ92" i="958"/>
  <c r="I457" i="958" s="1"/>
  <c r="I467" i="958"/>
  <c r="I461" i="958"/>
  <c r="N511" i="958"/>
  <c r="L511" i="958"/>
  <c r="I103" i="958"/>
  <c r="I108" i="958"/>
  <c r="L569" i="958"/>
  <c r="N569" i="958"/>
  <c r="L585" i="958"/>
  <c r="N585" i="958"/>
  <c r="N598" i="958"/>
  <c r="L598" i="958"/>
  <c r="N614" i="958"/>
  <c r="L614" i="958"/>
  <c r="N140" i="958"/>
  <c r="L140" i="958"/>
  <c r="I634" i="958"/>
  <c r="AE141" i="958"/>
  <c r="I631" i="958" s="1"/>
  <c r="F147" i="958"/>
  <c r="F161" i="958"/>
  <c r="F163" i="958"/>
  <c r="F169" i="958"/>
  <c r="F175" i="958"/>
  <c r="F192" i="958"/>
  <c r="F226" i="958"/>
  <c r="F230" i="958"/>
  <c r="F285" i="958"/>
  <c r="F277" i="958"/>
  <c r="F269" i="958"/>
  <c r="F261" i="958"/>
  <c r="F253" i="958"/>
  <c r="F290" i="958"/>
  <c r="F287" i="958"/>
  <c r="F284" i="958"/>
  <c r="F276" i="958"/>
  <c r="F268" i="958"/>
  <c r="F260" i="958"/>
  <c r="F289" i="958"/>
  <c r="F283" i="958"/>
  <c r="F275" i="958"/>
  <c r="F267" i="958"/>
  <c r="F259" i="958"/>
  <c r="F295" i="958"/>
  <c r="F281" i="958"/>
  <c r="F273" i="958"/>
  <c r="F265" i="958"/>
  <c r="F257" i="958"/>
  <c r="F249" i="958"/>
  <c r="F288" i="958"/>
  <c r="F280" i="958"/>
  <c r="F272" i="958"/>
  <c r="F264" i="958"/>
  <c r="F256" i="958"/>
  <c r="F293" i="958"/>
  <c r="F292" i="958"/>
  <c r="F243" i="958"/>
  <c r="F231" i="958"/>
  <c r="F225" i="958"/>
  <c r="F214" i="958"/>
  <c r="F206" i="958"/>
  <c r="F198" i="958"/>
  <c r="F190" i="958"/>
  <c r="F183" i="958"/>
  <c r="F178" i="958"/>
  <c r="F172" i="958"/>
  <c r="F167" i="958"/>
  <c r="F160" i="958"/>
  <c r="F151" i="958"/>
  <c r="F251" i="958"/>
  <c r="F244" i="958"/>
  <c r="F239" i="958"/>
  <c r="F212" i="958"/>
  <c r="F204" i="958"/>
  <c r="F196" i="958"/>
  <c r="F188" i="958"/>
  <c r="F174" i="958"/>
  <c r="F162" i="958"/>
  <c r="F158" i="958"/>
  <c r="F154" i="958"/>
  <c r="F150" i="958"/>
  <c r="F140" i="958"/>
  <c r="F241" i="958"/>
  <c r="F238" i="958"/>
  <c r="F236" i="958"/>
  <c r="F234" i="958"/>
  <c r="F211" i="958"/>
  <c r="F203" i="958"/>
  <c r="F195" i="958"/>
  <c r="F187" i="958"/>
  <c r="F165" i="958"/>
  <c r="F157" i="958"/>
  <c r="F146" i="958"/>
  <c r="F142" i="958"/>
  <c r="F247" i="958"/>
  <c r="F245" i="958"/>
  <c r="F233" i="958"/>
  <c r="F229" i="958"/>
  <c r="F210" i="958"/>
  <c r="F202" i="958"/>
  <c r="F194" i="958"/>
  <c r="F184" i="958"/>
  <c r="F182" i="958"/>
  <c r="F176" i="958"/>
  <c r="F164" i="958"/>
  <c r="F153" i="958"/>
  <c r="I115" i="958"/>
  <c r="F252" i="958"/>
  <c r="F248" i="958"/>
  <c r="U12" i="958"/>
  <c r="B67" i="958"/>
  <c r="B63" i="958"/>
  <c r="B69" i="958"/>
  <c r="N314" i="958"/>
  <c r="L314" i="958"/>
  <c r="AF82" i="958"/>
  <c r="I338" i="958" s="1"/>
  <c r="L343" i="958"/>
  <c r="N343" i="958"/>
  <c r="AL83" i="958"/>
  <c r="I351" i="958" s="1"/>
  <c r="N358" i="958"/>
  <c r="L358" i="958"/>
  <c r="AL84" i="958"/>
  <c r="I366" i="958" s="1"/>
  <c r="N404" i="958"/>
  <c r="L404" i="958"/>
  <c r="N432" i="958"/>
  <c r="L432" i="958"/>
  <c r="N445" i="958"/>
  <c r="L445" i="958"/>
  <c r="N466" i="958"/>
  <c r="L466" i="958"/>
  <c r="N508" i="958"/>
  <c r="L508" i="958"/>
  <c r="AF133" i="958"/>
  <c r="I563" i="958" s="1"/>
  <c r="N549" i="958" s="1"/>
  <c r="AE134" i="958"/>
  <c r="I571" i="958" s="1"/>
  <c r="N584" i="958"/>
  <c r="L584" i="958"/>
  <c r="L600" i="958"/>
  <c r="N600" i="958"/>
  <c r="F137" i="958"/>
  <c r="L616" i="958"/>
  <c r="F156" i="958"/>
  <c r="F168" i="958"/>
  <c r="F191" i="958"/>
  <c r="F205" i="958"/>
  <c r="F209" i="958"/>
  <c r="N330" i="958"/>
  <c r="L330" i="958"/>
  <c r="N342" i="958"/>
  <c r="L342" i="958"/>
  <c r="N359" i="958"/>
  <c r="L359" i="958"/>
  <c r="N376" i="958"/>
  <c r="L376" i="958"/>
  <c r="N391" i="958"/>
  <c r="L391" i="958"/>
  <c r="N402" i="958"/>
  <c r="L402" i="958"/>
  <c r="N435" i="958"/>
  <c r="L435" i="958"/>
  <c r="N451" i="958"/>
  <c r="L451" i="958"/>
  <c r="L465" i="958"/>
  <c r="N465" i="958"/>
  <c r="N481" i="958"/>
  <c r="L481" i="958"/>
  <c r="N492" i="958"/>
  <c r="L492" i="958"/>
  <c r="L524" i="958"/>
  <c r="N524" i="958"/>
  <c r="N553" i="958"/>
  <c r="L553" i="958"/>
  <c r="N573" i="958"/>
  <c r="L573" i="958"/>
  <c r="L589" i="958"/>
  <c r="N589" i="958"/>
  <c r="L663" i="958"/>
  <c r="N663" i="958"/>
  <c r="L709" i="958"/>
  <c r="N709" i="958"/>
  <c r="L150" i="958"/>
  <c r="AE150" i="958"/>
  <c r="I721" i="958" s="1"/>
  <c r="L735" i="958"/>
  <c r="N735" i="958"/>
  <c r="I752" i="958"/>
  <c r="I746" i="958"/>
  <c r="L154" i="958"/>
  <c r="L158" i="958"/>
  <c r="L162" i="958"/>
  <c r="L174" i="958"/>
  <c r="AB182" i="958"/>
  <c r="AB184" i="958"/>
  <c r="AD184" i="958" s="1"/>
  <c r="L188" i="958"/>
  <c r="L196" i="958"/>
  <c r="L204" i="958"/>
  <c r="L212" i="958"/>
  <c r="AI229" i="958"/>
  <c r="AJ229" i="958" s="1"/>
  <c r="I227" i="958" s="1"/>
  <c r="N227" i="958" s="1"/>
  <c r="AH230" i="958"/>
  <c r="AH290" i="958"/>
  <c r="AH297" i="958"/>
  <c r="AH295" i="958"/>
  <c r="AH286" i="958"/>
  <c r="AH283" i="958"/>
  <c r="AH275" i="958"/>
  <c r="AH267" i="958"/>
  <c r="AH259" i="958"/>
  <c r="AH251" i="958"/>
  <c r="AH288" i="958"/>
  <c r="AH282" i="958"/>
  <c r="AH274" i="958"/>
  <c r="AH266" i="958"/>
  <c r="AH258" i="958"/>
  <c r="AH294" i="958"/>
  <c r="AH281" i="958"/>
  <c r="AH273" i="958"/>
  <c r="AH265" i="958"/>
  <c r="AH257" i="958"/>
  <c r="AH292" i="958"/>
  <c r="AH280" i="958"/>
  <c r="AH272" i="958"/>
  <c r="AH264" i="958"/>
  <c r="AH256" i="958"/>
  <c r="AH248" i="958"/>
  <c r="AH240" i="958"/>
  <c r="AH293" i="958"/>
  <c r="AH287" i="958"/>
  <c r="AH279" i="958"/>
  <c r="AH271" i="958"/>
  <c r="AH263" i="958"/>
  <c r="AH255" i="958"/>
  <c r="AH247" i="958"/>
  <c r="AH278" i="958"/>
  <c r="AH270" i="958"/>
  <c r="AH262" i="958"/>
  <c r="AH254" i="958"/>
  <c r="AH296" i="958"/>
  <c r="AH291" i="958"/>
  <c r="AH289" i="958"/>
  <c r="AH285" i="958"/>
  <c r="AH277" i="958"/>
  <c r="AH269" i="958"/>
  <c r="AH261" i="958"/>
  <c r="AH253" i="958"/>
  <c r="AH284" i="958"/>
  <c r="AH276" i="958"/>
  <c r="AH268" i="958"/>
  <c r="AH260" i="958"/>
  <c r="AH252" i="958"/>
  <c r="AH244" i="958"/>
  <c r="AG234" i="958"/>
  <c r="AG236" i="958"/>
  <c r="AI239" i="958"/>
  <c r="AG242" i="958"/>
  <c r="AH243" i="958"/>
  <c r="AI249" i="958"/>
  <c r="I913" i="958"/>
  <c r="I1034" i="958"/>
  <c r="I908" i="958"/>
  <c r="I1028" i="958"/>
  <c r="L319" i="958"/>
  <c r="N319" i="958"/>
  <c r="F320" i="958"/>
  <c r="L329" i="958"/>
  <c r="N329" i="958"/>
  <c r="N340" i="958"/>
  <c r="L340" i="958"/>
  <c r="N373" i="958"/>
  <c r="L373" i="958"/>
  <c r="N388" i="958"/>
  <c r="L388" i="958"/>
  <c r="N400" i="958"/>
  <c r="L400" i="958"/>
  <c r="N424" i="958"/>
  <c r="L424" i="958"/>
  <c r="N434" i="958"/>
  <c r="L434" i="958"/>
  <c r="N448" i="958"/>
  <c r="L448" i="958"/>
  <c r="N464" i="958"/>
  <c r="L464" i="958"/>
  <c r="N478" i="958"/>
  <c r="L478" i="958"/>
  <c r="I491" i="958"/>
  <c r="I497" i="958"/>
  <c r="L514" i="958"/>
  <c r="N514" i="958"/>
  <c r="N555" i="958"/>
  <c r="L555" i="958"/>
  <c r="L568" i="958"/>
  <c r="N568" i="958"/>
  <c r="L588" i="958"/>
  <c r="N588" i="958"/>
  <c r="L604" i="958"/>
  <c r="N604" i="958"/>
  <c r="L141" i="958"/>
  <c r="N649" i="958"/>
  <c r="L649" i="958"/>
  <c r="AE143" i="958"/>
  <c r="I661" i="958" s="1"/>
  <c r="L145" i="958"/>
  <c r="L147" i="958"/>
  <c r="L708" i="958"/>
  <c r="N708" i="958"/>
  <c r="N734" i="958"/>
  <c r="L734" i="958"/>
  <c r="N748" i="958"/>
  <c r="L748" i="958"/>
  <c r="L159" i="958"/>
  <c r="L166" i="958"/>
  <c r="L171" i="958"/>
  <c r="L177" i="958"/>
  <c r="L185" i="958"/>
  <c r="L189" i="958"/>
  <c r="L197" i="958"/>
  <c r="L205" i="958"/>
  <c r="L213" i="958"/>
  <c r="Z281" i="958"/>
  <c r="Z273" i="958"/>
  <c r="Z265" i="958"/>
  <c r="Z257" i="958"/>
  <c r="Z249" i="958"/>
  <c r="Z280" i="958"/>
  <c r="Z272" i="958"/>
  <c r="Z264" i="958"/>
  <c r="Z256" i="958"/>
  <c r="Z279" i="958"/>
  <c r="Z271" i="958"/>
  <c r="Z263" i="958"/>
  <c r="Z255" i="958"/>
  <c r="Z278" i="958"/>
  <c r="Z270" i="958"/>
  <c r="Z262" i="958"/>
  <c r="Z254" i="958"/>
  <c r="Z246" i="958"/>
  <c r="Z285" i="958"/>
  <c r="Z277" i="958"/>
  <c r="Z269" i="958"/>
  <c r="Z261" i="958"/>
  <c r="Z253" i="958"/>
  <c r="Z245" i="958"/>
  <c r="Z284" i="958"/>
  <c r="Z276" i="958"/>
  <c r="Z268" i="958"/>
  <c r="Z260" i="958"/>
  <c r="Z252" i="958"/>
  <c r="Z283" i="958"/>
  <c r="Z275" i="958"/>
  <c r="Z267" i="958"/>
  <c r="Z259" i="958"/>
  <c r="Z251" i="958"/>
  <c r="Z282" i="958"/>
  <c r="Z274" i="958"/>
  <c r="Z266" i="958"/>
  <c r="Z258" i="958"/>
  <c r="Z250" i="958"/>
  <c r="Z242" i="958"/>
  <c r="AB233" i="958"/>
  <c r="AH234" i="958"/>
  <c r="AB235" i="958"/>
  <c r="AH236" i="958"/>
  <c r="AB237" i="958"/>
  <c r="Z239" i="958"/>
  <c r="Z240" i="958"/>
  <c r="AB241" i="958"/>
  <c r="AH242" i="958"/>
  <c r="Z244" i="958"/>
  <c r="AD245" i="958"/>
  <c r="AD247" i="958"/>
  <c r="F250" i="958"/>
  <c r="AG250" i="958"/>
  <c r="F255" i="958"/>
  <c r="F263" i="958"/>
  <c r="F271" i="958"/>
  <c r="F279" i="958"/>
  <c r="N390" i="958"/>
  <c r="L390" i="958"/>
  <c r="L406" i="958"/>
  <c r="N406" i="958"/>
  <c r="N417" i="958"/>
  <c r="L417" i="958"/>
  <c r="N450" i="958"/>
  <c r="L450" i="958"/>
  <c r="N480" i="958"/>
  <c r="L480" i="958"/>
  <c r="N496" i="958"/>
  <c r="L496" i="958"/>
  <c r="N507" i="958"/>
  <c r="L507" i="958"/>
  <c r="N554" i="958"/>
  <c r="L554" i="958"/>
  <c r="N570" i="958"/>
  <c r="L570" i="958"/>
  <c r="N583" i="958"/>
  <c r="L583" i="958"/>
  <c r="N603" i="958"/>
  <c r="L603" i="958"/>
  <c r="N619" i="958"/>
  <c r="L619" i="958"/>
  <c r="N648" i="958"/>
  <c r="L648" i="958"/>
  <c r="I701" i="958"/>
  <c r="I707" i="958"/>
  <c r="N724" i="958"/>
  <c r="L724" i="958"/>
  <c r="AE151" i="958"/>
  <c r="I736" i="958" s="1"/>
  <c r="N750" i="958"/>
  <c r="L750" i="958"/>
  <c r="AI297" i="958"/>
  <c r="AI295" i="958"/>
  <c r="AI292" i="958"/>
  <c r="AI288" i="958"/>
  <c r="AI282" i="958"/>
  <c r="AI274" i="958"/>
  <c r="AI266" i="958"/>
  <c r="AI258" i="958"/>
  <c r="AI250" i="958"/>
  <c r="AI294" i="958"/>
  <c r="AI281" i="958"/>
  <c r="AI273" i="958"/>
  <c r="AI265" i="958"/>
  <c r="AI257" i="958"/>
  <c r="AI280" i="958"/>
  <c r="AI272" i="958"/>
  <c r="AI264" i="958"/>
  <c r="AI256" i="958"/>
  <c r="AI293" i="958"/>
  <c r="AI287" i="958"/>
  <c r="AI279" i="958"/>
  <c r="AI271" i="958"/>
  <c r="AI263" i="958"/>
  <c r="AI255" i="958"/>
  <c r="AI247" i="958"/>
  <c r="AI278" i="958"/>
  <c r="AI270" i="958"/>
  <c r="AI262" i="958"/>
  <c r="AI254" i="958"/>
  <c r="AI246" i="958"/>
  <c r="AI296" i="958"/>
  <c r="AI291" i="958"/>
  <c r="AI289" i="958"/>
  <c r="AI285" i="958"/>
  <c r="AI277" i="958"/>
  <c r="AI269" i="958"/>
  <c r="AI261" i="958"/>
  <c r="AI253" i="958"/>
  <c r="AI290" i="958"/>
  <c r="AI284" i="958"/>
  <c r="AI276" i="958"/>
  <c r="AI268" i="958"/>
  <c r="AI260" i="958"/>
  <c r="AI252" i="958"/>
  <c r="AI286" i="958"/>
  <c r="AI283" i="958"/>
  <c r="AI275" i="958"/>
  <c r="AI267" i="958"/>
  <c r="AI259" i="958"/>
  <c r="AI251" i="958"/>
  <c r="AI243" i="958"/>
  <c r="AI234" i="958"/>
  <c r="AI236" i="958"/>
  <c r="AI242" i="958"/>
  <c r="AH245" i="958"/>
  <c r="AG247" i="958"/>
  <c r="Z248" i="958"/>
  <c r="AH250" i="958"/>
  <c r="N723" i="958"/>
  <c r="L723" i="958"/>
  <c r="L749" i="958"/>
  <c r="N749" i="958"/>
  <c r="AB279" i="958"/>
  <c r="AB271" i="958"/>
  <c r="AB263" i="958"/>
  <c r="AB255" i="958"/>
  <c r="AB247" i="958"/>
  <c r="AB278" i="958"/>
  <c r="AB270" i="958"/>
  <c r="AB262" i="958"/>
  <c r="AB254" i="958"/>
  <c r="AB285" i="958"/>
  <c r="AB277" i="958"/>
  <c r="AB269" i="958"/>
  <c r="AB261" i="958"/>
  <c r="AB253" i="958"/>
  <c r="AB284" i="958"/>
  <c r="AB276" i="958"/>
  <c r="AB268" i="958"/>
  <c r="AB260" i="958"/>
  <c r="AB252" i="958"/>
  <c r="AB244" i="958"/>
  <c r="AB283" i="958"/>
  <c r="AB275" i="958"/>
  <c r="AB267" i="958"/>
  <c r="AB259" i="958"/>
  <c r="AB251" i="958"/>
  <c r="AB243" i="958"/>
  <c r="AB282" i="958"/>
  <c r="AB274" i="958"/>
  <c r="AB266" i="958"/>
  <c r="AB258" i="958"/>
  <c r="AB250" i="958"/>
  <c r="AB281" i="958"/>
  <c r="AB273" i="958"/>
  <c r="AB265" i="958"/>
  <c r="AB257" i="958"/>
  <c r="AB249" i="958"/>
  <c r="AB280" i="958"/>
  <c r="AB272" i="958"/>
  <c r="AB264" i="958"/>
  <c r="AB256" i="958"/>
  <c r="AB248" i="958"/>
  <c r="AB240" i="958"/>
  <c r="AB239" i="958"/>
  <c r="AI245" i="958"/>
  <c r="AB246" i="958"/>
  <c r="F254" i="958"/>
  <c r="F258" i="958"/>
  <c r="F262" i="958"/>
  <c r="F266" i="958"/>
  <c r="F270" i="958"/>
  <c r="F274" i="958"/>
  <c r="F278" i="958"/>
  <c r="F282" i="958"/>
  <c r="F286" i="958"/>
  <c r="N633" i="958"/>
  <c r="L633" i="958"/>
  <c r="N693" i="958"/>
  <c r="L693" i="958"/>
  <c r="L705" i="958"/>
  <c r="N705" i="958"/>
  <c r="I722" i="958"/>
  <c r="I716" i="958"/>
  <c r="L739" i="958"/>
  <c r="N739" i="958"/>
  <c r="AE152" i="958"/>
  <c r="I751" i="958" s="1"/>
  <c r="L192" i="958"/>
  <c r="L200" i="958"/>
  <c r="L208" i="958"/>
  <c r="L216" i="958"/>
  <c r="AI231" i="958"/>
  <c r="AG233" i="958"/>
  <c r="AG235" i="958"/>
  <c r="AG237" i="958"/>
  <c r="AD238" i="958"/>
  <c r="AD240" i="958"/>
  <c r="AH241" i="958"/>
  <c r="AD244" i="958"/>
  <c r="F246" i="958"/>
  <c r="AG251" i="958"/>
  <c r="L679" i="958"/>
  <c r="N679" i="958"/>
  <c r="N704" i="958"/>
  <c r="L704" i="958"/>
  <c r="N718" i="958"/>
  <c r="L718" i="958"/>
  <c r="L738" i="958"/>
  <c r="N738" i="958"/>
  <c r="L170" i="958"/>
  <c r="L173" i="958"/>
  <c r="L181" i="958"/>
  <c r="L193" i="958"/>
  <c r="L201" i="958"/>
  <c r="L209" i="958"/>
  <c r="AI228" i="958"/>
  <c r="AD285" i="958"/>
  <c r="AD277" i="958"/>
  <c r="AD269" i="958"/>
  <c r="AD261" i="958"/>
  <c r="AD253" i="958"/>
  <c r="AD284" i="958"/>
  <c r="AD276" i="958"/>
  <c r="AD268" i="958"/>
  <c r="AD260" i="958"/>
  <c r="AD283" i="958"/>
  <c r="AD275" i="958"/>
  <c r="AD267" i="958"/>
  <c r="AD259" i="958"/>
  <c r="AD282" i="958"/>
  <c r="AD274" i="958"/>
  <c r="AD266" i="958"/>
  <c r="AD258" i="958"/>
  <c r="AD250" i="958"/>
  <c r="AD242" i="958"/>
  <c r="AD281" i="958"/>
  <c r="AD273" i="958"/>
  <c r="AD265" i="958"/>
  <c r="AD257" i="958"/>
  <c r="AD249" i="958"/>
  <c r="AD280" i="958"/>
  <c r="AD272" i="958"/>
  <c r="AD264" i="958"/>
  <c r="AD256" i="958"/>
  <c r="AD279" i="958"/>
  <c r="AD271" i="958"/>
  <c r="AD263" i="958"/>
  <c r="AD255" i="958"/>
  <c r="AD278" i="958"/>
  <c r="AD270" i="958"/>
  <c r="AD262" i="958"/>
  <c r="AD254" i="958"/>
  <c r="AD246" i="958"/>
  <c r="AI232" i="958"/>
  <c r="AH233" i="958"/>
  <c r="AB234" i="958"/>
  <c r="AH235" i="958"/>
  <c r="AB236" i="958"/>
  <c r="AH237" i="958"/>
  <c r="AG238" i="958"/>
  <c r="AD239" i="958"/>
  <c r="AG240" i="958"/>
  <c r="AI241" i="958"/>
  <c r="AG244" i="958"/>
  <c r="AD248" i="958"/>
  <c r="N678" i="958"/>
  <c r="L678" i="958"/>
  <c r="N720" i="958"/>
  <c r="L720" i="958"/>
  <c r="I731" i="958"/>
  <c r="I737" i="958"/>
  <c r="N754" i="958"/>
  <c r="L754" i="958"/>
  <c r="AG293" i="958"/>
  <c r="AG290" i="958"/>
  <c r="AG284" i="958"/>
  <c r="AG276" i="958"/>
  <c r="AG268" i="958"/>
  <c r="AG260" i="958"/>
  <c r="AG252" i="958"/>
  <c r="AG295" i="958"/>
  <c r="AG286" i="958"/>
  <c r="AG283" i="958"/>
  <c r="AG275" i="958"/>
  <c r="AG267" i="958"/>
  <c r="AG259" i="958"/>
  <c r="AG288" i="958"/>
  <c r="AG282" i="958"/>
  <c r="AG274" i="958"/>
  <c r="AG266" i="958"/>
  <c r="AG258" i="958"/>
  <c r="AG297" i="958"/>
  <c r="AG294" i="958"/>
  <c r="AG281" i="958"/>
  <c r="AG273" i="958"/>
  <c r="AG265" i="958"/>
  <c r="AG257" i="958"/>
  <c r="AG249" i="958"/>
  <c r="AG241" i="958"/>
  <c r="AG292" i="958"/>
  <c r="AG280" i="958"/>
  <c r="AG272" i="958"/>
  <c r="AG264" i="958"/>
  <c r="AG256" i="958"/>
  <c r="AG248" i="958"/>
  <c r="AG287" i="958"/>
  <c r="AG279" i="958"/>
  <c r="AG271" i="958"/>
  <c r="AG263" i="958"/>
  <c r="AG255" i="958"/>
  <c r="AG278" i="958"/>
  <c r="AG270" i="958"/>
  <c r="AG262" i="958"/>
  <c r="AG254" i="958"/>
  <c r="AG296" i="958"/>
  <c r="AG291" i="958"/>
  <c r="AG289" i="958"/>
  <c r="AG285" i="958"/>
  <c r="AG277" i="958"/>
  <c r="AG269" i="958"/>
  <c r="AG261" i="958"/>
  <c r="AG253" i="958"/>
  <c r="AG245" i="958"/>
  <c r="AI235" i="958"/>
  <c r="AI237" i="958"/>
  <c r="AH238" i="958"/>
  <c r="AG239" i="958"/>
  <c r="AI240" i="958"/>
  <c r="AB242" i="958"/>
  <c r="AD243" i="958"/>
  <c r="AI244" i="958"/>
  <c r="AH246" i="958"/>
  <c r="Z247" i="958"/>
  <c r="AI248" i="958"/>
  <c r="N664" i="958"/>
  <c r="L664" i="958"/>
  <c r="N676" i="958"/>
  <c r="L676" i="958"/>
  <c r="L719" i="958"/>
  <c r="N719" i="958"/>
  <c r="L733" i="958"/>
  <c r="N733" i="958"/>
  <c r="N753" i="958"/>
  <c r="L753" i="958"/>
  <c r="L768" i="958"/>
  <c r="L759" i="958" s="1"/>
  <c r="N768" i="958"/>
  <c r="N759" i="958"/>
  <c r="AD236" i="958"/>
  <c r="AI238" i="958"/>
  <c r="AH239" i="958"/>
  <c r="Z241" i="958"/>
  <c r="F242" i="958"/>
  <c r="AG243" i="958"/>
  <c r="AB245" i="958"/>
  <c r="F291" i="958"/>
  <c r="F294" i="958"/>
  <c r="N536" i="958"/>
  <c r="N534" i="958"/>
  <c r="L536" i="958"/>
  <c r="N575" i="958"/>
  <c r="L552" i="958"/>
  <c r="N577" i="958"/>
  <c r="L577" i="958"/>
  <c r="N612" i="958"/>
  <c r="L612" i="958"/>
  <c r="N609" i="958"/>
  <c r="N620" i="958"/>
  <c r="L620" i="958"/>
  <c r="L560" i="958"/>
  <c r="N560" i="958"/>
  <c r="L607" i="958"/>
  <c r="N652" i="958"/>
  <c r="L652" i="958"/>
  <c r="L591" i="958"/>
  <c r="N592" i="958"/>
  <c r="L592" i="958"/>
  <c r="G917" i="958"/>
  <c r="F917" i="958"/>
  <c r="N606" i="958"/>
  <c r="L606" i="958"/>
  <c r="N622" i="958"/>
  <c r="L622" i="958"/>
  <c r="N636" i="958"/>
  <c r="L636" i="958"/>
  <c r="N666" i="958"/>
  <c r="L666" i="958"/>
  <c r="L742" i="958"/>
  <c r="N742" i="958"/>
  <c r="N774" i="958"/>
  <c r="L776" i="958"/>
  <c r="N776" i="958"/>
  <c r="N778" i="958"/>
  <c r="U130" i="957"/>
  <c r="W5" i="957"/>
  <c r="L169" i="955"/>
  <c r="L199" i="956"/>
  <c r="B161" i="956"/>
  <c r="L195" i="954"/>
  <c r="L198" i="954"/>
  <c r="L211" i="954"/>
  <c r="L168" i="956"/>
  <c r="L210" i="957"/>
  <c r="N225" i="957"/>
  <c r="B148" i="956"/>
  <c r="L194" i="957"/>
  <c r="L202" i="957"/>
  <c r="L191" i="956"/>
  <c r="L182" i="957"/>
  <c r="L161" i="957"/>
  <c r="L205" i="957"/>
  <c r="N623" i="957"/>
  <c r="L623" i="957"/>
  <c r="AF143" i="957"/>
  <c r="I668" i="957" s="1"/>
  <c r="AF144" i="957"/>
  <c r="I683" i="957" s="1"/>
  <c r="AF145" i="957"/>
  <c r="I698" i="957" s="1"/>
  <c r="AF141" i="957"/>
  <c r="I638" i="957" s="1"/>
  <c r="AF142" i="957"/>
  <c r="I653" i="957" s="1"/>
  <c r="AV3" i="957"/>
  <c r="BB3" i="957"/>
  <c r="AF82" i="957"/>
  <c r="I338" i="957" s="1"/>
  <c r="AF84" i="957"/>
  <c r="I368" i="957" s="1"/>
  <c r="AF81" i="957"/>
  <c r="I323" i="957" s="1"/>
  <c r="AF83" i="957"/>
  <c r="I353" i="957" s="1"/>
  <c r="AF85" i="957"/>
  <c r="I383" i="957" s="1"/>
  <c r="L473" i="957"/>
  <c r="N473" i="957"/>
  <c r="AF91" i="957"/>
  <c r="I443" i="957" s="1"/>
  <c r="AF90" i="957"/>
  <c r="I428" i="957" s="1"/>
  <c r="AF89" i="957"/>
  <c r="I413" i="957" s="1"/>
  <c r="AF92" i="957"/>
  <c r="I458" i="957" s="1"/>
  <c r="AF88" i="957"/>
  <c r="I398" i="957" s="1"/>
  <c r="AF150" i="957"/>
  <c r="I728" i="957" s="1"/>
  <c r="AF149" i="957"/>
  <c r="I713" i="957" s="1"/>
  <c r="AF152" i="957"/>
  <c r="I758" i="957" s="1"/>
  <c r="AF151" i="957"/>
  <c r="I743" i="957" s="1"/>
  <c r="BA31" i="957"/>
  <c r="P13" i="957"/>
  <c r="AE16" i="957"/>
  <c r="J22" i="957"/>
  <c r="AK26" i="957"/>
  <c r="L64" i="957"/>
  <c r="L68" i="957"/>
  <c r="B319" i="957"/>
  <c r="B313" i="957"/>
  <c r="B316" i="957"/>
  <c r="N310" i="957"/>
  <c r="B320" i="957"/>
  <c r="L310" i="957"/>
  <c r="B314" i="957"/>
  <c r="B310" i="957"/>
  <c r="B315" i="957"/>
  <c r="B312" i="957"/>
  <c r="F322" i="957"/>
  <c r="N334" i="957"/>
  <c r="L334" i="957"/>
  <c r="N343" i="957"/>
  <c r="L343" i="957"/>
  <c r="L357" i="957"/>
  <c r="N357" i="957"/>
  <c r="AH84" i="957"/>
  <c r="L374" i="957"/>
  <c r="N374" i="957"/>
  <c r="N389" i="957"/>
  <c r="L389" i="957"/>
  <c r="N403" i="957"/>
  <c r="L403" i="957"/>
  <c r="N415" i="957"/>
  <c r="L415" i="957"/>
  <c r="N439" i="957"/>
  <c r="L439" i="957"/>
  <c r="N449" i="957"/>
  <c r="L449" i="957"/>
  <c r="N469" i="957"/>
  <c r="L469" i="957"/>
  <c r="N479" i="957"/>
  <c r="L479" i="957"/>
  <c r="L493" i="957"/>
  <c r="N493" i="957"/>
  <c r="I512" i="957"/>
  <c r="I506" i="957"/>
  <c r="N124" i="957"/>
  <c r="AE133" i="957"/>
  <c r="I556" i="957" s="1"/>
  <c r="N569" i="957"/>
  <c r="L569" i="957"/>
  <c r="N585" i="957"/>
  <c r="L585" i="957"/>
  <c r="N598" i="957"/>
  <c r="L598" i="957"/>
  <c r="D137" i="957"/>
  <c r="I83" i="957" s="1"/>
  <c r="N618" i="957"/>
  <c r="L618" i="957"/>
  <c r="L139" i="957"/>
  <c r="L634" i="957"/>
  <c r="N634" i="957"/>
  <c r="AE142" i="957"/>
  <c r="I646" i="957" s="1"/>
  <c r="L144" i="957"/>
  <c r="L703" i="957"/>
  <c r="N703" i="957"/>
  <c r="N723" i="957"/>
  <c r="L723" i="957"/>
  <c r="B151" i="957"/>
  <c r="N151" i="957"/>
  <c r="L749" i="957"/>
  <c r="N749" i="957"/>
  <c r="L155" i="957"/>
  <c r="B160" i="957"/>
  <c r="N160" i="957"/>
  <c r="L163" i="957"/>
  <c r="B167" i="957"/>
  <c r="N167" i="957"/>
  <c r="L168" i="957"/>
  <c r="B172" i="957"/>
  <c r="N172" i="957"/>
  <c r="L175" i="957"/>
  <c r="B178" i="957"/>
  <c r="N178" i="957"/>
  <c r="L179" i="957"/>
  <c r="B184" i="957"/>
  <c r="L185" i="957"/>
  <c r="F194" i="957"/>
  <c r="Q13" i="957"/>
  <c r="A36" i="957"/>
  <c r="N64" i="957"/>
  <c r="N316" i="957"/>
  <c r="L316" i="957"/>
  <c r="AJ81" i="957"/>
  <c r="I322" i="957" s="1"/>
  <c r="N327" i="957"/>
  <c r="L327" i="957"/>
  <c r="L345" i="957"/>
  <c r="N345" i="957"/>
  <c r="L355" i="957"/>
  <c r="N355" i="957"/>
  <c r="N405" i="957"/>
  <c r="L405" i="957"/>
  <c r="N421" i="957"/>
  <c r="L421" i="957"/>
  <c r="N432" i="957"/>
  <c r="L432" i="957"/>
  <c r="L440" i="957"/>
  <c r="N440" i="957"/>
  <c r="N462" i="957"/>
  <c r="L462" i="957"/>
  <c r="AF96" i="957"/>
  <c r="I488" i="957" s="1"/>
  <c r="N495" i="957"/>
  <c r="L495" i="957"/>
  <c r="N511" i="957"/>
  <c r="L511" i="957"/>
  <c r="N529" i="957"/>
  <c r="L529" i="957"/>
  <c r="C116" i="957"/>
  <c r="AF133" i="957"/>
  <c r="I563" i="957" s="1"/>
  <c r="AE134" i="957"/>
  <c r="I571" i="957" s="1"/>
  <c r="N584" i="957"/>
  <c r="L584" i="957"/>
  <c r="N600" i="957"/>
  <c r="L600" i="957"/>
  <c r="E137" i="957"/>
  <c r="I107" i="957" s="1"/>
  <c r="L613" i="957"/>
  <c r="N613" i="957"/>
  <c r="B139" i="957"/>
  <c r="N633" i="957"/>
  <c r="L633" i="957"/>
  <c r="B144" i="957"/>
  <c r="N693" i="957"/>
  <c r="L693" i="957"/>
  <c r="L705" i="957"/>
  <c r="N705" i="957"/>
  <c r="I722" i="957"/>
  <c r="I716" i="957"/>
  <c r="N739" i="957"/>
  <c r="AE152" i="957"/>
  <c r="I751" i="957" s="1"/>
  <c r="B155" i="957"/>
  <c r="B163" i="957"/>
  <c r="B168" i="957"/>
  <c r="B175" i="957"/>
  <c r="B179" i="957"/>
  <c r="L180" i="957"/>
  <c r="L181" i="957"/>
  <c r="N182" i="957"/>
  <c r="B189" i="957"/>
  <c r="B190" i="957"/>
  <c r="B197" i="957"/>
  <c r="B198" i="957"/>
  <c r="F238" i="957"/>
  <c r="F247" i="957"/>
  <c r="F255" i="957"/>
  <c r="F263" i="957"/>
  <c r="I918" i="957"/>
  <c r="I1038" i="957"/>
  <c r="I921" i="957"/>
  <c r="I1041" i="957"/>
  <c r="H12" i="957"/>
  <c r="AK25" i="957"/>
  <c r="B36" i="957"/>
  <c r="B65" i="957"/>
  <c r="B69" i="957"/>
  <c r="I1030" i="957"/>
  <c r="I910" i="957"/>
  <c r="N313" i="957"/>
  <c r="L313" i="957"/>
  <c r="N325" i="957"/>
  <c r="L325" i="957"/>
  <c r="N344" i="957"/>
  <c r="L344" i="957"/>
  <c r="N361" i="957"/>
  <c r="L361" i="957"/>
  <c r="N379" i="957"/>
  <c r="L379" i="957"/>
  <c r="I1323" i="957"/>
  <c r="I1321" i="957"/>
  <c r="I1320" i="957"/>
  <c r="L394" i="957"/>
  <c r="N394" i="957"/>
  <c r="N404" i="957"/>
  <c r="L404" i="957"/>
  <c r="N418" i="957"/>
  <c r="L418" i="957"/>
  <c r="L430" i="957"/>
  <c r="N430" i="957"/>
  <c r="N454" i="957"/>
  <c r="L454" i="957"/>
  <c r="I461" i="957"/>
  <c r="I467" i="957"/>
  <c r="L484" i="957"/>
  <c r="N484" i="957"/>
  <c r="N494" i="957"/>
  <c r="L494" i="957"/>
  <c r="N508" i="957"/>
  <c r="L508" i="957"/>
  <c r="L520" i="957"/>
  <c r="N520" i="957"/>
  <c r="N519" i="957"/>
  <c r="AF134" i="957"/>
  <c r="I578" i="957" s="1"/>
  <c r="N586" i="957"/>
  <c r="L586" i="957"/>
  <c r="N599" i="957"/>
  <c r="L599" i="957"/>
  <c r="F137" i="957"/>
  <c r="L615" i="957"/>
  <c r="N615" i="957"/>
  <c r="F140" i="957"/>
  <c r="N679" i="957"/>
  <c r="L679" i="957"/>
  <c r="N704" i="957"/>
  <c r="L704" i="957"/>
  <c r="F150" i="957"/>
  <c r="N718" i="957"/>
  <c r="L718" i="957"/>
  <c r="L738" i="957"/>
  <c r="N738" i="957"/>
  <c r="B152" i="957"/>
  <c r="F154" i="957"/>
  <c r="B156" i="957"/>
  <c r="F158" i="957"/>
  <c r="B161" i="957"/>
  <c r="F162" i="957"/>
  <c r="B169" i="957"/>
  <c r="F174" i="957"/>
  <c r="B180" i="957"/>
  <c r="B182" i="957"/>
  <c r="AB182" i="957"/>
  <c r="B185" i="957"/>
  <c r="AB185" i="957"/>
  <c r="AD185" i="957" s="1"/>
  <c r="F189" i="957"/>
  <c r="N193" i="957"/>
  <c r="L193" i="957"/>
  <c r="F197" i="957"/>
  <c r="L200" i="957"/>
  <c r="N200" i="957"/>
  <c r="F230" i="957"/>
  <c r="H15" i="957"/>
  <c r="AE19" i="957"/>
  <c r="H36" i="957"/>
  <c r="H62" i="957"/>
  <c r="N315" i="957"/>
  <c r="L315" i="957"/>
  <c r="AL81" i="957"/>
  <c r="I321" i="957" s="1"/>
  <c r="N331" i="957"/>
  <c r="L331" i="957"/>
  <c r="N358" i="957"/>
  <c r="L358" i="957"/>
  <c r="N372" i="957"/>
  <c r="L372" i="957"/>
  <c r="AH85" i="957"/>
  <c r="N387" i="957"/>
  <c r="L387" i="957"/>
  <c r="AH88" i="957"/>
  <c r="N420" i="957"/>
  <c r="L420" i="957"/>
  <c r="L436" i="957"/>
  <c r="N436" i="957"/>
  <c r="N447" i="957"/>
  <c r="L447" i="957"/>
  <c r="AH92" i="957"/>
  <c r="N466" i="957"/>
  <c r="L466" i="957"/>
  <c r="N477" i="957"/>
  <c r="L477" i="957"/>
  <c r="AH96" i="957"/>
  <c r="AF97" i="957"/>
  <c r="I503" i="957" s="1"/>
  <c r="L510" i="957"/>
  <c r="N510" i="957"/>
  <c r="N523" i="957"/>
  <c r="L523" i="957"/>
  <c r="N120" i="957"/>
  <c r="N126" i="957"/>
  <c r="L559" i="957"/>
  <c r="N559" i="957"/>
  <c r="AF135" i="957"/>
  <c r="I593" i="957" s="1"/>
  <c r="N579" i="957" s="1"/>
  <c r="N601" i="957"/>
  <c r="L601" i="957"/>
  <c r="B215" i="957"/>
  <c r="B207" i="957"/>
  <c r="B199" i="957"/>
  <c r="B191" i="957"/>
  <c r="B214" i="957"/>
  <c r="B206" i="957"/>
  <c r="B213" i="957"/>
  <c r="B205" i="957"/>
  <c r="B212" i="957"/>
  <c r="B204" i="957"/>
  <c r="B196" i="957"/>
  <c r="B211" i="957"/>
  <c r="B203" i="957"/>
  <c r="B195" i="957"/>
  <c r="B187" i="957"/>
  <c r="B210" i="957"/>
  <c r="B202" i="957"/>
  <c r="B209" i="957"/>
  <c r="B201" i="957"/>
  <c r="B193" i="957"/>
  <c r="B181" i="957"/>
  <c r="B216" i="957"/>
  <c r="B208" i="957"/>
  <c r="B200" i="957"/>
  <c r="B192" i="957"/>
  <c r="B186" i="957"/>
  <c r="N614" i="957"/>
  <c r="L614" i="957"/>
  <c r="F138" i="957"/>
  <c r="F141" i="957"/>
  <c r="B143" i="957"/>
  <c r="N678" i="957"/>
  <c r="L678" i="957"/>
  <c r="F145" i="957"/>
  <c r="F147" i="957"/>
  <c r="B148" i="957"/>
  <c r="AE149" i="957"/>
  <c r="I706" i="957" s="1"/>
  <c r="N720" i="957"/>
  <c r="L720" i="957"/>
  <c r="I731" i="957"/>
  <c r="I737" i="957"/>
  <c r="N754" i="957"/>
  <c r="L754" i="957"/>
  <c r="F159" i="957"/>
  <c r="F166" i="957"/>
  <c r="B170" i="957"/>
  <c r="F171" i="957"/>
  <c r="B173" i="957"/>
  <c r="F177" i="957"/>
  <c r="F185" i="957"/>
  <c r="F187" i="957"/>
  <c r="F188" i="957"/>
  <c r="F192" i="957"/>
  <c r="F196" i="957"/>
  <c r="F213" i="957"/>
  <c r="F246" i="957"/>
  <c r="F254" i="957"/>
  <c r="F262" i="957"/>
  <c r="F270" i="957"/>
  <c r="L824" i="957"/>
  <c r="L804" i="957"/>
  <c r="L1077" i="957"/>
  <c r="L912" i="957"/>
  <c r="L1145" i="957"/>
  <c r="L965" i="957"/>
  <c r="L1025" i="957"/>
  <c r="L908" i="957"/>
  <c r="L1021" i="957"/>
  <c r="L856" i="957"/>
  <c r="W221" i="957"/>
  <c r="J36" i="957"/>
  <c r="B68" i="957"/>
  <c r="I1060" i="957"/>
  <c r="I1036" i="957"/>
  <c r="I936" i="957"/>
  <c r="I1068" i="957"/>
  <c r="I1058" i="957"/>
  <c r="I1054" i="957"/>
  <c r="I1050" i="957"/>
  <c r="I1067" i="957"/>
  <c r="I915" i="957"/>
  <c r="I1065" i="957"/>
  <c r="I938" i="957"/>
  <c r="I1064" i="957"/>
  <c r="I1056" i="957"/>
  <c r="I1052" i="957"/>
  <c r="I1066" i="957"/>
  <c r="I1049" i="957"/>
  <c r="I1059" i="957"/>
  <c r="I931" i="957"/>
  <c r="I1053" i="957"/>
  <c r="I937" i="957"/>
  <c r="I1057" i="957"/>
  <c r="I1051" i="957"/>
  <c r="I929" i="957"/>
  <c r="I1055" i="957"/>
  <c r="I928" i="957"/>
  <c r="I935" i="957"/>
  <c r="I1031" i="957"/>
  <c r="I911" i="957"/>
  <c r="N314" i="957"/>
  <c r="L314" i="957"/>
  <c r="L328" i="957"/>
  <c r="N328" i="957"/>
  <c r="N349" i="957"/>
  <c r="L349" i="957"/>
  <c r="N360" i="957"/>
  <c r="L360" i="957"/>
  <c r="N366" i="957"/>
  <c r="L366" i="957"/>
  <c r="N370" i="957"/>
  <c r="L370" i="957"/>
  <c r="N385" i="957"/>
  <c r="L385" i="957"/>
  <c r="N409" i="957"/>
  <c r="L409" i="957"/>
  <c r="L419" i="957"/>
  <c r="N419" i="957"/>
  <c r="N433" i="957"/>
  <c r="L433" i="957"/>
  <c r="N445" i="957"/>
  <c r="L445" i="957"/>
  <c r="L463" i="957"/>
  <c r="N463" i="957"/>
  <c r="I476" i="957"/>
  <c r="I482" i="957"/>
  <c r="N499" i="957"/>
  <c r="L499" i="957"/>
  <c r="N509" i="957"/>
  <c r="L509" i="957"/>
  <c r="L525" i="957"/>
  <c r="N525" i="957"/>
  <c r="V108" i="957"/>
  <c r="N558" i="957"/>
  <c r="L558" i="957"/>
  <c r="N574" i="957"/>
  <c r="L574" i="957"/>
  <c r="AF136" i="957"/>
  <c r="I608" i="957" s="1"/>
  <c r="N664" i="957"/>
  <c r="L664" i="957"/>
  <c r="B149" i="957"/>
  <c r="L719" i="957"/>
  <c r="N719" i="957"/>
  <c r="F151" i="957"/>
  <c r="L733" i="957"/>
  <c r="N733" i="957"/>
  <c r="N753" i="957"/>
  <c r="L753" i="957"/>
  <c r="B153" i="957"/>
  <c r="L768" i="957"/>
  <c r="L759" i="957" s="1"/>
  <c r="N759" i="957"/>
  <c r="N768" i="957"/>
  <c r="F160" i="957"/>
  <c r="B164" i="957"/>
  <c r="F167" i="957"/>
  <c r="P170" i="957"/>
  <c r="F172" i="957"/>
  <c r="B176" i="957"/>
  <c r="F178" i="957"/>
  <c r="F184" i="957"/>
  <c r="L192" i="957"/>
  <c r="N192" i="957"/>
  <c r="B194" i="957"/>
  <c r="F195" i="957"/>
  <c r="F205" i="957"/>
  <c r="F226" i="957"/>
  <c r="F236" i="957"/>
  <c r="AC5" i="957"/>
  <c r="A22" i="957"/>
  <c r="K36" i="957"/>
  <c r="N62" i="957"/>
  <c r="I914" i="957"/>
  <c r="I939" i="957"/>
  <c r="I933" i="957"/>
  <c r="I932" i="957"/>
  <c r="I930" i="957"/>
  <c r="N330" i="957"/>
  <c r="L330" i="957"/>
  <c r="AL82" i="957"/>
  <c r="I336" i="957" s="1"/>
  <c r="N342" i="957"/>
  <c r="L342" i="957"/>
  <c r="AH83" i="957"/>
  <c r="N359" i="957"/>
  <c r="L359" i="957"/>
  <c r="N376" i="957"/>
  <c r="L376" i="957"/>
  <c r="L391" i="957"/>
  <c r="N391" i="957"/>
  <c r="N402" i="957"/>
  <c r="L402" i="957"/>
  <c r="AH89" i="957"/>
  <c r="N435" i="957"/>
  <c r="L435" i="957"/>
  <c r="N451" i="957"/>
  <c r="L451" i="957"/>
  <c r="N465" i="957"/>
  <c r="L465" i="957"/>
  <c r="N481" i="957"/>
  <c r="L481" i="957"/>
  <c r="L492" i="957"/>
  <c r="N492" i="957"/>
  <c r="AH97" i="957"/>
  <c r="AF98" i="957"/>
  <c r="I518" i="957" s="1"/>
  <c r="N524" i="957"/>
  <c r="L524" i="957"/>
  <c r="C117" i="957"/>
  <c r="L553" i="957"/>
  <c r="N553" i="957"/>
  <c r="L573" i="957"/>
  <c r="N573" i="957"/>
  <c r="N589" i="957"/>
  <c r="L589" i="957"/>
  <c r="L137" i="957"/>
  <c r="B142" i="957"/>
  <c r="N663" i="957"/>
  <c r="L663" i="957"/>
  <c r="B146" i="957"/>
  <c r="L709" i="957"/>
  <c r="N709" i="957"/>
  <c r="L721" i="957"/>
  <c r="N721" i="957"/>
  <c r="L735" i="957"/>
  <c r="N735" i="957"/>
  <c r="I752" i="957"/>
  <c r="I746" i="957"/>
  <c r="L154" i="957"/>
  <c r="F155" i="957"/>
  <c r="B157" i="957"/>
  <c r="L158" i="957"/>
  <c r="F163" i="957"/>
  <c r="B165" i="957"/>
  <c r="F168" i="957"/>
  <c r="F175" i="957"/>
  <c r="F179" i="957"/>
  <c r="B183" i="957"/>
  <c r="F190" i="957"/>
  <c r="F212" i="957"/>
  <c r="F240" i="957"/>
  <c r="W2" i="957"/>
  <c r="AE17" i="957"/>
  <c r="B22" i="957"/>
  <c r="L65" i="957"/>
  <c r="L69" i="957"/>
  <c r="I913" i="957"/>
  <c r="I1034" i="957"/>
  <c r="I908" i="957"/>
  <c r="I1028" i="957"/>
  <c r="AD75" i="957"/>
  <c r="N319" i="957"/>
  <c r="L319" i="957"/>
  <c r="F320" i="957"/>
  <c r="N329" i="957"/>
  <c r="L329" i="957"/>
  <c r="N340" i="957"/>
  <c r="L340" i="957"/>
  <c r="N373" i="957"/>
  <c r="L373" i="957"/>
  <c r="L388" i="957"/>
  <c r="N388" i="957"/>
  <c r="N400" i="957"/>
  <c r="L400" i="957"/>
  <c r="N424" i="957"/>
  <c r="L424" i="957"/>
  <c r="N434" i="957"/>
  <c r="L434" i="957"/>
  <c r="N448" i="957"/>
  <c r="L448" i="957"/>
  <c r="N464" i="957"/>
  <c r="L464" i="957"/>
  <c r="L478" i="957"/>
  <c r="N478" i="957"/>
  <c r="I497" i="957"/>
  <c r="I491" i="957"/>
  <c r="N514" i="957"/>
  <c r="L514" i="957"/>
  <c r="I115" i="957"/>
  <c r="N555" i="957"/>
  <c r="L555" i="957"/>
  <c r="N568" i="957"/>
  <c r="L568" i="957"/>
  <c r="N588" i="957"/>
  <c r="L588" i="957"/>
  <c r="N604" i="957"/>
  <c r="L604" i="957"/>
  <c r="B137" i="957"/>
  <c r="N137" i="957"/>
  <c r="L138" i="957"/>
  <c r="B140" i="957"/>
  <c r="L141" i="957"/>
  <c r="N649" i="957"/>
  <c r="L649" i="957"/>
  <c r="AE143" i="957"/>
  <c r="I661" i="957" s="1"/>
  <c r="L145" i="957"/>
  <c r="L147" i="957"/>
  <c r="L708" i="957"/>
  <c r="N708" i="957"/>
  <c r="B150" i="957"/>
  <c r="N734" i="957"/>
  <c r="L734" i="957"/>
  <c r="N748" i="957"/>
  <c r="L748" i="957"/>
  <c r="B154" i="957"/>
  <c r="B158" i="957"/>
  <c r="L159" i="957"/>
  <c r="B162" i="957"/>
  <c r="V165" i="957"/>
  <c r="L166" i="957"/>
  <c r="L171" i="957"/>
  <c r="B174" i="957"/>
  <c r="L177" i="957"/>
  <c r="F180" i="957"/>
  <c r="F204" i="957"/>
  <c r="F211" i="957"/>
  <c r="K5" i="957"/>
  <c r="F282" i="957"/>
  <c r="F291" i="957"/>
  <c r="F293" i="957"/>
  <c r="F290" i="957"/>
  <c r="F286" i="957"/>
  <c r="F278" i="957"/>
  <c r="F295" i="957"/>
  <c r="F285" i="957"/>
  <c r="F273" i="957"/>
  <c r="F269" i="957"/>
  <c r="F261" i="957"/>
  <c r="F253" i="957"/>
  <c r="F245" i="957"/>
  <c r="F233" i="957"/>
  <c r="F229" i="957"/>
  <c r="F210" i="957"/>
  <c r="F202" i="957"/>
  <c r="F281" i="957"/>
  <c r="F277" i="957"/>
  <c r="F268" i="957"/>
  <c r="F260" i="957"/>
  <c r="F252" i="957"/>
  <c r="F244" i="957"/>
  <c r="F232" i="957"/>
  <c r="F209" i="957"/>
  <c r="F201" i="957"/>
  <c r="F274" i="957"/>
  <c r="F267" i="957"/>
  <c r="F259" i="957"/>
  <c r="F251" i="957"/>
  <c r="F243" i="957"/>
  <c r="F216" i="957"/>
  <c r="F208" i="957"/>
  <c r="F200" i="957"/>
  <c r="F266" i="957"/>
  <c r="F258" i="957"/>
  <c r="F250" i="957"/>
  <c r="F242" i="957"/>
  <c r="F237" i="957"/>
  <c r="F235" i="957"/>
  <c r="F228" i="957"/>
  <c r="F215" i="957"/>
  <c r="F207" i="957"/>
  <c r="F199" i="957"/>
  <c r="F191" i="957"/>
  <c r="F279" i="957"/>
  <c r="F265" i="957"/>
  <c r="F257" i="957"/>
  <c r="F249" i="957"/>
  <c r="F241" i="957"/>
  <c r="F231" i="957"/>
  <c r="F225" i="957"/>
  <c r="F214" i="957"/>
  <c r="F206" i="957"/>
  <c r="F198" i="957"/>
  <c r="F271" i="957"/>
  <c r="U12" i="957"/>
  <c r="H22" i="957"/>
  <c r="I1029" i="957"/>
  <c r="I1048" i="957"/>
  <c r="I909" i="957"/>
  <c r="AF75" i="957"/>
  <c r="U79" i="957"/>
  <c r="N312" i="957"/>
  <c r="L312" i="957"/>
  <c r="N320" i="957"/>
  <c r="L320" i="957"/>
  <c r="N346" i="957"/>
  <c r="L346" i="957"/>
  <c r="N364" i="957"/>
  <c r="L364" i="957"/>
  <c r="N375" i="957"/>
  <c r="L375" i="957"/>
  <c r="AL85" i="957"/>
  <c r="I381" i="957" s="1"/>
  <c r="N390" i="957"/>
  <c r="L390" i="957"/>
  <c r="N406" i="957"/>
  <c r="L406" i="957"/>
  <c r="N417" i="957"/>
  <c r="L417" i="957"/>
  <c r="AH90" i="957"/>
  <c r="L450" i="957"/>
  <c r="N450" i="957"/>
  <c r="L480" i="957"/>
  <c r="N480" i="957"/>
  <c r="L496" i="957"/>
  <c r="N496" i="957"/>
  <c r="N507" i="957"/>
  <c r="L507" i="957"/>
  <c r="AH98" i="957"/>
  <c r="L554" i="957"/>
  <c r="N554" i="957"/>
  <c r="L570" i="957"/>
  <c r="N570" i="957"/>
  <c r="N583" i="957"/>
  <c r="L583" i="957"/>
  <c r="N603" i="957"/>
  <c r="L603" i="957"/>
  <c r="N619" i="957"/>
  <c r="L619" i="957"/>
  <c r="B138" i="957"/>
  <c r="B141" i="957"/>
  <c r="N648" i="957"/>
  <c r="L648" i="957"/>
  <c r="B145" i="957"/>
  <c r="B147" i="957"/>
  <c r="I701" i="957"/>
  <c r="I707" i="957"/>
  <c r="N724" i="957"/>
  <c r="L724" i="957"/>
  <c r="N736" i="957"/>
  <c r="N750" i="957"/>
  <c r="L750" i="957"/>
  <c r="B159" i="957"/>
  <c r="B166" i="957"/>
  <c r="B171" i="957"/>
  <c r="B177" i="957"/>
  <c r="L186" i="957"/>
  <c r="N186" i="957"/>
  <c r="F203" i="957"/>
  <c r="F227" i="957"/>
  <c r="F234" i="957"/>
  <c r="F239" i="957"/>
  <c r="F248" i="957"/>
  <c r="F256" i="957"/>
  <c r="F264" i="957"/>
  <c r="F272" i="957"/>
  <c r="F280" i="957"/>
  <c r="L201" i="957"/>
  <c r="N208" i="957"/>
  <c r="L209" i="957"/>
  <c r="N216" i="957"/>
  <c r="AI228" i="957"/>
  <c r="AJ228" i="957" s="1"/>
  <c r="I226" i="957" s="1"/>
  <c r="AD282" i="957"/>
  <c r="AD278" i="957"/>
  <c r="AD285" i="957"/>
  <c r="AD284" i="957"/>
  <c r="AD276" i="957"/>
  <c r="AD283" i="957"/>
  <c r="AD275" i="957"/>
  <c r="AI232" i="957"/>
  <c r="AH233" i="957"/>
  <c r="AB234" i="957"/>
  <c r="AH235" i="957"/>
  <c r="AB236" i="957"/>
  <c r="AH237" i="957"/>
  <c r="AG238" i="957"/>
  <c r="AD239" i="957"/>
  <c r="AB241" i="957"/>
  <c r="Z243" i="957"/>
  <c r="AI244" i="957"/>
  <c r="AH245" i="957"/>
  <c r="AG246" i="957"/>
  <c r="AD247" i="957"/>
  <c r="AB249" i="957"/>
  <c r="Z251" i="957"/>
  <c r="AI252" i="957"/>
  <c r="AH253" i="957"/>
  <c r="AG254" i="957"/>
  <c r="AD255" i="957"/>
  <c r="AB257" i="957"/>
  <c r="Z259" i="957"/>
  <c r="AI260" i="957"/>
  <c r="AH261" i="957"/>
  <c r="AG262" i="957"/>
  <c r="AD263" i="957"/>
  <c r="AB265" i="957"/>
  <c r="Z267" i="957"/>
  <c r="AI268" i="957"/>
  <c r="AH269" i="957"/>
  <c r="AG270" i="957"/>
  <c r="AD271" i="957"/>
  <c r="AB274" i="957"/>
  <c r="AI275" i="957"/>
  <c r="Z278" i="957"/>
  <c r="AH280" i="957"/>
  <c r="Z281" i="957"/>
  <c r="AG229" i="957"/>
  <c r="AG293" i="957"/>
  <c r="AG290" i="957"/>
  <c r="AG297" i="957"/>
  <c r="AG295" i="957"/>
  <c r="AG287" i="957"/>
  <c r="AG292" i="957"/>
  <c r="AG289" i="957"/>
  <c r="AG285" i="957"/>
  <c r="AG294" i="957"/>
  <c r="AG296" i="957"/>
  <c r="AG291" i="957"/>
  <c r="AG286" i="957"/>
  <c r="AG283" i="957"/>
  <c r="AG275" i="957"/>
  <c r="AG288" i="957"/>
  <c r="AG282" i="957"/>
  <c r="AG274" i="957"/>
  <c r="AI233" i="957"/>
  <c r="AI235" i="957"/>
  <c r="AI237" i="957"/>
  <c r="AH238" i="957"/>
  <c r="AG239" i="957"/>
  <c r="AD240" i="957"/>
  <c r="AB242" i="957"/>
  <c r="Z244" i="957"/>
  <c r="AI245" i="957"/>
  <c r="AH246" i="957"/>
  <c r="AG247" i="957"/>
  <c r="AD248" i="957"/>
  <c r="AB250" i="957"/>
  <c r="Z252" i="957"/>
  <c r="AI253" i="957"/>
  <c r="AH254" i="957"/>
  <c r="AG255" i="957"/>
  <c r="AD256" i="957"/>
  <c r="AB258" i="957"/>
  <c r="Z260" i="957"/>
  <c r="AI261" i="957"/>
  <c r="AH262" i="957"/>
  <c r="AG263" i="957"/>
  <c r="AD264" i="957"/>
  <c r="AB266" i="957"/>
  <c r="Z268" i="957"/>
  <c r="AI269" i="957"/>
  <c r="AH270" i="957"/>
  <c r="AG271" i="957"/>
  <c r="AH272" i="957"/>
  <c r="Z273" i="957"/>
  <c r="Z276" i="957"/>
  <c r="Z277" i="957"/>
  <c r="AD279" i="957"/>
  <c r="F288" i="957"/>
  <c r="AG230" i="957"/>
  <c r="Z233" i="957"/>
  <c r="Z235" i="957"/>
  <c r="Z237" i="957"/>
  <c r="AI238" i="957"/>
  <c r="AH239" i="957"/>
  <c r="AG240" i="957"/>
  <c r="AD241" i="957"/>
  <c r="AB243" i="957"/>
  <c r="Z245" i="957"/>
  <c r="AI246" i="957"/>
  <c r="AH247" i="957"/>
  <c r="AG248" i="957"/>
  <c r="AD249" i="957"/>
  <c r="AB251" i="957"/>
  <c r="Z253" i="957"/>
  <c r="AI254" i="957"/>
  <c r="AH255" i="957"/>
  <c r="AG256" i="957"/>
  <c r="AD257" i="957"/>
  <c r="AB259" i="957"/>
  <c r="Z261" i="957"/>
  <c r="AI262" i="957"/>
  <c r="AH263" i="957"/>
  <c r="AG264" i="957"/>
  <c r="AD265" i="957"/>
  <c r="AB267" i="957"/>
  <c r="Z269" i="957"/>
  <c r="AI270" i="957"/>
  <c r="AD274" i="957"/>
  <c r="AG279" i="957"/>
  <c r="AI229" i="957"/>
  <c r="AH230" i="957"/>
  <c r="AH290" i="957"/>
  <c r="AH297" i="957"/>
  <c r="AH295" i="957"/>
  <c r="AH287" i="957"/>
  <c r="AH292" i="957"/>
  <c r="AH289" i="957"/>
  <c r="AH285" i="957"/>
  <c r="AH294" i="957"/>
  <c r="AH284" i="957"/>
  <c r="AH296" i="957"/>
  <c r="AH291" i="957"/>
  <c r="AH286" i="957"/>
  <c r="AH288" i="957"/>
  <c r="AH282" i="957"/>
  <c r="AH274" i="957"/>
  <c r="AH293" i="957"/>
  <c r="AH281" i="957"/>
  <c r="AH273" i="957"/>
  <c r="AG234" i="957"/>
  <c r="AG236" i="957"/>
  <c r="Z238" i="957"/>
  <c r="AI239" i="957"/>
  <c r="AH240" i="957"/>
  <c r="AG241" i="957"/>
  <c r="AD242" i="957"/>
  <c r="AB244" i="957"/>
  <c r="Z246" i="957"/>
  <c r="AI247" i="957"/>
  <c r="AH248" i="957"/>
  <c r="AG249" i="957"/>
  <c r="AD250" i="957"/>
  <c r="AB252" i="957"/>
  <c r="Z254" i="957"/>
  <c r="AI255" i="957"/>
  <c r="AH256" i="957"/>
  <c r="AG257" i="957"/>
  <c r="AD258" i="957"/>
  <c r="AB260" i="957"/>
  <c r="Z262" i="957"/>
  <c r="AI263" i="957"/>
  <c r="AH264" i="957"/>
  <c r="AG265" i="957"/>
  <c r="AD266" i="957"/>
  <c r="AB268" i="957"/>
  <c r="Z270" i="957"/>
  <c r="AI271" i="957"/>
  <c r="AB273" i="957"/>
  <c r="AI274" i="957"/>
  <c r="F276" i="957"/>
  <c r="AB276" i="957"/>
  <c r="AG278" i="957"/>
  <c r="AH279" i="957"/>
  <c r="AD281" i="957"/>
  <c r="F294" i="957"/>
  <c r="Z285" i="957"/>
  <c r="Z284" i="957"/>
  <c r="Z283" i="957"/>
  <c r="Z282" i="957"/>
  <c r="Z280" i="957"/>
  <c r="Z272" i="957"/>
  <c r="Z279" i="957"/>
  <c r="AB233" i="957"/>
  <c r="AB235" i="957"/>
  <c r="AB237" i="957"/>
  <c r="Z239" i="957"/>
  <c r="AI240" i="957"/>
  <c r="AH241" i="957"/>
  <c r="AG242" i="957"/>
  <c r="AB245" i="957"/>
  <c r="Z247" i="957"/>
  <c r="AI248" i="957"/>
  <c r="AH249" i="957"/>
  <c r="AG250" i="957"/>
  <c r="AD251" i="957"/>
  <c r="AB253" i="957"/>
  <c r="Z255" i="957"/>
  <c r="AI256" i="957"/>
  <c r="AH257" i="957"/>
  <c r="AG258" i="957"/>
  <c r="AD259" i="957"/>
  <c r="AB261" i="957"/>
  <c r="Z263" i="957"/>
  <c r="AI264" i="957"/>
  <c r="AH265" i="957"/>
  <c r="AG266" i="957"/>
  <c r="AD267" i="957"/>
  <c r="AB269" i="957"/>
  <c r="Z271" i="957"/>
  <c r="AD277" i="957"/>
  <c r="AH278" i="957"/>
  <c r="AI279" i="957"/>
  <c r="AG281" i="957"/>
  <c r="AH283" i="957"/>
  <c r="AG284" i="957"/>
  <c r="F289" i="957"/>
  <c r="AI297" i="957"/>
  <c r="AI295" i="957"/>
  <c r="AI287" i="957"/>
  <c r="AI292" i="957"/>
  <c r="AI289" i="957"/>
  <c r="AI285" i="957"/>
  <c r="AI294" i="957"/>
  <c r="AI284" i="957"/>
  <c r="AI296" i="957"/>
  <c r="AI291" i="957"/>
  <c r="AI286" i="957"/>
  <c r="AI283" i="957"/>
  <c r="AI288" i="957"/>
  <c r="AI293" i="957"/>
  <c r="AI281" i="957"/>
  <c r="AI273" i="957"/>
  <c r="AI290" i="957"/>
  <c r="AI280" i="957"/>
  <c r="AI272" i="957"/>
  <c r="AJ272" i="957" s="1"/>
  <c r="I270" i="957" s="1"/>
  <c r="N270" i="957" s="1"/>
  <c r="AI234" i="957"/>
  <c r="AJ234" i="957" s="1"/>
  <c r="I232" i="957" s="1"/>
  <c r="N232" i="957" s="1"/>
  <c r="AI236" i="957"/>
  <c r="AJ236" i="957" s="1"/>
  <c r="I234" i="957" s="1"/>
  <c r="N234" i="957" s="1"/>
  <c r="AB238" i="957"/>
  <c r="Z240" i="957"/>
  <c r="AI241" i="957"/>
  <c r="AH242" i="957"/>
  <c r="AG243" i="957"/>
  <c r="AB246" i="957"/>
  <c r="Z248" i="957"/>
  <c r="AI249" i="957"/>
  <c r="AH250" i="957"/>
  <c r="AG251" i="957"/>
  <c r="AD252" i="957"/>
  <c r="AB254" i="957"/>
  <c r="Z256" i="957"/>
  <c r="AI257" i="957"/>
  <c r="AH258" i="957"/>
  <c r="AG259" i="957"/>
  <c r="AD260" i="957"/>
  <c r="AB262" i="957"/>
  <c r="Z264" i="957"/>
  <c r="AI265" i="957"/>
  <c r="AH266" i="957"/>
  <c r="AG267" i="957"/>
  <c r="AD268" i="957"/>
  <c r="AB270" i="957"/>
  <c r="AB272" i="957"/>
  <c r="AD273" i="957"/>
  <c r="AG276" i="957"/>
  <c r="AG277" i="957"/>
  <c r="AI278" i="957"/>
  <c r="F283" i="957"/>
  <c r="F284" i="957"/>
  <c r="F292" i="957"/>
  <c r="AB284" i="957"/>
  <c r="AB283" i="957"/>
  <c r="AB282" i="957"/>
  <c r="AB281" i="957"/>
  <c r="AB280" i="957"/>
  <c r="AB278" i="957"/>
  <c r="AB285" i="957"/>
  <c r="AB277" i="957"/>
  <c r="Z234" i="957"/>
  <c r="Z236" i="957"/>
  <c r="AB239" i="957"/>
  <c r="Z241" i="957"/>
  <c r="AI242" i="957"/>
  <c r="AH243" i="957"/>
  <c r="AG244" i="957"/>
  <c r="AD245" i="957"/>
  <c r="AB247" i="957"/>
  <c r="Z249" i="957"/>
  <c r="AI250" i="957"/>
  <c r="AH251" i="957"/>
  <c r="AG252" i="957"/>
  <c r="AD253" i="957"/>
  <c r="AB255" i="957"/>
  <c r="Z257" i="957"/>
  <c r="AI258" i="957"/>
  <c r="AH259" i="957"/>
  <c r="AG260" i="957"/>
  <c r="AD261" i="957"/>
  <c r="AB263" i="957"/>
  <c r="Z265" i="957"/>
  <c r="AI266" i="957"/>
  <c r="AH267" i="957"/>
  <c r="AG268" i="957"/>
  <c r="AD269" i="957"/>
  <c r="AB271" i="957"/>
  <c r="AG273" i="957"/>
  <c r="Z274" i="957"/>
  <c r="F275" i="957"/>
  <c r="AH276" i="957"/>
  <c r="AH277" i="957"/>
  <c r="AD280" i="957"/>
  <c r="F287" i="957"/>
  <c r="AI231" i="957"/>
  <c r="AJ231" i="957" s="1"/>
  <c r="I229" i="957" s="1"/>
  <c r="N229" i="957" s="1"/>
  <c r="AH232" i="957"/>
  <c r="AG233" i="957"/>
  <c r="AG235" i="957"/>
  <c r="AD238" i="957"/>
  <c r="AB240" i="957"/>
  <c r="Z242" i="957"/>
  <c r="AI243" i="957"/>
  <c r="AH244" i="957"/>
  <c r="AG245" i="957"/>
  <c r="AD246" i="957"/>
  <c r="AB248" i="957"/>
  <c r="Z250" i="957"/>
  <c r="AI251" i="957"/>
  <c r="AH252" i="957"/>
  <c r="AG253" i="957"/>
  <c r="AD254" i="957"/>
  <c r="AB256" i="957"/>
  <c r="Z258" i="957"/>
  <c r="AI259" i="957"/>
  <c r="AH260" i="957"/>
  <c r="AG261" i="957"/>
  <c r="AD262" i="957"/>
  <c r="AB264" i="957"/>
  <c r="Z266" i="957"/>
  <c r="AI267" i="957"/>
  <c r="AH268" i="957"/>
  <c r="AG269" i="957"/>
  <c r="AD270" i="957"/>
  <c r="AD272" i="957"/>
  <c r="AH275" i="957"/>
  <c r="AI276" i="957"/>
  <c r="AI277" i="957"/>
  <c r="AB279" i="957"/>
  <c r="AG280" i="957"/>
  <c r="N538" i="957"/>
  <c r="N542" i="957"/>
  <c r="L542" i="957"/>
  <c r="L544" i="957"/>
  <c r="L606" i="957"/>
  <c r="N667" i="957"/>
  <c r="L667" i="957"/>
  <c r="L562" i="957"/>
  <c r="L576" i="957"/>
  <c r="N635" i="957"/>
  <c r="L635" i="957"/>
  <c r="L780" i="957"/>
  <c r="N780" i="957"/>
  <c r="L537" i="957"/>
  <c r="L541" i="957"/>
  <c r="L582" i="957"/>
  <c r="L592" i="957"/>
  <c r="N651" i="957"/>
  <c r="L651" i="957"/>
  <c r="N774" i="957"/>
  <c r="L776" i="957"/>
  <c r="N776" i="957"/>
  <c r="F917" i="957"/>
  <c r="H62" i="956"/>
  <c r="J22" i="956"/>
  <c r="B36" i="956"/>
  <c r="H12" i="956"/>
  <c r="W5" i="956"/>
  <c r="K5" i="956"/>
  <c r="K75" i="956" s="1"/>
  <c r="AC5" i="956"/>
  <c r="C117" i="956"/>
  <c r="L169" i="954"/>
  <c r="L180" i="954"/>
  <c r="L165" i="954"/>
  <c r="L163" i="956"/>
  <c r="L161" i="955"/>
  <c r="C768" i="956"/>
  <c r="C783" i="956"/>
  <c r="C588" i="956"/>
  <c r="C558" i="956"/>
  <c r="N445" i="956"/>
  <c r="L445" i="956"/>
  <c r="AF91" i="956"/>
  <c r="I443" i="956" s="1"/>
  <c r="AF92" i="956"/>
  <c r="I458" i="956" s="1"/>
  <c r="AF90" i="956"/>
  <c r="I428" i="956" s="1"/>
  <c r="AF89" i="956"/>
  <c r="I413" i="956" s="1"/>
  <c r="AF88" i="956"/>
  <c r="I398" i="956" s="1"/>
  <c r="BA31" i="956"/>
  <c r="N608" i="956"/>
  <c r="L608" i="956"/>
  <c r="AF151" i="956"/>
  <c r="I743" i="956" s="1"/>
  <c r="AF150" i="956"/>
  <c r="I728" i="956" s="1"/>
  <c r="AF149" i="956"/>
  <c r="I713" i="956" s="1"/>
  <c r="AF152" i="956"/>
  <c r="I758" i="956" s="1"/>
  <c r="L638" i="956"/>
  <c r="N638" i="956"/>
  <c r="A36" i="956"/>
  <c r="N316" i="956"/>
  <c r="L316" i="956"/>
  <c r="AJ81" i="956"/>
  <c r="I322" i="956" s="1"/>
  <c r="N327" i="956"/>
  <c r="L327" i="956"/>
  <c r="AF83" i="956"/>
  <c r="I353" i="956" s="1"/>
  <c r="L360" i="956"/>
  <c r="N360" i="956"/>
  <c r="AL84" i="956"/>
  <c r="I366" i="956" s="1"/>
  <c r="N376" i="956"/>
  <c r="L376" i="956"/>
  <c r="AJ85" i="956"/>
  <c r="I382" i="956" s="1"/>
  <c r="N389" i="956"/>
  <c r="L389" i="956"/>
  <c r="N403" i="956"/>
  <c r="L403" i="956"/>
  <c r="L421" i="956"/>
  <c r="N421" i="956"/>
  <c r="L436" i="956"/>
  <c r="N436" i="956"/>
  <c r="L451" i="956"/>
  <c r="N451" i="956"/>
  <c r="AF96" i="956"/>
  <c r="I488" i="956" s="1"/>
  <c r="N495" i="956"/>
  <c r="L495" i="956"/>
  <c r="N508" i="956"/>
  <c r="L508" i="956"/>
  <c r="N120" i="956"/>
  <c r="N553" i="956"/>
  <c r="L553" i="956"/>
  <c r="N613" i="956"/>
  <c r="L613" i="956"/>
  <c r="F139" i="956"/>
  <c r="N691" i="956"/>
  <c r="N684" i="956"/>
  <c r="L691" i="956"/>
  <c r="B156" i="956"/>
  <c r="F159" i="956"/>
  <c r="N162" i="956"/>
  <c r="L162" i="956"/>
  <c r="F169" i="956"/>
  <c r="F170" i="956"/>
  <c r="F179" i="956"/>
  <c r="F191" i="956"/>
  <c r="AH260" i="956"/>
  <c r="F236" i="956"/>
  <c r="F242" i="956"/>
  <c r="B69" i="956"/>
  <c r="I1030" i="956"/>
  <c r="I910" i="956"/>
  <c r="L313" i="956"/>
  <c r="N313" i="956"/>
  <c r="N325" i="956"/>
  <c r="L325" i="956"/>
  <c r="N349" i="956"/>
  <c r="L349" i="956"/>
  <c r="N359" i="956"/>
  <c r="L359" i="956"/>
  <c r="L373" i="956"/>
  <c r="N373" i="956"/>
  <c r="F381" i="956"/>
  <c r="AL85" i="956"/>
  <c r="I381" i="956" s="1"/>
  <c r="L405" i="956"/>
  <c r="N405" i="956"/>
  <c r="N418" i="956"/>
  <c r="L418" i="956"/>
  <c r="N433" i="956"/>
  <c r="L433" i="956"/>
  <c r="N448" i="956"/>
  <c r="L448" i="956"/>
  <c r="N469" i="956"/>
  <c r="L469" i="956"/>
  <c r="N484" i="956"/>
  <c r="L484" i="956"/>
  <c r="L494" i="956"/>
  <c r="N494" i="956"/>
  <c r="N510" i="956"/>
  <c r="L510" i="956"/>
  <c r="E137" i="956"/>
  <c r="I103" i="956" s="1"/>
  <c r="N615" i="956"/>
  <c r="L615" i="956"/>
  <c r="F138" i="956"/>
  <c r="F149" i="956"/>
  <c r="N718" i="956"/>
  <c r="L718" i="956"/>
  <c r="I754" i="956"/>
  <c r="AE152" i="956"/>
  <c r="I751" i="956" s="1"/>
  <c r="F153" i="956"/>
  <c r="F155" i="956"/>
  <c r="F156" i="956"/>
  <c r="F183" i="956"/>
  <c r="F196" i="956"/>
  <c r="F209" i="956"/>
  <c r="N211" i="956"/>
  <c r="L211" i="956"/>
  <c r="B216" i="956"/>
  <c r="F232" i="956"/>
  <c r="AH231" i="956"/>
  <c r="AH230" i="956"/>
  <c r="AH240" i="956"/>
  <c r="H15" i="956"/>
  <c r="AE19" i="956"/>
  <c r="H36" i="956"/>
  <c r="N63" i="956"/>
  <c r="L315" i="956"/>
  <c r="N315" i="956"/>
  <c r="AL81" i="956"/>
  <c r="I321" i="956" s="1"/>
  <c r="B321" i="956" s="1"/>
  <c r="N331" i="956"/>
  <c r="L331" i="956"/>
  <c r="N342" i="956"/>
  <c r="L342" i="956"/>
  <c r="AH83" i="956"/>
  <c r="AF84" i="956"/>
  <c r="I368" i="956" s="1"/>
  <c r="L375" i="956"/>
  <c r="N375" i="956"/>
  <c r="N394" i="956"/>
  <c r="L394" i="956"/>
  <c r="N404" i="956"/>
  <c r="L404" i="956"/>
  <c r="N420" i="956"/>
  <c r="L420" i="956"/>
  <c r="L435" i="956"/>
  <c r="N435" i="956"/>
  <c r="N462" i="956"/>
  <c r="L462" i="956"/>
  <c r="N477" i="956"/>
  <c r="L477" i="956"/>
  <c r="AH96" i="956"/>
  <c r="AF97" i="956"/>
  <c r="I503" i="956" s="1"/>
  <c r="L509" i="956"/>
  <c r="N509" i="956"/>
  <c r="F137" i="956"/>
  <c r="L614" i="956"/>
  <c r="N614" i="956"/>
  <c r="F141" i="956"/>
  <c r="F148" i="956"/>
  <c r="N720" i="956"/>
  <c r="L720" i="956"/>
  <c r="B152" i="956"/>
  <c r="F158" i="956"/>
  <c r="F161" i="956"/>
  <c r="F165" i="956"/>
  <c r="F166" i="956"/>
  <c r="F168" i="956"/>
  <c r="F174" i="956"/>
  <c r="B186" i="956"/>
  <c r="F201" i="956"/>
  <c r="N203" i="956"/>
  <c r="L203" i="956"/>
  <c r="F216" i="956"/>
  <c r="AI228" i="956"/>
  <c r="AI232" i="956"/>
  <c r="AH233" i="956"/>
  <c r="AD244" i="956"/>
  <c r="L824" i="956"/>
  <c r="L804" i="956"/>
  <c r="L1077" i="956"/>
  <c r="L912" i="956"/>
  <c r="L965" i="956"/>
  <c r="L908" i="956"/>
  <c r="L1145" i="956"/>
  <c r="L856" i="956"/>
  <c r="L1025" i="956"/>
  <c r="L1021" i="956"/>
  <c r="V165" i="956"/>
  <c r="P170" i="956"/>
  <c r="N473" i="956"/>
  <c r="L473" i="956"/>
  <c r="J36" i="956"/>
  <c r="B64" i="956"/>
  <c r="L66" i="956"/>
  <c r="B68" i="956"/>
  <c r="I1060" i="956"/>
  <c r="I1036" i="956"/>
  <c r="I936" i="956"/>
  <c r="I1065" i="956"/>
  <c r="I938" i="956"/>
  <c r="I1068" i="956"/>
  <c r="I1057" i="956"/>
  <c r="I1053" i="956"/>
  <c r="I1049" i="956"/>
  <c r="I1067" i="956"/>
  <c r="I931" i="956"/>
  <c r="I1066" i="956"/>
  <c r="I1056" i="956"/>
  <c r="I1052" i="956"/>
  <c r="I937" i="956"/>
  <c r="I1064" i="956"/>
  <c r="I935" i="956"/>
  <c r="I1059" i="956"/>
  <c r="I1055" i="956"/>
  <c r="I1051" i="956"/>
  <c r="I915" i="956"/>
  <c r="I929" i="956"/>
  <c r="I1058" i="956"/>
  <c r="I1054" i="956"/>
  <c r="I1050" i="956"/>
  <c r="I928" i="956"/>
  <c r="I1031" i="956"/>
  <c r="I911" i="956"/>
  <c r="N314" i="956"/>
  <c r="L314" i="956"/>
  <c r="N328" i="956"/>
  <c r="L328" i="956"/>
  <c r="N340" i="956"/>
  <c r="L340" i="956"/>
  <c r="N374" i="956"/>
  <c r="L374" i="956"/>
  <c r="I1323" i="956"/>
  <c r="I1321" i="956"/>
  <c r="I1320" i="956"/>
  <c r="N387" i="956"/>
  <c r="L387" i="956"/>
  <c r="L419" i="956"/>
  <c r="N419" i="956"/>
  <c r="L434" i="956"/>
  <c r="N434" i="956"/>
  <c r="L449" i="956"/>
  <c r="N449" i="956"/>
  <c r="I461" i="956"/>
  <c r="I467" i="956"/>
  <c r="I476" i="956"/>
  <c r="I482" i="956"/>
  <c r="N499" i="956"/>
  <c r="L499" i="956"/>
  <c r="AF98" i="956"/>
  <c r="I518" i="956" s="1"/>
  <c r="N529" i="956"/>
  <c r="L529" i="956"/>
  <c r="AF133" i="956"/>
  <c r="I563" i="956" s="1"/>
  <c r="AE134" i="956"/>
  <c r="I571" i="956" s="1"/>
  <c r="L584" i="956"/>
  <c r="N584" i="956"/>
  <c r="N600" i="956"/>
  <c r="L600" i="956"/>
  <c r="B214" i="956"/>
  <c r="B206" i="956"/>
  <c r="B198" i="956"/>
  <c r="B190" i="956"/>
  <c r="B183" i="956"/>
  <c r="B178" i="956"/>
  <c r="B172" i="956"/>
  <c r="B167" i="956"/>
  <c r="B160" i="956"/>
  <c r="B151" i="956"/>
  <c r="B213" i="956"/>
  <c r="B205" i="956"/>
  <c r="B197" i="956"/>
  <c r="B189" i="956"/>
  <c r="B185" i="956"/>
  <c r="B177" i="956"/>
  <c r="B171" i="956"/>
  <c r="B166" i="956"/>
  <c r="B159" i="956"/>
  <c r="B147" i="956"/>
  <c r="B145" i="956"/>
  <c r="B141" i="956"/>
  <c r="B138" i="956"/>
  <c r="B212" i="956"/>
  <c r="B204" i="956"/>
  <c r="B196" i="956"/>
  <c r="B188" i="956"/>
  <c r="B174" i="956"/>
  <c r="B162" i="956"/>
  <c r="B158" i="956"/>
  <c r="B154" i="956"/>
  <c r="B150" i="956"/>
  <c r="B140" i="956"/>
  <c r="N137" i="956"/>
  <c r="B137" i="956"/>
  <c r="B211" i="956"/>
  <c r="B203" i="956"/>
  <c r="B195" i="956"/>
  <c r="B187" i="956"/>
  <c r="B165" i="956"/>
  <c r="B157" i="956"/>
  <c r="B146" i="956"/>
  <c r="B142" i="956"/>
  <c r="B210" i="956"/>
  <c r="B202" i="956"/>
  <c r="B194" i="956"/>
  <c r="B184" i="956"/>
  <c r="B182" i="956"/>
  <c r="B176" i="956"/>
  <c r="B164" i="956"/>
  <c r="B153" i="956"/>
  <c r="B149" i="956"/>
  <c r="B209" i="956"/>
  <c r="B201" i="956"/>
  <c r="B193" i="956"/>
  <c r="B181" i="956"/>
  <c r="B215" i="956"/>
  <c r="B207" i="956"/>
  <c r="B199" i="956"/>
  <c r="B191" i="956"/>
  <c r="B179" i="956"/>
  <c r="B175" i="956"/>
  <c r="B168" i="956"/>
  <c r="B163" i="956"/>
  <c r="B155" i="956"/>
  <c r="B144" i="956"/>
  <c r="B139" i="956"/>
  <c r="B143" i="956"/>
  <c r="F145" i="956"/>
  <c r="F150" i="956"/>
  <c r="F152" i="956"/>
  <c r="N158" i="956"/>
  <c r="L158" i="956"/>
  <c r="F164" i="956"/>
  <c r="F171" i="956"/>
  <c r="AB185" i="956"/>
  <c r="AD185" i="956" s="1"/>
  <c r="N174" i="956"/>
  <c r="L174" i="956"/>
  <c r="F186" i="956"/>
  <c r="F188" i="956"/>
  <c r="B200" i="956"/>
  <c r="F208" i="956"/>
  <c r="F215" i="956"/>
  <c r="F229" i="956"/>
  <c r="F233" i="956"/>
  <c r="F234" i="956"/>
  <c r="AI249" i="956"/>
  <c r="F271" i="956"/>
  <c r="AF143" i="956"/>
  <c r="I668" i="956" s="1"/>
  <c r="AF144" i="956"/>
  <c r="I683" i="956" s="1"/>
  <c r="AF142" i="956"/>
  <c r="I653" i="956" s="1"/>
  <c r="A22" i="956"/>
  <c r="K36" i="956"/>
  <c r="N62" i="956"/>
  <c r="N66" i="956"/>
  <c r="I914" i="956"/>
  <c r="I939" i="956"/>
  <c r="I930" i="956"/>
  <c r="I933" i="956"/>
  <c r="I932" i="956"/>
  <c r="AF81" i="956"/>
  <c r="I323" i="956" s="1"/>
  <c r="L330" i="956"/>
  <c r="N330" i="956"/>
  <c r="N357" i="956"/>
  <c r="L357" i="956"/>
  <c r="AF85" i="956"/>
  <c r="I383" i="956" s="1"/>
  <c r="N385" i="956"/>
  <c r="L385" i="956"/>
  <c r="N409" i="956"/>
  <c r="L409" i="956"/>
  <c r="L466" i="956"/>
  <c r="N466" i="956"/>
  <c r="N481" i="956"/>
  <c r="L481" i="956"/>
  <c r="N492" i="956"/>
  <c r="L492" i="956"/>
  <c r="AH97" i="956"/>
  <c r="N519" i="956"/>
  <c r="L520" i="956"/>
  <c r="N520" i="956"/>
  <c r="V108" i="956"/>
  <c r="AF134" i="956"/>
  <c r="I578" i="956" s="1"/>
  <c r="AE135" i="956"/>
  <c r="I586" i="956" s="1"/>
  <c r="L599" i="956"/>
  <c r="N599" i="956"/>
  <c r="AF137" i="956"/>
  <c r="I623" i="956" s="1"/>
  <c r="F140" i="956"/>
  <c r="F143" i="956"/>
  <c r="F147" i="956"/>
  <c r="N150" i="956"/>
  <c r="L150" i="956"/>
  <c r="L738" i="956"/>
  <c r="N738" i="956"/>
  <c r="F154" i="956"/>
  <c r="F163" i="956"/>
  <c r="F182" i="956"/>
  <c r="F193" i="956"/>
  <c r="N195" i="956"/>
  <c r="L195" i="956"/>
  <c r="F200" i="956"/>
  <c r="F207" i="956"/>
  <c r="AD283" i="956"/>
  <c r="AD275" i="956"/>
  <c r="AD267" i="956"/>
  <c r="AD259" i="956"/>
  <c r="AD251" i="956"/>
  <c r="AD282" i="956"/>
  <c r="AD274" i="956"/>
  <c r="AD266" i="956"/>
  <c r="AD258" i="956"/>
  <c r="AD281" i="956"/>
  <c r="AD273" i="956"/>
  <c r="AD265" i="956"/>
  <c r="AD257" i="956"/>
  <c r="AD249" i="956"/>
  <c r="AD241" i="956"/>
  <c r="AD280" i="956"/>
  <c r="AD272" i="956"/>
  <c r="AD264" i="956"/>
  <c r="AD256" i="956"/>
  <c r="AD279" i="956"/>
  <c r="AD271" i="956"/>
  <c r="AD263" i="956"/>
  <c r="AD255" i="956"/>
  <c r="AD247" i="956"/>
  <c r="AD278" i="956"/>
  <c r="AD270" i="956"/>
  <c r="AD285" i="956"/>
  <c r="AD277" i="956"/>
  <c r="AD269" i="956"/>
  <c r="AD261" i="956"/>
  <c r="AD253" i="956"/>
  <c r="AD245" i="956"/>
  <c r="AD237" i="956"/>
  <c r="AD235" i="956"/>
  <c r="AD233" i="956"/>
  <c r="AD276" i="956"/>
  <c r="AD250" i="956"/>
  <c r="AD262" i="956"/>
  <c r="AD252" i="956"/>
  <c r="AD242" i="956"/>
  <c r="AD248" i="956"/>
  <c r="AD238" i="956"/>
  <c r="AD234" i="956"/>
  <c r="AD260" i="956"/>
  <c r="AD243" i="956"/>
  <c r="AD236" i="956"/>
  <c r="AD268" i="956"/>
  <c r="AD254" i="956"/>
  <c r="AD240" i="956"/>
  <c r="AH282" i="956"/>
  <c r="W2" i="956"/>
  <c r="B22" i="956"/>
  <c r="B63" i="956"/>
  <c r="B67" i="956"/>
  <c r="I913" i="956"/>
  <c r="I908" i="956"/>
  <c r="I1034" i="956"/>
  <c r="I1028" i="956"/>
  <c r="AD75" i="956"/>
  <c r="N319" i="956"/>
  <c r="L319" i="956"/>
  <c r="F320" i="956"/>
  <c r="N329" i="956"/>
  <c r="L329" i="956"/>
  <c r="L343" i="956"/>
  <c r="N343" i="956"/>
  <c r="AL83" i="956"/>
  <c r="I351" i="956" s="1"/>
  <c r="N355" i="956"/>
  <c r="L355" i="956"/>
  <c r="N379" i="956"/>
  <c r="L379" i="956"/>
  <c r="N391" i="956"/>
  <c r="L391" i="956"/>
  <c r="AJ88" i="956"/>
  <c r="I397" i="956" s="1"/>
  <c r="N402" i="956"/>
  <c r="L402" i="956"/>
  <c r="AH89" i="956"/>
  <c r="N424" i="956"/>
  <c r="L424" i="956"/>
  <c r="F425" i="956"/>
  <c r="AH90" i="956"/>
  <c r="N439" i="956"/>
  <c r="L439" i="956"/>
  <c r="AH91" i="956"/>
  <c r="N454" i="956"/>
  <c r="L454" i="956"/>
  <c r="N463" i="956"/>
  <c r="L463" i="956"/>
  <c r="L478" i="956"/>
  <c r="N478" i="956"/>
  <c r="I491" i="956"/>
  <c r="I497" i="956"/>
  <c r="N523" i="956"/>
  <c r="L523" i="956"/>
  <c r="AF135" i="956"/>
  <c r="I593" i="956" s="1"/>
  <c r="L137" i="956"/>
  <c r="N140" i="956"/>
  <c r="L140" i="956"/>
  <c r="N142" i="956"/>
  <c r="L142" i="956"/>
  <c r="I679" i="956"/>
  <c r="AE144" i="956"/>
  <c r="I676" i="956" s="1"/>
  <c r="N704" i="956"/>
  <c r="L704" i="956"/>
  <c r="I731" i="956"/>
  <c r="I737" i="956"/>
  <c r="N154" i="956"/>
  <c r="L154" i="956"/>
  <c r="N157" i="956"/>
  <c r="L157" i="956"/>
  <c r="N165" i="956"/>
  <c r="L165" i="956"/>
  <c r="B173" i="956"/>
  <c r="F181" i="956"/>
  <c r="B192" i="956"/>
  <c r="AI241" i="956"/>
  <c r="AG229" i="956"/>
  <c r="AH268" i="956"/>
  <c r="AI281" i="956"/>
  <c r="I1038" i="956"/>
  <c r="I1041" i="956"/>
  <c r="I921" i="956"/>
  <c r="I918" i="956"/>
  <c r="F292" i="956"/>
  <c r="F283" i="956"/>
  <c r="F275" i="956"/>
  <c r="F267" i="956"/>
  <c r="F259" i="956"/>
  <c r="F251" i="956"/>
  <c r="F291" i="956"/>
  <c r="F282" i="956"/>
  <c r="F274" i="956"/>
  <c r="F266" i="956"/>
  <c r="F258" i="956"/>
  <c r="F289" i="956"/>
  <c r="F280" i="956"/>
  <c r="F272" i="956"/>
  <c r="F264" i="956"/>
  <c r="F256" i="956"/>
  <c r="F295" i="956"/>
  <c r="F286" i="956"/>
  <c r="F278" i="956"/>
  <c r="F270" i="956"/>
  <c r="F293" i="956"/>
  <c r="F287" i="956"/>
  <c r="F262" i="956"/>
  <c r="F210" i="956"/>
  <c r="F202" i="956"/>
  <c r="F194" i="956"/>
  <c r="D137" i="956"/>
  <c r="I83" i="956" s="1"/>
  <c r="F252" i="956"/>
  <c r="F250" i="956"/>
  <c r="F284" i="956"/>
  <c r="F260" i="956"/>
  <c r="I115" i="956"/>
  <c r="F248" i="956"/>
  <c r="F268" i="956"/>
  <c r="F239" i="956"/>
  <c r="F238" i="956"/>
  <c r="F231" i="956"/>
  <c r="F225" i="956"/>
  <c r="F214" i="956"/>
  <c r="F206" i="956"/>
  <c r="F198" i="956"/>
  <c r="F190" i="956"/>
  <c r="F178" i="956"/>
  <c r="F172" i="956"/>
  <c r="F167" i="956"/>
  <c r="F160" i="956"/>
  <c r="F151" i="956"/>
  <c r="F276" i="956"/>
  <c r="F254" i="956"/>
  <c r="F246" i="956"/>
  <c r="F244" i="956"/>
  <c r="F237" i="956"/>
  <c r="F230" i="956"/>
  <c r="F226" i="956"/>
  <c r="F213" i="956"/>
  <c r="F205" i="956"/>
  <c r="F197" i="956"/>
  <c r="F189" i="956"/>
  <c r="F185" i="956"/>
  <c r="F177" i="956"/>
  <c r="F211" i="956"/>
  <c r="F203" i="956"/>
  <c r="F195" i="956"/>
  <c r="F187" i="956"/>
  <c r="F157" i="956"/>
  <c r="F146" i="956"/>
  <c r="F142" i="956"/>
  <c r="U12" i="956"/>
  <c r="H22" i="956"/>
  <c r="I1029" i="956"/>
  <c r="I1048" i="956"/>
  <c r="I909" i="956"/>
  <c r="AF75" i="956"/>
  <c r="U79" i="956"/>
  <c r="N312" i="956"/>
  <c r="L312" i="956"/>
  <c r="N320" i="956"/>
  <c r="L320" i="956"/>
  <c r="N345" i="956"/>
  <c r="L345" i="956"/>
  <c r="N361" i="956"/>
  <c r="L361" i="956"/>
  <c r="N372" i="956"/>
  <c r="L372" i="956"/>
  <c r="N380" i="956"/>
  <c r="L380" i="956"/>
  <c r="L388" i="956"/>
  <c r="N388" i="956"/>
  <c r="N400" i="956"/>
  <c r="L400" i="956"/>
  <c r="L432" i="956"/>
  <c r="N432" i="956"/>
  <c r="N447" i="956"/>
  <c r="L447" i="956"/>
  <c r="N455" i="956"/>
  <c r="L455" i="956"/>
  <c r="N465" i="956"/>
  <c r="L465" i="956"/>
  <c r="I506" i="956"/>
  <c r="I512" i="956"/>
  <c r="N525" i="956"/>
  <c r="L525" i="956"/>
  <c r="U130" i="956"/>
  <c r="I559" i="956"/>
  <c r="AE133" i="956"/>
  <c r="I556" i="956" s="1"/>
  <c r="N574" i="956"/>
  <c r="L574" i="956"/>
  <c r="F144" i="956"/>
  <c r="N678" i="956"/>
  <c r="L678" i="956"/>
  <c r="N146" i="956"/>
  <c r="L146" i="956"/>
  <c r="N706" i="956"/>
  <c r="L706" i="956"/>
  <c r="F173" i="956"/>
  <c r="F176" i="956"/>
  <c r="B180" i="956"/>
  <c r="N187" i="956"/>
  <c r="L187" i="956"/>
  <c r="F192" i="956"/>
  <c r="F199" i="956"/>
  <c r="F212" i="956"/>
  <c r="W221" i="956"/>
  <c r="F227" i="956"/>
  <c r="F235" i="956"/>
  <c r="F243" i="956"/>
  <c r="AI259" i="956"/>
  <c r="N338" i="956"/>
  <c r="L338" i="956"/>
  <c r="B316" i="956"/>
  <c r="N310" i="956"/>
  <c r="B314" i="956"/>
  <c r="B310" i="956"/>
  <c r="B315" i="956"/>
  <c r="B312" i="956"/>
  <c r="B319" i="956"/>
  <c r="L310" i="956"/>
  <c r="B320" i="956"/>
  <c r="F322" i="956"/>
  <c r="N334" i="956"/>
  <c r="L334" i="956"/>
  <c r="N344" i="956"/>
  <c r="L344" i="956"/>
  <c r="L358" i="956"/>
  <c r="N358" i="956"/>
  <c r="N370" i="956"/>
  <c r="L370" i="956"/>
  <c r="N415" i="956"/>
  <c r="L415" i="956"/>
  <c r="N430" i="956"/>
  <c r="L430" i="956"/>
  <c r="N464" i="956"/>
  <c r="L464" i="956"/>
  <c r="N479" i="956"/>
  <c r="L479" i="956"/>
  <c r="N493" i="956"/>
  <c r="L493" i="956"/>
  <c r="L511" i="956"/>
  <c r="N511" i="956"/>
  <c r="L524" i="956"/>
  <c r="N524" i="956"/>
  <c r="L558" i="956"/>
  <c r="N558" i="956"/>
  <c r="L573" i="956"/>
  <c r="N573" i="956"/>
  <c r="L589" i="956"/>
  <c r="N589" i="956"/>
  <c r="L631" i="956"/>
  <c r="N624" i="956"/>
  <c r="N631" i="956"/>
  <c r="F162" i="956"/>
  <c r="B169" i="956"/>
  <c r="B170" i="956"/>
  <c r="F175" i="956"/>
  <c r="F180" i="956"/>
  <c r="F184" i="956"/>
  <c r="F204" i="956"/>
  <c r="F228" i="956"/>
  <c r="AH235" i="956"/>
  <c r="AD246" i="956"/>
  <c r="N633" i="956"/>
  <c r="L633" i="956"/>
  <c r="N693" i="956"/>
  <c r="L693" i="956"/>
  <c r="N705" i="956"/>
  <c r="L705" i="956"/>
  <c r="I722" i="956"/>
  <c r="I716" i="956"/>
  <c r="L739" i="956"/>
  <c r="N739" i="956"/>
  <c r="N163" i="956"/>
  <c r="N168" i="956"/>
  <c r="N175" i="956"/>
  <c r="AB183" i="956"/>
  <c r="N191" i="956"/>
  <c r="N199" i="956"/>
  <c r="AH228" i="956"/>
  <c r="AI231" i="956"/>
  <c r="AH232" i="956"/>
  <c r="AG233" i="956"/>
  <c r="AG235" i="956"/>
  <c r="AB236" i="956"/>
  <c r="Z242" i="956"/>
  <c r="AH249" i="956"/>
  <c r="AH250" i="956"/>
  <c r="AI255" i="956"/>
  <c r="Z264" i="956"/>
  <c r="F273" i="956"/>
  <c r="F288" i="956"/>
  <c r="AG289" i="956"/>
  <c r="AG293" i="956"/>
  <c r="AG290" i="956"/>
  <c r="AG282" i="956"/>
  <c r="AG274" i="956"/>
  <c r="AG266" i="956"/>
  <c r="AG258" i="956"/>
  <c r="AG296" i="956"/>
  <c r="AG281" i="956"/>
  <c r="AG273" i="956"/>
  <c r="AG265" i="956"/>
  <c r="AG288" i="956"/>
  <c r="AG280" i="956"/>
  <c r="AG272" i="956"/>
  <c r="AG264" i="956"/>
  <c r="AG256" i="956"/>
  <c r="AG248" i="956"/>
  <c r="AG240" i="956"/>
  <c r="AG295" i="956"/>
  <c r="AG287" i="956"/>
  <c r="AG279" i="956"/>
  <c r="AG271" i="956"/>
  <c r="AG263" i="956"/>
  <c r="AG255" i="956"/>
  <c r="AG294" i="956"/>
  <c r="AG278" i="956"/>
  <c r="AG270" i="956"/>
  <c r="AG262" i="956"/>
  <c r="AG254" i="956"/>
  <c r="AG246" i="956"/>
  <c r="AG285" i="956"/>
  <c r="AG277" i="956"/>
  <c r="AG297" i="956"/>
  <c r="AG292" i="956"/>
  <c r="AG284" i="956"/>
  <c r="AG276" i="956"/>
  <c r="AG268" i="956"/>
  <c r="AG260" i="956"/>
  <c r="AG252" i="956"/>
  <c r="AG244" i="956"/>
  <c r="AI235" i="956"/>
  <c r="AG239" i="956"/>
  <c r="AI240" i="956"/>
  <c r="AB242" i="956"/>
  <c r="AH244" i="956"/>
  <c r="AB245" i="956"/>
  <c r="AH246" i="956"/>
  <c r="Z247" i="956"/>
  <c r="Z250" i="956"/>
  <c r="AI251" i="956"/>
  <c r="AB252" i="956"/>
  <c r="F255" i="956"/>
  <c r="AB262" i="956"/>
  <c r="AB264" i="956"/>
  <c r="Z266" i="956"/>
  <c r="F269" i="956"/>
  <c r="AB278" i="956"/>
  <c r="F285" i="956"/>
  <c r="N664" i="956"/>
  <c r="L664" i="956"/>
  <c r="N719" i="956"/>
  <c r="L719" i="956"/>
  <c r="N733" i="956"/>
  <c r="L733" i="956"/>
  <c r="L753" i="956"/>
  <c r="N753" i="956"/>
  <c r="L768" i="956"/>
  <c r="L759" i="956" s="1"/>
  <c r="N759" i="956"/>
  <c r="N768" i="956"/>
  <c r="AH229" i="956"/>
  <c r="AG230" i="956"/>
  <c r="Z233" i="956"/>
  <c r="Z235" i="956"/>
  <c r="AG236" i="956"/>
  <c r="AI239" i="956"/>
  <c r="AB241" i="956"/>
  <c r="AG243" i="956"/>
  <c r="AH256" i="956"/>
  <c r="AG261" i="956"/>
  <c r="AI265" i="956"/>
  <c r="F281" i="956"/>
  <c r="AG286" i="956"/>
  <c r="AI290" i="956"/>
  <c r="N663" i="956"/>
  <c r="L663" i="956"/>
  <c r="L709" i="956"/>
  <c r="N709" i="956"/>
  <c r="L735" i="956"/>
  <c r="N735" i="956"/>
  <c r="I746" i="956"/>
  <c r="I752" i="956"/>
  <c r="AB182" i="956"/>
  <c r="AB184" i="956"/>
  <c r="AD184" i="956" s="1"/>
  <c r="L188" i="956"/>
  <c r="L196" i="956"/>
  <c r="L204" i="956"/>
  <c r="L212" i="956"/>
  <c r="AI229" i="956"/>
  <c r="AH294" i="956"/>
  <c r="AH290" i="956"/>
  <c r="AH296" i="956"/>
  <c r="AH289" i="956"/>
  <c r="AH281" i="956"/>
  <c r="AH273" i="956"/>
  <c r="AH265" i="956"/>
  <c r="AH257" i="956"/>
  <c r="AH288" i="956"/>
  <c r="AH280" i="956"/>
  <c r="AH272" i="956"/>
  <c r="AH264" i="956"/>
  <c r="AH295" i="956"/>
  <c r="AH287" i="956"/>
  <c r="AH279" i="956"/>
  <c r="AH271" i="956"/>
  <c r="AH263" i="956"/>
  <c r="AH255" i="956"/>
  <c r="AH247" i="956"/>
  <c r="AH239" i="956"/>
  <c r="AH278" i="956"/>
  <c r="AH270" i="956"/>
  <c r="AH262" i="956"/>
  <c r="AH254" i="956"/>
  <c r="AH293" i="956"/>
  <c r="AH285" i="956"/>
  <c r="AH277" i="956"/>
  <c r="AH269" i="956"/>
  <c r="AH261" i="956"/>
  <c r="AH253" i="956"/>
  <c r="AH245" i="956"/>
  <c r="AH297" i="956"/>
  <c r="AH292" i="956"/>
  <c r="AH284" i="956"/>
  <c r="AH276" i="956"/>
  <c r="AH291" i="956"/>
  <c r="AH286" i="956"/>
  <c r="AH283" i="956"/>
  <c r="AH275" i="956"/>
  <c r="AH267" i="956"/>
  <c r="AH259" i="956"/>
  <c r="AH251" i="956"/>
  <c r="AH243" i="956"/>
  <c r="AG234" i="956"/>
  <c r="AH236" i="956"/>
  <c r="AG237" i="956"/>
  <c r="AG238" i="956"/>
  <c r="Z240" i="956"/>
  <c r="F241" i="956"/>
  <c r="AI243" i="956"/>
  <c r="F245" i="956"/>
  <c r="AG245" i="956"/>
  <c r="AH248" i="956"/>
  <c r="AB250" i="956"/>
  <c r="Z254" i="956"/>
  <c r="AG257" i="956"/>
  <c r="Z258" i="956"/>
  <c r="F261" i="956"/>
  <c r="F279" i="956"/>
  <c r="N514" i="956"/>
  <c r="L514" i="956"/>
  <c r="N555" i="956"/>
  <c r="L555" i="956"/>
  <c r="N568" i="956"/>
  <c r="L568" i="956"/>
  <c r="N588" i="956"/>
  <c r="L588" i="956"/>
  <c r="N604" i="956"/>
  <c r="L604" i="956"/>
  <c r="L138" i="956"/>
  <c r="L141" i="956"/>
  <c r="AE143" i="956"/>
  <c r="I661" i="956" s="1"/>
  <c r="L145" i="956"/>
  <c r="L147" i="956"/>
  <c r="L708" i="956"/>
  <c r="N708" i="956"/>
  <c r="N734" i="956"/>
  <c r="L734" i="956"/>
  <c r="N748" i="956"/>
  <c r="L748" i="956"/>
  <c r="L159" i="956"/>
  <c r="L166" i="956"/>
  <c r="L171" i="956"/>
  <c r="L177" i="956"/>
  <c r="L185" i="956"/>
  <c r="L189" i="956"/>
  <c r="L197" i="956"/>
  <c r="L205" i="956"/>
  <c r="L213" i="956"/>
  <c r="N225" i="956"/>
  <c r="Z279" i="956"/>
  <c r="Z271" i="956"/>
  <c r="Z263" i="956"/>
  <c r="Z255" i="956"/>
  <c r="Z278" i="956"/>
  <c r="Z270" i="956"/>
  <c r="Z262" i="956"/>
  <c r="Z285" i="956"/>
  <c r="Z277" i="956"/>
  <c r="Z269" i="956"/>
  <c r="Z261" i="956"/>
  <c r="Z253" i="956"/>
  <c r="Z245" i="956"/>
  <c r="Z237" i="956"/>
  <c r="Z284" i="956"/>
  <c r="Z276" i="956"/>
  <c r="Z268" i="956"/>
  <c r="Z260" i="956"/>
  <c r="Z252" i="956"/>
  <c r="Z283" i="956"/>
  <c r="Z275" i="956"/>
  <c r="Z267" i="956"/>
  <c r="Z259" i="956"/>
  <c r="Z251" i="956"/>
  <c r="Z282" i="956"/>
  <c r="Z274" i="956"/>
  <c r="Z281" i="956"/>
  <c r="Z273" i="956"/>
  <c r="Z265" i="956"/>
  <c r="Z257" i="956"/>
  <c r="Z249" i="956"/>
  <c r="Z241" i="956"/>
  <c r="Z236" i="956"/>
  <c r="AI230" i="956"/>
  <c r="AB233" i="956"/>
  <c r="AH234" i="956"/>
  <c r="AB235" i="956"/>
  <c r="AI236" i="956"/>
  <c r="AH237" i="956"/>
  <c r="AH238" i="956"/>
  <c r="AG241" i="956"/>
  <c r="AG242" i="956"/>
  <c r="Z244" i="956"/>
  <c r="AI245" i="956"/>
  <c r="Z246" i="956"/>
  <c r="F247" i="956"/>
  <c r="AG247" i="956"/>
  <c r="AI248" i="956"/>
  <c r="AH252" i="956"/>
  <c r="AG253" i="956"/>
  <c r="F257" i="956"/>
  <c r="F263" i="956"/>
  <c r="F265" i="956"/>
  <c r="AH266" i="956"/>
  <c r="N346" i="956"/>
  <c r="L346" i="956"/>
  <c r="N364" i="956"/>
  <c r="L364" i="956"/>
  <c r="N390" i="956"/>
  <c r="L390" i="956"/>
  <c r="N406" i="956"/>
  <c r="L406" i="956"/>
  <c r="N417" i="956"/>
  <c r="L417" i="956"/>
  <c r="N450" i="956"/>
  <c r="L450" i="956"/>
  <c r="N480" i="956"/>
  <c r="L480" i="956"/>
  <c r="L496" i="956"/>
  <c r="N496" i="956"/>
  <c r="N507" i="956"/>
  <c r="L507" i="956"/>
  <c r="AH98" i="956"/>
  <c r="L554" i="956"/>
  <c r="N554" i="956"/>
  <c r="N570" i="956"/>
  <c r="L570" i="956"/>
  <c r="N583" i="956"/>
  <c r="L583" i="956"/>
  <c r="L603" i="956"/>
  <c r="N603" i="956"/>
  <c r="L619" i="956"/>
  <c r="N619" i="956"/>
  <c r="N648" i="956"/>
  <c r="L648" i="956"/>
  <c r="I701" i="956"/>
  <c r="I707" i="956"/>
  <c r="N724" i="956"/>
  <c r="L724" i="956"/>
  <c r="L151" i="956"/>
  <c r="AE151" i="956"/>
  <c r="I736" i="956" s="1"/>
  <c r="N750" i="956"/>
  <c r="L750" i="956"/>
  <c r="L160" i="956"/>
  <c r="L167" i="956"/>
  <c r="L172" i="956"/>
  <c r="L178" i="956"/>
  <c r="L183" i="956"/>
  <c r="L190" i="956"/>
  <c r="L198" i="956"/>
  <c r="L206" i="956"/>
  <c r="L214" i="956"/>
  <c r="AG231" i="956"/>
  <c r="AI296" i="956"/>
  <c r="AI291" i="956"/>
  <c r="AI297" i="956"/>
  <c r="AI295" i="956"/>
  <c r="AI287" i="956"/>
  <c r="AI288" i="956"/>
  <c r="AJ288" i="956" s="1"/>
  <c r="I286" i="956" s="1"/>
  <c r="N286" i="956" s="1"/>
  <c r="AI280" i="956"/>
  <c r="AI272" i="956"/>
  <c r="AI264" i="956"/>
  <c r="AI256" i="956"/>
  <c r="AI279" i="956"/>
  <c r="AI271" i="956"/>
  <c r="AI263" i="956"/>
  <c r="AI278" i="956"/>
  <c r="AI270" i="956"/>
  <c r="AI262" i="956"/>
  <c r="AI254" i="956"/>
  <c r="AI246" i="956"/>
  <c r="AI238" i="956"/>
  <c r="AI294" i="956"/>
  <c r="AI293" i="956"/>
  <c r="AI285" i="956"/>
  <c r="AI277" i="956"/>
  <c r="AI269" i="956"/>
  <c r="AI261" i="956"/>
  <c r="AI253" i="956"/>
  <c r="AI292" i="956"/>
  <c r="AI284" i="956"/>
  <c r="AI276" i="956"/>
  <c r="AI268" i="956"/>
  <c r="AI260" i="956"/>
  <c r="AI252" i="956"/>
  <c r="AI244" i="956"/>
  <c r="AI286" i="956"/>
  <c r="AI283" i="956"/>
  <c r="AI275" i="956"/>
  <c r="AI282" i="956"/>
  <c r="AI274" i="956"/>
  <c r="AI266" i="956"/>
  <c r="AI258" i="956"/>
  <c r="AI250" i="956"/>
  <c r="AI242" i="956"/>
  <c r="AI234" i="956"/>
  <c r="AI237" i="956"/>
  <c r="Z239" i="956"/>
  <c r="AB240" i="956"/>
  <c r="AH241" i="956"/>
  <c r="AH242" i="956"/>
  <c r="AI247" i="956"/>
  <c r="F253" i="956"/>
  <c r="AG267" i="956"/>
  <c r="AI273" i="956"/>
  <c r="AH274" i="956"/>
  <c r="AG275" i="956"/>
  <c r="N569" i="956"/>
  <c r="L569" i="956"/>
  <c r="L585" i="956"/>
  <c r="N585" i="956"/>
  <c r="N598" i="956"/>
  <c r="L598" i="956"/>
  <c r="N618" i="956"/>
  <c r="L618" i="956"/>
  <c r="N634" i="956"/>
  <c r="L634" i="956"/>
  <c r="N694" i="956"/>
  <c r="L694" i="956"/>
  <c r="L703" i="956"/>
  <c r="N703" i="956"/>
  <c r="N723" i="956"/>
  <c r="L723" i="956"/>
  <c r="L749" i="956"/>
  <c r="N749" i="956"/>
  <c r="B225" i="956"/>
  <c r="AG228" i="956"/>
  <c r="AB285" i="956"/>
  <c r="AB277" i="956"/>
  <c r="AB269" i="956"/>
  <c r="AB261" i="956"/>
  <c r="AB253" i="956"/>
  <c r="AB284" i="956"/>
  <c r="AB276" i="956"/>
  <c r="AB268" i="956"/>
  <c r="AB260" i="956"/>
  <c r="AB283" i="956"/>
  <c r="AB275" i="956"/>
  <c r="AB267" i="956"/>
  <c r="AB259" i="956"/>
  <c r="AB251" i="956"/>
  <c r="AB243" i="956"/>
  <c r="AB282" i="956"/>
  <c r="AB274" i="956"/>
  <c r="AB266" i="956"/>
  <c r="AB258" i="956"/>
  <c r="AB281" i="956"/>
  <c r="AB273" i="956"/>
  <c r="AB265" i="956"/>
  <c r="AB257" i="956"/>
  <c r="AB249" i="956"/>
  <c r="AB280" i="956"/>
  <c r="AB272" i="956"/>
  <c r="AB279" i="956"/>
  <c r="AB271" i="956"/>
  <c r="AB263" i="956"/>
  <c r="AB255" i="956"/>
  <c r="AB247" i="956"/>
  <c r="AB239" i="956"/>
  <c r="AG232" i="956"/>
  <c r="Z234" i="956"/>
  <c r="Z238" i="956"/>
  <c r="Z243" i="956"/>
  <c r="AB244" i="956"/>
  <c r="AB246" i="956"/>
  <c r="Z248" i="956"/>
  <c r="F249" i="956"/>
  <c r="AG249" i="956"/>
  <c r="AG250" i="956"/>
  <c r="Z256" i="956"/>
  <c r="AH258" i="956"/>
  <c r="AI267" i="956"/>
  <c r="AB270" i="956"/>
  <c r="F277" i="956"/>
  <c r="Z280" i="956"/>
  <c r="AI289" i="956"/>
  <c r="AG291" i="956"/>
  <c r="L560" i="956"/>
  <c r="N560" i="956"/>
  <c r="F290" i="956"/>
  <c r="F294" i="956"/>
  <c r="L528" i="956"/>
  <c r="N528" i="956"/>
  <c r="N538" i="956"/>
  <c r="L538" i="956"/>
  <c r="N612" i="956"/>
  <c r="L612" i="956"/>
  <c r="L539" i="956"/>
  <c r="N539" i="956"/>
  <c r="L543" i="956"/>
  <c r="N543" i="956"/>
  <c r="N534" i="956"/>
  <c r="L535" i="956"/>
  <c r="N537" i="956"/>
  <c r="L537" i="956"/>
  <c r="L567" i="956"/>
  <c r="L652" i="956"/>
  <c r="N712" i="956"/>
  <c r="N727" i="956"/>
  <c r="L727" i="956"/>
  <c r="L582" i="956"/>
  <c r="L606" i="956"/>
  <c r="L620" i="956"/>
  <c r="L696" i="956"/>
  <c r="L541" i="956"/>
  <c r="N561" i="956"/>
  <c r="L597" i="956"/>
  <c r="N774" i="956"/>
  <c r="L201" i="955"/>
  <c r="L152" i="955"/>
  <c r="L156" i="955"/>
  <c r="L213" i="955"/>
  <c r="L205" i="955"/>
  <c r="L172" i="954"/>
  <c r="C117" i="955"/>
  <c r="L197" i="955"/>
  <c r="BB3" i="955"/>
  <c r="L824" i="955"/>
  <c r="L804" i="955"/>
  <c r="L1077" i="955"/>
  <c r="L912" i="955"/>
  <c r="L965" i="955"/>
  <c r="L1025" i="955"/>
  <c r="L1145" i="955"/>
  <c r="L1021" i="955"/>
  <c r="L908" i="955"/>
  <c r="L856" i="955"/>
  <c r="U79" i="955"/>
  <c r="H22" i="955"/>
  <c r="K5" i="955"/>
  <c r="V165" i="955"/>
  <c r="B22" i="955"/>
  <c r="W2" i="955"/>
  <c r="K36" i="955"/>
  <c r="A22" i="955"/>
  <c r="AC5" i="955"/>
  <c r="P170" i="955"/>
  <c r="V108" i="955"/>
  <c r="J36" i="955"/>
  <c r="U130" i="955"/>
  <c r="H62" i="955"/>
  <c r="H36" i="955"/>
  <c r="H15" i="955"/>
  <c r="B36" i="955"/>
  <c r="H12" i="955"/>
  <c r="W5" i="955"/>
  <c r="A36" i="955"/>
  <c r="W221" i="955"/>
  <c r="J22" i="955"/>
  <c r="AF95" i="955"/>
  <c r="I473" i="955" s="1"/>
  <c r="AF98" i="955"/>
  <c r="I518" i="955" s="1"/>
  <c r="AF97" i="955"/>
  <c r="I503" i="955" s="1"/>
  <c r="AF96" i="955"/>
  <c r="I488" i="955" s="1"/>
  <c r="N338" i="955"/>
  <c r="L338" i="955"/>
  <c r="N728" i="955"/>
  <c r="L728" i="955"/>
  <c r="AF91" i="955"/>
  <c r="I443" i="955" s="1"/>
  <c r="AF90" i="955"/>
  <c r="I428" i="955" s="1"/>
  <c r="AF89" i="955"/>
  <c r="I413" i="955" s="1"/>
  <c r="AF92" i="955"/>
  <c r="I458" i="955" s="1"/>
  <c r="AF88" i="955"/>
  <c r="I398" i="955" s="1"/>
  <c r="N623" i="955"/>
  <c r="L623" i="955"/>
  <c r="AF143" i="955"/>
  <c r="I668" i="955" s="1"/>
  <c r="AF144" i="955"/>
  <c r="I683" i="955" s="1"/>
  <c r="AF145" i="955"/>
  <c r="I698" i="955" s="1"/>
  <c r="N684" i="955" s="1"/>
  <c r="AF141" i="955"/>
  <c r="I638" i="955" s="1"/>
  <c r="N624" i="955" s="1"/>
  <c r="AF142" i="955"/>
  <c r="I653" i="955" s="1"/>
  <c r="AV3" i="955"/>
  <c r="BA31" i="955"/>
  <c r="P13" i="955"/>
  <c r="AE16" i="955"/>
  <c r="AK26" i="955"/>
  <c r="L64" i="955"/>
  <c r="B66" i="955"/>
  <c r="L68" i="955"/>
  <c r="B319" i="955"/>
  <c r="B313" i="955"/>
  <c r="B316" i="955"/>
  <c r="N310" i="955"/>
  <c r="L310" i="955"/>
  <c r="B314" i="955"/>
  <c r="B310" i="955"/>
  <c r="B315" i="955"/>
  <c r="B312" i="955"/>
  <c r="F322" i="955"/>
  <c r="N334" i="955"/>
  <c r="L334" i="955"/>
  <c r="N343" i="955"/>
  <c r="L343" i="955"/>
  <c r="N357" i="955"/>
  <c r="L357" i="955"/>
  <c r="AH84" i="955"/>
  <c r="L374" i="955"/>
  <c r="N374" i="955"/>
  <c r="N389" i="955"/>
  <c r="L389" i="955"/>
  <c r="N403" i="955"/>
  <c r="L403" i="955"/>
  <c r="N415" i="955"/>
  <c r="L415" i="955"/>
  <c r="N439" i="955"/>
  <c r="L439" i="955"/>
  <c r="L449" i="955"/>
  <c r="N449" i="955"/>
  <c r="L469" i="955"/>
  <c r="N469" i="955"/>
  <c r="N479" i="955"/>
  <c r="L479" i="955"/>
  <c r="N493" i="955"/>
  <c r="L493" i="955"/>
  <c r="I506" i="955"/>
  <c r="I512" i="955"/>
  <c r="AE133" i="955"/>
  <c r="I556" i="955" s="1"/>
  <c r="N569" i="955"/>
  <c r="L569" i="955"/>
  <c r="L585" i="955"/>
  <c r="N585" i="955"/>
  <c r="L598" i="955"/>
  <c r="N598" i="955"/>
  <c r="D137" i="955"/>
  <c r="I83" i="955" s="1"/>
  <c r="N618" i="955"/>
  <c r="L618" i="955"/>
  <c r="N634" i="955"/>
  <c r="L634" i="955"/>
  <c r="AE142" i="955"/>
  <c r="I646" i="955" s="1"/>
  <c r="L144" i="955"/>
  <c r="N694" i="955"/>
  <c r="L694" i="955"/>
  <c r="F149" i="955"/>
  <c r="L703" i="955"/>
  <c r="N703" i="955"/>
  <c r="N723" i="955"/>
  <c r="L723" i="955"/>
  <c r="B151" i="955"/>
  <c r="AF151" i="955"/>
  <c r="I743" i="955" s="1"/>
  <c r="N749" i="955"/>
  <c r="L749" i="955"/>
  <c r="F153" i="955"/>
  <c r="L155" i="955"/>
  <c r="B160" i="955"/>
  <c r="L163" i="955"/>
  <c r="B167" i="955"/>
  <c r="L168" i="955"/>
  <c r="B172" i="955"/>
  <c r="L175" i="955"/>
  <c r="F176" i="955"/>
  <c r="B178" i="955"/>
  <c r="L179" i="955"/>
  <c r="F182" i="955"/>
  <c r="B183" i="955"/>
  <c r="F184" i="955"/>
  <c r="L186" i="955"/>
  <c r="F187" i="955"/>
  <c r="F188" i="955"/>
  <c r="F189" i="955"/>
  <c r="F190" i="955"/>
  <c r="N204" i="955"/>
  <c r="L204" i="955"/>
  <c r="N209" i="955"/>
  <c r="F237" i="955"/>
  <c r="F249" i="955"/>
  <c r="F257" i="955"/>
  <c r="F265" i="955"/>
  <c r="F273" i="955"/>
  <c r="F285" i="955"/>
  <c r="Q13" i="955"/>
  <c r="N64" i="955"/>
  <c r="N316" i="955"/>
  <c r="L316" i="955"/>
  <c r="N327" i="955"/>
  <c r="L327" i="955"/>
  <c r="AH82" i="955"/>
  <c r="N345" i="955"/>
  <c r="L345" i="955"/>
  <c r="AL83" i="955"/>
  <c r="I351" i="955" s="1"/>
  <c r="N355" i="955"/>
  <c r="L355" i="955"/>
  <c r="AF85" i="955"/>
  <c r="I383" i="955" s="1"/>
  <c r="L405" i="955"/>
  <c r="N405" i="955"/>
  <c r="L421" i="955"/>
  <c r="N421" i="955"/>
  <c r="L432" i="955"/>
  <c r="N432" i="955"/>
  <c r="AH91" i="955"/>
  <c r="N462" i="955"/>
  <c r="L462" i="955"/>
  <c r="AH95" i="955"/>
  <c r="N495" i="955"/>
  <c r="L495" i="955"/>
  <c r="N511" i="955"/>
  <c r="L511" i="955"/>
  <c r="N529" i="955"/>
  <c r="L529" i="955"/>
  <c r="C116" i="955"/>
  <c r="N125" i="955"/>
  <c r="AF133" i="955"/>
  <c r="I563" i="955" s="1"/>
  <c r="AE134" i="955"/>
  <c r="I571" i="955" s="1"/>
  <c r="N584" i="955"/>
  <c r="L584" i="955"/>
  <c r="L600" i="955"/>
  <c r="N600" i="955"/>
  <c r="E137" i="955"/>
  <c r="I106" i="955" s="1"/>
  <c r="L613" i="955"/>
  <c r="N613" i="955"/>
  <c r="B139" i="955"/>
  <c r="N633" i="955"/>
  <c r="L633" i="955"/>
  <c r="B144" i="955"/>
  <c r="N693" i="955"/>
  <c r="L693" i="955"/>
  <c r="N705" i="955"/>
  <c r="L705" i="955"/>
  <c r="I722" i="955"/>
  <c r="I716" i="955"/>
  <c r="L739" i="955"/>
  <c r="N739" i="955"/>
  <c r="AE152" i="955"/>
  <c r="I751" i="955" s="1"/>
  <c r="B155" i="955"/>
  <c r="B163" i="955"/>
  <c r="B168" i="955"/>
  <c r="B175" i="955"/>
  <c r="B179" i="955"/>
  <c r="L180" i="955"/>
  <c r="AB183" i="955"/>
  <c r="L189" i="955"/>
  <c r="F203" i="955"/>
  <c r="B206" i="955"/>
  <c r="B207" i="955"/>
  <c r="B208" i="955"/>
  <c r="B209" i="955"/>
  <c r="F212" i="955"/>
  <c r="F228" i="955"/>
  <c r="F231" i="955"/>
  <c r="I918" i="955"/>
  <c r="I1038" i="955"/>
  <c r="I1041" i="955"/>
  <c r="I921" i="955"/>
  <c r="B69" i="955"/>
  <c r="I1030" i="955"/>
  <c r="I910" i="955"/>
  <c r="N313" i="955"/>
  <c r="L313" i="955"/>
  <c r="N325" i="955"/>
  <c r="L325" i="955"/>
  <c r="L344" i="955"/>
  <c r="N344" i="955"/>
  <c r="L361" i="955"/>
  <c r="N361" i="955"/>
  <c r="L379" i="955"/>
  <c r="N379" i="955"/>
  <c r="I1323" i="955"/>
  <c r="I1321" i="955"/>
  <c r="I1320" i="955"/>
  <c r="L394" i="955"/>
  <c r="N394" i="955"/>
  <c r="L404" i="955"/>
  <c r="N404" i="955"/>
  <c r="L418" i="955"/>
  <c r="N418" i="955"/>
  <c r="N430" i="955"/>
  <c r="L430" i="955"/>
  <c r="N454" i="955"/>
  <c r="L454" i="955"/>
  <c r="I461" i="955"/>
  <c r="I467" i="955"/>
  <c r="N484" i="955"/>
  <c r="L484" i="955"/>
  <c r="L494" i="955"/>
  <c r="N494" i="955"/>
  <c r="N508" i="955"/>
  <c r="L508" i="955"/>
  <c r="N520" i="955"/>
  <c r="L520" i="955"/>
  <c r="N519" i="955"/>
  <c r="AF134" i="955"/>
  <c r="I578" i="955" s="1"/>
  <c r="N599" i="955"/>
  <c r="L599" i="955"/>
  <c r="F137" i="955"/>
  <c r="N615" i="955"/>
  <c r="L615" i="955"/>
  <c r="F140" i="955"/>
  <c r="N631" i="955"/>
  <c r="L631" i="955"/>
  <c r="N679" i="955"/>
  <c r="L679" i="955"/>
  <c r="L691" i="955"/>
  <c r="N691" i="955"/>
  <c r="N704" i="955"/>
  <c r="L704" i="955"/>
  <c r="F150" i="955"/>
  <c r="N718" i="955"/>
  <c r="L718" i="955"/>
  <c r="N738" i="955"/>
  <c r="L738" i="955"/>
  <c r="B152" i="955"/>
  <c r="AF152" i="955"/>
  <c r="I758" i="955" s="1"/>
  <c r="F154" i="955"/>
  <c r="B156" i="955"/>
  <c r="F158" i="955"/>
  <c r="B161" i="955"/>
  <c r="F162" i="955"/>
  <c r="B169" i="955"/>
  <c r="B180" i="955"/>
  <c r="L181" i="955"/>
  <c r="B186" i="955"/>
  <c r="F193" i="955"/>
  <c r="F196" i="955"/>
  <c r="F201" i="955"/>
  <c r="F202" i="955"/>
  <c r="L203" i="955"/>
  <c r="N203" i="955"/>
  <c r="F206" i="955"/>
  <c r="F207" i="955"/>
  <c r="F208" i="955"/>
  <c r="N212" i="955"/>
  <c r="L212" i="955"/>
  <c r="B215" i="955"/>
  <c r="F243" i="955"/>
  <c r="AE19" i="955"/>
  <c r="N315" i="955"/>
  <c r="L315" i="955"/>
  <c r="AL81" i="955"/>
  <c r="I321" i="955" s="1"/>
  <c r="N331" i="955"/>
  <c r="L331" i="955"/>
  <c r="AF83" i="955"/>
  <c r="I353" i="955" s="1"/>
  <c r="N358" i="955"/>
  <c r="L358" i="955"/>
  <c r="N372" i="955"/>
  <c r="L372" i="955"/>
  <c r="AH85" i="955"/>
  <c r="L387" i="955"/>
  <c r="N387" i="955"/>
  <c r="AH88" i="955"/>
  <c r="N420" i="955"/>
  <c r="L420" i="955"/>
  <c r="N436" i="955"/>
  <c r="L436" i="955"/>
  <c r="L447" i="955"/>
  <c r="N447" i="955"/>
  <c r="AH92" i="955"/>
  <c r="L466" i="955"/>
  <c r="N466" i="955"/>
  <c r="L477" i="955"/>
  <c r="N477" i="955"/>
  <c r="AH96" i="955"/>
  <c r="L510" i="955"/>
  <c r="N510" i="955"/>
  <c r="L523" i="955"/>
  <c r="N523" i="955"/>
  <c r="N120" i="955"/>
  <c r="N126" i="955"/>
  <c r="N559" i="955"/>
  <c r="L559" i="955"/>
  <c r="AF135" i="955"/>
  <c r="I593" i="955" s="1"/>
  <c r="B210" i="955"/>
  <c r="B202" i="955"/>
  <c r="B214" i="955"/>
  <c r="B213" i="955"/>
  <c r="B205" i="955"/>
  <c r="B212" i="955"/>
  <c r="B204" i="955"/>
  <c r="B196" i="955"/>
  <c r="B188" i="955"/>
  <c r="B211" i="955"/>
  <c r="B203" i="955"/>
  <c r="B195" i="955"/>
  <c r="L614" i="955"/>
  <c r="N614" i="955"/>
  <c r="F138" i="955"/>
  <c r="F141" i="955"/>
  <c r="B143" i="955"/>
  <c r="N678" i="955"/>
  <c r="L678" i="955"/>
  <c r="F145" i="955"/>
  <c r="F147" i="955"/>
  <c r="B148" i="955"/>
  <c r="N720" i="955"/>
  <c r="L720" i="955"/>
  <c r="I737" i="955"/>
  <c r="I731" i="955"/>
  <c r="N754" i="955"/>
  <c r="L754" i="955"/>
  <c r="F159" i="955"/>
  <c r="F166" i="955"/>
  <c r="B170" i="955"/>
  <c r="F171" i="955"/>
  <c r="B173" i="955"/>
  <c r="F177" i="955"/>
  <c r="B181" i="955"/>
  <c r="F186" i="955"/>
  <c r="F194" i="955"/>
  <c r="F195" i="955"/>
  <c r="N196" i="955"/>
  <c r="L196" i="955"/>
  <c r="F211" i="955"/>
  <c r="F214" i="955"/>
  <c r="F215" i="955"/>
  <c r="F216" i="955"/>
  <c r="F235" i="955"/>
  <c r="F242" i="955"/>
  <c r="AE18" i="955"/>
  <c r="L66" i="955"/>
  <c r="B68" i="955"/>
  <c r="I1060" i="955"/>
  <c r="I1036" i="955"/>
  <c r="I936" i="955"/>
  <c r="I1067" i="955"/>
  <c r="I915" i="955"/>
  <c r="I1065" i="955"/>
  <c r="I938" i="955"/>
  <c r="I1064" i="955"/>
  <c r="I1056" i="955"/>
  <c r="I1052" i="955"/>
  <c r="I1068" i="955"/>
  <c r="I1051" i="955"/>
  <c r="I937" i="955"/>
  <c r="I1066" i="955"/>
  <c r="I1055" i="955"/>
  <c r="I935" i="955"/>
  <c r="I1059" i="955"/>
  <c r="I1050" i="955"/>
  <c r="I1054" i="955"/>
  <c r="I929" i="955"/>
  <c r="I1058" i="955"/>
  <c r="I1049" i="955"/>
  <c r="I1053" i="955"/>
  <c r="I928" i="955"/>
  <c r="I1057" i="955"/>
  <c r="I931" i="955"/>
  <c r="I1031" i="955"/>
  <c r="I911" i="955"/>
  <c r="N314" i="955"/>
  <c r="L314" i="955"/>
  <c r="L328" i="955"/>
  <c r="N328" i="955"/>
  <c r="N349" i="955"/>
  <c r="L349" i="955"/>
  <c r="N360" i="955"/>
  <c r="L360" i="955"/>
  <c r="AL84" i="955"/>
  <c r="I366" i="955" s="1"/>
  <c r="N370" i="955"/>
  <c r="L370" i="955"/>
  <c r="L385" i="955"/>
  <c r="N385" i="955"/>
  <c r="N409" i="955"/>
  <c r="L409" i="955"/>
  <c r="N419" i="955"/>
  <c r="L419" i="955"/>
  <c r="N433" i="955"/>
  <c r="L433" i="955"/>
  <c r="L445" i="955"/>
  <c r="N445" i="955"/>
  <c r="N463" i="955"/>
  <c r="L463" i="955"/>
  <c r="I476" i="955"/>
  <c r="I482" i="955"/>
  <c r="N499" i="955"/>
  <c r="L499" i="955"/>
  <c r="L509" i="955"/>
  <c r="N509" i="955"/>
  <c r="N525" i="955"/>
  <c r="L525" i="955"/>
  <c r="N121" i="955"/>
  <c r="N127" i="955"/>
  <c r="N558" i="955"/>
  <c r="L558" i="955"/>
  <c r="N574" i="955"/>
  <c r="L574" i="955"/>
  <c r="AF136" i="955"/>
  <c r="I608" i="955" s="1"/>
  <c r="N594" i="955" s="1"/>
  <c r="L616" i="955"/>
  <c r="L142" i="955"/>
  <c r="L664" i="955"/>
  <c r="N664" i="955"/>
  <c r="AE144" i="955"/>
  <c r="I676" i="955" s="1"/>
  <c r="L146" i="955"/>
  <c r="B149" i="955"/>
  <c r="AF149" i="955"/>
  <c r="I713" i="955" s="1"/>
  <c r="L719" i="955"/>
  <c r="N719" i="955"/>
  <c r="F151" i="955"/>
  <c r="N733" i="955"/>
  <c r="L733" i="955"/>
  <c r="N753" i="955"/>
  <c r="L753" i="955"/>
  <c r="B153" i="955"/>
  <c r="N759" i="955"/>
  <c r="N768" i="955"/>
  <c r="L768" i="955"/>
  <c r="L759" i="955" s="1"/>
  <c r="L157" i="955"/>
  <c r="F160" i="955"/>
  <c r="B164" i="955"/>
  <c r="L165" i="955"/>
  <c r="F167" i="955"/>
  <c r="F172" i="955"/>
  <c r="B176" i="955"/>
  <c r="F178" i="955"/>
  <c r="B182" i="955"/>
  <c r="F183" i="955"/>
  <c r="B184" i="955"/>
  <c r="B187" i="955"/>
  <c r="B189" i="955"/>
  <c r="B190" i="955"/>
  <c r="F210" i="955"/>
  <c r="L211" i="955"/>
  <c r="N211" i="955"/>
  <c r="F241" i="955"/>
  <c r="F251" i="955"/>
  <c r="F259" i="955"/>
  <c r="F267" i="955"/>
  <c r="F275" i="955"/>
  <c r="I914" i="955"/>
  <c r="I930" i="955"/>
  <c r="I933" i="955"/>
  <c r="I932" i="955"/>
  <c r="I939" i="955"/>
  <c r="AF81" i="955"/>
  <c r="I323" i="955" s="1"/>
  <c r="N330" i="955"/>
  <c r="L330" i="955"/>
  <c r="AL82" i="955"/>
  <c r="I336" i="955" s="1"/>
  <c r="N342" i="955"/>
  <c r="L342" i="955"/>
  <c r="AH83" i="955"/>
  <c r="N359" i="955"/>
  <c r="L359" i="955"/>
  <c r="N376" i="955"/>
  <c r="L376" i="955"/>
  <c r="L391" i="955"/>
  <c r="N391" i="955"/>
  <c r="N402" i="955"/>
  <c r="L402" i="955"/>
  <c r="AH89" i="955"/>
  <c r="L435" i="955"/>
  <c r="N435" i="955"/>
  <c r="N451" i="955"/>
  <c r="L451" i="955"/>
  <c r="N465" i="955"/>
  <c r="L465" i="955"/>
  <c r="N481" i="955"/>
  <c r="L481" i="955"/>
  <c r="N492" i="955"/>
  <c r="L492" i="955"/>
  <c r="AH97" i="955"/>
  <c r="N524" i="955"/>
  <c r="L524" i="955"/>
  <c r="L553" i="955"/>
  <c r="N553" i="955"/>
  <c r="N573" i="955"/>
  <c r="L573" i="955"/>
  <c r="N589" i="955"/>
  <c r="L589" i="955"/>
  <c r="L137" i="955"/>
  <c r="L140" i="955"/>
  <c r="B142" i="955"/>
  <c r="N663" i="955"/>
  <c r="L663" i="955"/>
  <c r="B146" i="955"/>
  <c r="L709" i="955"/>
  <c r="N709" i="955"/>
  <c r="L150" i="955"/>
  <c r="AE150" i="955"/>
  <c r="I721" i="955" s="1"/>
  <c r="N735" i="955"/>
  <c r="L735" i="955"/>
  <c r="I752" i="955"/>
  <c r="I746" i="955"/>
  <c r="L154" i="955"/>
  <c r="B157" i="955"/>
  <c r="L158" i="955"/>
  <c r="L162" i="955"/>
  <c r="B165" i="955"/>
  <c r="AB182" i="955"/>
  <c r="B191" i="955"/>
  <c r="L193" i="955"/>
  <c r="B197" i="955"/>
  <c r="B198" i="955"/>
  <c r="L202" i="955"/>
  <c r="AE17" i="955"/>
  <c r="L65" i="955"/>
  <c r="L69" i="955"/>
  <c r="I913" i="955"/>
  <c r="I1034" i="955"/>
  <c r="I908" i="955"/>
  <c r="I1028" i="955"/>
  <c r="AD75" i="955"/>
  <c r="N319" i="955"/>
  <c r="L319" i="955"/>
  <c r="F320" i="955"/>
  <c r="N329" i="955"/>
  <c r="L329" i="955"/>
  <c r="N340" i="955"/>
  <c r="L340" i="955"/>
  <c r="AF84" i="955"/>
  <c r="I368" i="955" s="1"/>
  <c r="N373" i="955"/>
  <c r="L373" i="955"/>
  <c r="N388" i="955"/>
  <c r="L388" i="955"/>
  <c r="N400" i="955"/>
  <c r="L400" i="955"/>
  <c r="L424" i="955"/>
  <c r="N424" i="955"/>
  <c r="N434" i="955"/>
  <c r="L434" i="955"/>
  <c r="L448" i="955"/>
  <c r="N448" i="955"/>
  <c r="N464" i="955"/>
  <c r="L464" i="955"/>
  <c r="N478" i="955"/>
  <c r="L478" i="955"/>
  <c r="I491" i="955"/>
  <c r="I497" i="955"/>
  <c r="L514" i="955"/>
  <c r="N514" i="955"/>
  <c r="I115" i="955"/>
  <c r="L555" i="955"/>
  <c r="N555" i="955"/>
  <c r="L568" i="955"/>
  <c r="N568" i="955"/>
  <c r="N588" i="955"/>
  <c r="L588" i="955"/>
  <c r="N604" i="955"/>
  <c r="L604" i="955"/>
  <c r="B137" i="955"/>
  <c r="N137" i="955"/>
  <c r="L138" i="955"/>
  <c r="B140" i="955"/>
  <c r="L141" i="955"/>
  <c r="N649" i="955"/>
  <c r="L649" i="955"/>
  <c r="AE143" i="955"/>
  <c r="I661" i="955" s="1"/>
  <c r="L145" i="955"/>
  <c r="L147" i="955"/>
  <c r="N708" i="955"/>
  <c r="L708" i="955"/>
  <c r="B150" i="955"/>
  <c r="N734" i="955"/>
  <c r="L734" i="955"/>
  <c r="N748" i="955"/>
  <c r="L748" i="955"/>
  <c r="B154" i="955"/>
  <c r="B158" i="955"/>
  <c r="L159" i="955"/>
  <c r="B162" i="955"/>
  <c r="F169" i="955"/>
  <c r="B174" i="955"/>
  <c r="B192" i="955"/>
  <c r="B193" i="955"/>
  <c r="L194" i="955"/>
  <c r="L195" i="955"/>
  <c r="B199" i="955"/>
  <c r="B200" i="955"/>
  <c r="B201" i="955"/>
  <c r="F250" i="955"/>
  <c r="F258" i="955"/>
  <c r="F266" i="955"/>
  <c r="F274" i="955"/>
  <c r="F293" i="955"/>
  <c r="F290" i="955"/>
  <c r="F282" i="955"/>
  <c r="F281" i="955"/>
  <c r="F280" i="955"/>
  <c r="F272" i="955"/>
  <c r="F264" i="955"/>
  <c r="F256" i="955"/>
  <c r="F248" i="955"/>
  <c r="F240" i="955"/>
  <c r="F230" i="955"/>
  <c r="F226" i="955"/>
  <c r="F288" i="955"/>
  <c r="F279" i="955"/>
  <c r="F271" i="955"/>
  <c r="F263" i="955"/>
  <c r="F255" i="955"/>
  <c r="F247" i="955"/>
  <c r="F239" i="955"/>
  <c r="F227" i="955"/>
  <c r="F278" i="955"/>
  <c r="F270" i="955"/>
  <c r="F262" i="955"/>
  <c r="F254" i="955"/>
  <c r="F246" i="955"/>
  <c r="F238" i="955"/>
  <c r="F236" i="955"/>
  <c r="F234" i="955"/>
  <c r="F277" i="955"/>
  <c r="F269" i="955"/>
  <c r="F261" i="955"/>
  <c r="F253" i="955"/>
  <c r="F245" i="955"/>
  <c r="F233" i="955"/>
  <c r="F229" i="955"/>
  <c r="F276" i="955"/>
  <c r="F268" i="955"/>
  <c r="F260" i="955"/>
  <c r="F252" i="955"/>
  <c r="F244" i="955"/>
  <c r="F232" i="955"/>
  <c r="F209" i="955"/>
  <c r="F294" i="955"/>
  <c r="F286" i="955"/>
  <c r="U12" i="955"/>
  <c r="I1029" i="955"/>
  <c r="I1048" i="955"/>
  <c r="I909" i="955"/>
  <c r="AF75" i="955"/>
  <c r="N312" i="955"/>
  <c r="L312" i="955"/>
  <c r="AH81" i="955"/>
  <c r="N346" i="955"/>
  <c r="L346" i="955"/>
  <c r="N364" i="955"/>
  <c r="L364" i="955"/>
  <c r="N375" i="955"/>
  <c r="L375" i="955"/>
  <c r="AL85" i="955"/>
  <c r="I381" i="955" s="1"/>
  <c r="N390" i="955"/>
  <c r="L390" i="955"/>
  <c r="N406" i="955"/>
  <c r="L406" i="955"/>
  <c r="N417" i="955"/>
  <c r="L417" i="955"/>
  <c r="AH90" i="955"/>
  <c r="N450" i="955"/>
  <c r="L450" i="955"/>
  <c r="N480" i="955"/>
  <c r="L480" i="955"/>
  <c r="L496" i="955"/>
  <c r="N496" i="955"/>
  <c r="N507" i="955"/>
  <c r="L507" i="955"/>
  <c r="AH98" i="955"/>
  <c r="N554" i="955"/>
  <c r="L554" i="955"/>
  <c r="L570" i="955"/>
  <c r="N570" i="955"/>
  <c r="L583" i="955"/>
  <c r="N583" i="955"/>
  <c r="N603" i="955"/>
  <c r="L603" i="955"/>
  <c r="L619" i="955"/>
  <c r="N619" i="955"/>
  <c r="B138" i="955"/>
  <c r="B141" i="955"/>
  <c r="L648" i="955"/>
  <c r="N648" i="955"/>
  <c r="B145" i="955"/>
  <c r="B147" i="955"/>
  <c r="I701" i="955"/>
  <c r="I707" i="955"/>
  <c r="L724" i="955"/>
  <c r="N724" i="955"/>
  <c r="L736" i="955"/>
  <c r="N736" i="955"/>
  <c r="N750" i="955"/>
  <c r="L750" i="955"/>
  <c r="B159" i="955"/>
  <c r="B166" i="955"/>
  <c r="F170" i="955"/>
  <c r="B171" i="955"/>
  <c r="F173" i="955"/>
  <c r="B177" i="955"/>
  <c r="F181" i="955"/>
  <c r="B185" i="955"/>
  <c r="F192" i="955"/>
  <c r="B194" i="955"/>
  <c r="F199" i="955"/>
  <c r="F200" i="955"/>
  <c r="L210" i="955"/>
  <c r="F213" i="955"/>
  <c r="F225" i="955"/>
  <c r="AI229" i="955"/>
  <c r="AH230" i="955"/>
  <c r="AH297" i="955"/>
  <c r="AH295" i="955"/>
  <c r="AH292" i="955"/>
  <c r="AH294" i="955"/>
  <c r="AH296" i="955"/>
  <c r="AH288" i="955"/>
  <c r="AH282" i="955"/>
  <c r="AH293" i="955"/>
  <c r="AG234" i="955"/>
  <c r="AG236" i="955"/>
  <c r="Z238" i="955"/>
  <c r="AI239" i="955"/>
  <c r="AH240" i="955"/>
  <c r="AG241" i="955"/>
  <c r="AD242" i="955"/>
  <c r="AB244" i="955"/>
  <c r="Z246" i="955"/>
  <c r="AI247" i="955"/>
  <c r="AH248" i="955"/>
  <c r="AG249" i="955"/>
  <c r="AD250" i="955"/>
  <c r="AB252" i="955"/>
  <c r="Z254" i="955"/>
  <c r="AI255" i="955"/>
  <c r="AH256" i="955"/>
  <c r="AG257" i="955"/>
  <c r="AD258" i="955"/>
  <c r="AB260" i="955"/>
  <c r="Z262" i="955"/>
  <c r="AI263" i="955"/>
  <c r="AH264" i="955"/>
  <c r="AG265" i="955"/>
  <c r="AD266" i="955"/>
  <c r="AB268" i="955"/>
  <c r="Z270" i="955"/>
  <c r="AI271" i="955"/>
  <c r="AH272" i="955"/>
  <c r="AG273" i="955"/>
  <c r="AD274" i="955"/>
  <c r="AB276" i="955"/>
  <c r="Z278" i="955"/>
  <c r="AI279" i="955"/>
  <c r="AH280" i="955"/>
  <c r="AH281" i="955"/>
  <c r="AB283" i="955"/>
  <c r="AG284" i="955"/>
  <c r="AG285" i="955"/>
  <c r="AH287" i="955"/>
  <c r="AI288" i="955"/>
  <c r="AH289" i="955"/>
  <c r="N225" i="955"/>
  <c r="AI230" i="955"/>
  <c r="AB233" i="955"/>
  <c r="AH234" i="955"/>
  <c r="AB235" i="955"/>
  <c r="AH236" i="955"/>
  <c r="AB237" i="955"/>
  <c r="Z239" i="955"/>
  <c r="AI240" i="955"/>
  <c r="AH241" i="955"/>
  <c r="AG242" i="955"/>
  <c r="AD243" i="955"/>
  <c r="AB245" i="955"/>
  <c r="Z247" i="955"/>
  <c r="AI248" i="955"/>
  <c r="AH249" i="955"/>
  <c r="AG250" i="955"/>
  <c r="AD251" i="955"/>
  <c r="AB253" i="955"/>
  <c r="Z255" i="955"/>
  <c r="AI256" i="955"/>
  <c r="AH257" i="955"/>
  <c r="AG258" i="955"/>
  <c r="AD259" i="955"/>
  <c r="AB261" i="955"/>
  <c r="Z263" i="955"/>
  <c r="AI264" i="955"/>
  <c r="AH265" i="955"/>
  <c r="AG266" i="955"/>
  <c r="AD267" i="955"/>
  <c r="AB269" i="955"/>
  <c r="Z271" i="955"/>
  <c r="AI272" i="955"/>
  <c r="AH273" i="955"/>
  <c r="AG274" i="955"/>
  <c r="AD275" i="955"/>
  <c r="AB277" i="955"/>
  <c r="Z279" i="955"/>
  <c r="AI280" i="955"/>
  <c r="Z282" i="955"/>
  <c r="F283" i="955"/>
  <c r="AH284" i="955"/>
  <c r="AH285" i="955"/>
  <c r="F287" i="955"/>
  <c r="AI287" i="955"/>
  <c r="AH291" i="955"/>
  <c r="F295" i="955"/>
  <c r="AG231" i="955"/>
  <c r="AI297" i="955"/>
  <c r="AI295" i="955"/>
  <c r="AI292" i="955"/>
  <c r="AI294" i="955"/>
  <c r="AI296" i="955"/>
  <c r="AI293" i="955"/>
  <c r="AI281" i="955"/>
  <c r="AI290" i="955"/>
  <c r="AI234" i="955"/>
  <c r="AI236" i="955"/>
  <c r="AB238" i="955"/>
  <c r="AI241" i="955"/>
  <c r="AH242" i="955"/>
  <c r="AG243" i="955"/>
  <c r="AD244" i="955"/>
  <c r="AB246" i="955"/>
  <c r="Z248" i="955"/>
  <c r="AI249" i="955"/>
  <c r="AH250" i="955"/>
  <c r="AG251" i="955"/>
  <c r="AD252" i="955"/>
  <c r="AB254" i="955"/>
  <c r="Z256" i="955"/>
  <c r="AI257" i="955"/>
  <c r="AH258" i="955"/>
  <c r="AG259" i="955"/>
  <c r="AD260" i="955"/>
  <c r="AB262" i="955"/>
  <c r="Z264" i="955"/>
  <c r="AI265" i="955"/>
  <c r="AH266" i="955"/>
  <c r="AG267" i="955"/>
  <c r="AD268" i="955"/>
  <c r="AB270" i="955"/>
  <c r="Z272" i="955"/>
  <c r="AI273" i="955"/>
  <c r="AH274" i="955"/>
  <c r="AG275" i="955"/>
  <c r="AD276" i="955"/>
  <c r="AB278" i="955"/>
  <c r="Z280" i="955"/>
  <c r="Z281" i="955"/>
  <c r="AH283" i="955"/>
  <c r="AI284" i="955"/>
  <c r="AI285" i="955"/>
  <c r="AG290" i="955"/>
  <c r="AI291" i="955"/>
  <c r="AH231" i="955"/>
  <c r="AG232" i="955"/>
  <c r="AD233" i="955"/>
  <c r="AD235" i="955"/>
  <c r="AD237" i="955"/>
  <c r="AB239" i="955"/>
  <c r="AI242" i="955"/>
  <c r="AH243" i="955"/>
  <c r="AG244" i="955"/>
  <c r="AD245" i="955"/>
  <c r="AB247" i="955"/>
  <c r="Z249" i="955"/>
  <c r="AI250" i="955"/>
  <c r="AH251" i="955"/>
  <c r="AG252" i="955"/>
  <c r="AD253" i="955"/>
  <c r="AB255" i="955"/>
  <c r="Z257" i="955"/>
  <c r="AI258" i="955"/>
  <c r="AH259" i="955"/>
  <c r="AG260" i="955"/>
  <c r="AD261" i="955"/>
  <c r="AB263" i="955"/>
  <c r="Z265" i="955"/>
  <c r="AI266" i="955"/>
  <c r="AH267" i="955"/>
  <c r="AG268" i="955"/>
  <c r="AD269" i="955"/>
  <c r="AB271" i="955"/>
  <c r="Z273" i="955"/>
  <c r="AI274" i="955"/>
  <c r="AH275" i="955"/>
  <c r="AG276" i="955"/>
  <c r="AD277" i="955"/>
  <c r="AB279" i="955"/>
  <c r="AB282" i="955"/>
  <c r="AI283" i="955"/>
  <c r="F289" i="955"/>
  <c r="AH290" i="955"/>
  <c r="F292" i="955"/>
  <c r="AG237" i="955"/>
  <c r="AD238" i="955"/>
  <c r="AB240" i="955"/>
  <c r="AI243" i="955"/>
  <c r="AH244" i="955"/>
  <c r="AG245" i="955"/>
  <c r="AD246" i="955"/>
  <c r="AB248" i="955"/>
  <c r="Z250" i="955"/>
  <c r="AI251" i="955"/>
  <c r="AH252" i="955"/>
  <c r="AG253" i="955"/>
  <c r="AD254" i="955"/>
  <c r="AB256" i="955"/>
  <c r="Z258" i="955"/>
  <c r="AI259" i="955"/>
  <c r="AH260" i="955"/>
  <c r="AG261" i="955"/>
  <c r="AD262" i="955"/>
  <c r="AB264" i="955"/>
  <c r="Z266" i="955"/>
  <c r="AI267" i="955"/>
  <c r="AH268" i="955"/>
  <c r="AG269" i="955"/>
  <c r="AD270" i="955"/>
  <c r="AB272" i="955"/>
  <c r="Z274" i="955"/>
  <c r="AI275" i="955"/>
  <c r="AH276" i="955"/>
  <c r="AG277" i="955"/>
  <c r="AB280" i="955"/>
  <c r="AB281" i="955"/>
  <c r="Z284" i="955"/>
  <c r="Z285" i="955"/>
  <c r="AG293" i="955"/>
  <c r="AD284" i="955"/>
  <c r="AD283" i="955"/>
  <c r="AH233" i="955"/>
  <c r="AJ233" i="955" s="1"/>
  <c r="I231" i="955" s="1"/>
  <c r="N231" i="955" s="1"/>
  <c r="AB234" i="955"/>
  <c r="AH235" i="955"/>
  <c r="AB236" i="955"/>
  <c r="AH237" i="955"/>
  <c r="AG238" i="955"/>
  <c r="AD239" i="955"/>
  <c r="AB241" i="955"/>
  <c r="AI244" i="955"/>
  <c r="AH245" i="955"/>
  <c r="AG246" i="955"/>
  <c r="AD247" i="955"/>
  <c r="AB249" i="955"/>
  <c r="Z251" i="955"/>
  <c r="AI252" i="955"/>
  <c r="AH253" i="955"/>
  <c r="AG254" i="955"/>
  <c r="AD255" i="955"/>
  <c r="AB257" i="955"/>
  <c r="Z259" i="955"/>
  <c r="AI260" i="955"/>
  <c r="AH261" i="955"/>
  <c r="AG262" i="955"/>
  <c r="AD263" i="955"/>
  <c r="AB265" i="955"/>
  <c r="Z267" i="955"/>
  <c r="AI268" i="955"/>
  <c r="AH269" i="955"/>
  <c r="AG270" i="955"/>
  <c r="AD271" i="955"/>
  <c r="AB273" i="955"/>
  <c r="Z275" i="955"/>
  <c r="AI276" i="955"/>
  <c r="AH277" i="955"/>
  <c r="AD279" i="955"/>
  <c r="AD282" i="955"/>
  <c r="AH286" i="955"/>
  <c r="F291" i="955"/>
  <c r="AG297" i="955"/>
  <c r="AG295" i="955"/>
  <c r="AG292" i="955"/>
  <c r="AG294" i="955"/>
  <c r="AG296" i="955"/>
  <c r="AG291" i="955"/>
  <c r="AG286" i="955"/>
  <c r="AG283" i="955"/>
  <c r="AG288" i="955"/>
  <c r="AG282" i="955"/>
  <c r="AI235" i="955"/>
  <c r="AH238" i="955"/>
  <c r="AG239" i="955"/>
  <c r="AD240" i="955"/>
  <c r="AB242" i="955"/>
  <c r="AI245" i="955"/>
  <c r="AH246" i="955"/>
  <c r="AG247" i="955"/>
  <c r="AD248" i="955"/>
  <c r="AB250" i="955"/>
  <c r="Z252" i="955"/>
  <c r="AI253" i="955"/>
  <c r="AH254" i="955"/>
  <c r="AG255" i="955"/>
  <c r="AD256" i="955"/>
  <c r="AB258" i="955"/>
  <c r="Z260" i="955"/>
  <c r="AI261" i="955"/>
  <c r="AH262" i="955"/>
  <c r="AG263" i="955"/>
  <c r="AD264" i="955"/>
  <c r="AB266" i="955"/>
  <c r="Z268" i="955"/>
  <c r="AI269" i="955"/>
  <c r="AH270" i="955"/>
  <c r="AG271" i="955"/>
  <c r="AD272" i="955"/>
  <c r="AB274" i="955"/>
  <c r="Z276" i="955"/>
  <c r="AI277" i="955"/>
  <c r="AH278" i="955"/>
  <c r="AG279" i="955"/>
  <c r="AD280" i="955"/>
  <c r="AD281" i="955"/>
  <c r="AI282" i="955"/>
  <c r="Z283" i="955"/>
  <c r="F284" i="955"/>
  <c r="AB284" i="955"/>
  <c r="AI286" i="955"/>
  <c r="AH229" i="955"/>
  <c r="AG230" i="955"/>
  <c r="AD234" i="955"/>
  <c r="AD236" i="955"/>
  <c r="Z237" i="955"/>
  <c r="AI238" i="955"/>
  <c r="AG240" i="955"/>
  <c r="AD241" i="955"/>
  <c r="AB243" i="955"/>
  <c r="Z245" i="955"/>
  <c r="AI246" i="955"/>
  <c r="AH247" i="955"/>
  <c r="AG248" i="955"/>
  <c r="AD249" i="955"/>
  <c r="AB251" i="955"/>
  <c r="Z253" i="955"/>
  <c r="AI254" i="955"/>
  <c r="AH255" i="955"/>
  <c r="AG256" i="955"/>
  <c r="AD257" i="955"/>
  <c r="AB259" i="955"/>
  <c r="Z261" i="955"/>
  <c r="AI262" i="955"/>
  <c r="AH263" i="955"/>
  <c r="AG264" i="955"/>
  <c r="AD265" i="955"/>
  <c r="AB267" i="955"/>
  <c r="Z269" i="955"/>
  <c r="AI270" i="955"/>
  <c r="AH271" i="955"/>
  <c r="AG272" i="955"/>
  <c r="AD273" i="955"/>
  <c r="AB275" i="955"/>
  <c r="AI278" i="955"/>
  <c r="AH279" i="955"/>
  <c r="AG280" i="955"/>
  <c r="AG281" i="955"/>
  <c r="AD285" i="955"/>
  <c r="AG287" i="955"/>
  <c r="AG289" i="955"/>
  <c r="L542" i="955"/>
  <c r="N542" i="955"/>
  <c r="L538" i="955"/>
  <c r="N538" i="955"/>
  <c r="N622" i="955"/>
  <c r="L622" i="955"/>
  <c r="N534" i="955"/>
  <c r="L536" i="955"/>
  <c r="L539" i="955"/>
  <c r="L577" i="955"/>
  <c r="L591" i="955"/>
  <c r="L597" i="955"/>
  <c r="L605" i="955"/>
  <c r="L635" i="955"/>
  <c r="L667" i="955"/>
  <c r="L682" i="955"/>
  <c r="N696" i="955"/>
  <c r="L757" i="955"/>
  <c r="L777" i="955"/>
  <c r="L755" i="955"/>
  <c r="L666" i="955"/>
  <c r="N774" i="955"/>
  <c r="L776" i="955"/>
  <c r="L710" i="955"/>
  <c r="L712" i="955"/>
  <c r="L725" i="955"/>
  <c r="L727" i="955"/>
  <c r="N740" i="955"/>
  <c r="N776" i="955"/>
  <c r="N782" i="955"/>
  <c r="L178" i="954"/>
  <c r="L186" i="954"/>
  <c r="L187" i="954"/>
  <c r="L190" i="954"/>
  <c r="C117" i="954"/>
  <c r="L151" i="954"/>
  <c r="L160" i="954"/>
  <c r="L214" i="954"/>
  <c r="L167" i="954"/>
  <c r="L203" i="954"/>
  <c r="L206" i="954"/>
  <c r="L183" i="954"/>
  <c r="L213" i="954"/>
  <c r="L824" i="954"/>
  <c r="L804" i="954"/>
  <c r="L1077" i="954"/>
  <c r="L912" i="954"/>
  <c r="L965" i="954"/>
  <c r="L1145" i="954"/>
  <c r="L1025" i="954"/>
  <c r="L908" i="954"/>
  <c r="L1021" i="954"/>
  <c r="L856" i="954"/>
  <c r="V165" i="954"/>
  <c r="P170" i="954"/>
  <c r="W221" i="954"/>
  <c r="U130" i="954"/>
  <c r="H62" i="954"/>
  <c r="H36" i="954"/>
  <c r="H15" i="954"/>
  <c r="B36" i="954"/>
  <c r="H12" i="954"/>
  <c r="W5" i="954"/>
  <c r="A36" i="954"/>
  <c r="V108" i="954"/>
  <c r="J22" i="954"/>
  <c r="U79" i="954"/>
  <c r="H22" i="954"/>
  <c r="K5" i="954"/>
  <c r="B22" i="954"/>
  <c r="W2" i="954"/>
  <c r="K36" i="954"/>
  <c r="A22" i="954"/>
  <c r="AC5" i="954"/>
  <c r="J36" i="954"/>
  <c r="C768" i="954"/>
  <c r="L353" i="954"/>
  <c r="N353" i="954"/>
  <c r="AF96" i="954"/>
  <c r="I488" i="954" s="1"/>
  <c r="AF95" i="954"/>
  <c r="I473" i="954" s="1"/>
  <c r="AF98" i="954"/>
  <c r="I518" i="954" s="1"/>
  <c r="AF97" i="954"/>
  <c r="I503" i="954" s="1"/>
  <c r="L623" i="954"/>
  <c r="N623" i="954"/>
  <c r="L428" i="954"/>
  <c r="N428" i="954"/>
  <c r="AV3" i="954"/>
  <c r="BA31" i="954"/>
  <c r="AE18" i="954"/>
  <c r="B64" i="954"/>
  <c r="L66" i="954"/>
  <c r="B68" i="954"/>
  <c r="I1060" i="954"/>
  <c r="I1036" i="954"/>
  <c r="I936" i="954"/>
  <c r="I1067" i="954"/>
  <c r="I915" i="954"/>
  <c r="I1065" i="954"/>
  <c r="I938" i="954"/>
  <c r="I1064" i="954"/>
  <c r="I1059" i="954"/>
  <c r="I1055" i="954"/>
  <c r="I1051" i="954"/>
  <c r="I931" i="954"/>
  <c r="I937" i="954"/>
  <c r="I1058" i="954"/>
  <c r="I1054" i="954"/>
  <c r="I1050" i="954"/>
  <c r="I935" i="954"/>
  <c r="I1057" i="954"/>
  <c r="I1053" i="954"/>
  <c r="I1049" i="954"/>
  <c r="I929" i="954"/>
  <c r="I1068" i="954"/>
  <c r="I1066" i="954"/>
  <c r="I1056" i="954"/>
  <c r="I1052" i="954"/>
  <c r="I928" i="954"/>
  <c r="I1031" i="954"/>
  <c r="I911" i="954"/>
  <c r="N314" i="954"/>
  <c r="L314" i="954"/>
  <c r="N328" i="954"/>
  <c r="L328" i="954"/>
  <c r="L349" i="954"/>
  <c r="N349" i="954"/>
  <c r="N360" i="954"/>
  <c r="L360" i="954"/>
  <c r="AL84" i="954"/>
  <c r="I366" i="954" s="1"/>
  <c r="N370" i="954"/>
  <c r="L370" i="954"/>
  <c r="AF91" i="954"/>
  <c r="I443" i="954" s="1"/>
  <c r="L449" i="954"/>
  <c r="N449" i="954"/>
  <c r="I461" i="954"/>
  <c r="I467" i="954"/>
  <c r="N477" i="954"/>
  <c r="L477" i="954"/>
  <c r="AH96" i="954"/>
  <c r="N510" i="954"/>
  <c r="L510" i="954"/>
  <c r="N525" i="954"/>
  <c r="L525" i="954"/>
  <c r="N121" i="954"/>
  <c r="N127" i="954"/>
  <c r="N558" i="954"/>
  <c r="L558" i="954"/>
  <c r="L574" i="954"/>
  <c r="N574" i="954"/>
  <c r="AF136" i="954"/>
  <c r="I608" i="954" s="1"/>
  <c r="L137" i="954"/>
  <c r="AE141" i="954"/>
  <c r="I631" i="954" s="1"/>
  <c r="L143" i="954"/>
  <c r="AE144" i="954"/>
  <c r="I676" i="954" s="1"/>
  <c r="AE149" i="954"/>
  <c r="I706" i="954" s="1"/>
  <c r="L721" i="954"/>
  <c r="N721" i="954"/>
  <c r="AF151" i="954"/>
  <c r="I743" i="954" s="1"/>
  <c r="F166" i="954"/>
  <c r="F169" i="954"/>
  <c r="F208" i="954"/>
  <c r="F225" i="954"/>
  <c r="F247" i="954"/>
  <c r="N668" i="954"/>
  <c r="L668" i="954"/>
  <c r="P12" i="954"/>
  <c r="N62" i="954"/>
  <c r="I914" i="954"/>
  <c r="I939" i="954"/>
  <c r="I930" i="954"/>
  <c r="I933" i="954"/>
  <c r="I932" i="954"/>
  <c r="AF81" i="954"/>
  <c r="I323" i="954" s="1"/>
  <c r="N330" i="954"/>
  <c r="L330" i="954"/>
  <c r="N342" i="954"/>
  <c r="L342" i="954"/>
  <c r="L350" i="954"/>
  <c r="L359" i="954"/>
  <c r="N359" i="954"/>
  <c r="L376" i="954"/>
  <c r="N376" i="954"/>
  <c r="AJ85" i="954"/>
  <c r="I382" i="954" s="1"/>
  <c r="N390" i="954"/>
  <c r="L390" i="954"/>
  <c r="N406" i="954"/>
  <c r="L406" i="954"/>
  <c r="L417" i="954"/>
  <c r="N417" i="954"/>
  <c r="N425" i="954"/>
  <c r="L425" i="954"/>
  <c r="N439" i="954"/>
  <c r="L439" i="954"/>
  <c r="AF92" i="954"/>
  <c r="I458" i="954" s="1"/>
  <c r="L466" i="954"/>
  <c r="N466" i="954"/>
  <c r="AJ95" i="954"/>
  <c r="I472" i="954" s="1"/>
  <c r="I476" i="954"/>
  <c r="I482" i="954"/>
  <c r="N499" i="954"/>
  <c r="L499" i="954"/>
  <c r="N509" i="954"/>
  <c r="L509" i="954"/>
  <c r="L524" i="954"/>
  <c r="N524" i="954"/>
  <c r="N553" i="954"/>
  <c r="L553" i="954"/>
  <c r="N573" i="954"/>
  <c r="L573" i="954"/>
  <c r="N589" i="954"/>
  <c r="L589" i="954"/>
  <c r="L619" i="954"/>
  <c r="N619" i="954"/>
  <c r="B138" i="954"/>
  <c r="AF141" i="954"/>
  <c r="I638" i="954" s="1"/>
  <c r="B143" i="954"/>
  <c r="AF144" i="954"/>
  <c r="I683" i="954" s="1"/>
  <c r="N694" i="954"/>
  <c r="L694" i="954"/>
  <c r="B148" i="954"/>
  <c r="B149" i="954"/>
  <c r="AF149" i="954"/>
  <c r="I713" i="954" s="1"/>
  <c r="L150" i="954"/>
  <c r="N151" i="954"/>
  <c r="I754" i="954"/>
  <c r="AE152" i="954"/>
  <c r="I751" i="954" s="1"/>
  <c r="F173" i="954"/>
  <c r="F177" i="954"/>
  <c r="F185" i="954"/>
  <c r="F239" i="954"/>
  <c r="F264" i="954"/>
  <c r="N728" i="954"/>
  <c r="L728" i="954"/>
  <c r="B63" i="954"/>
  <c r="B67" i="954"/>
  <c r="I913" i="954"/>
  <c r="I1034" i="954"/>
  <c r="I908" i="954"/>
  <c r="I1028" i="954"/>
  <c r="L319" i="954"/>
  <c r="N319" i="954"/>
  <c r="F320" i="954"/>
  <c r="N329" i="954"/>
  <c r="L329" i="954"/>
  <c r="N340" i="954"/>
  <c r="L340" i="954"/>
  <c r="AF84" i="954"/>
  <c r="I368" i="954" s="1"/>
  <c r="N373" i="954"/>
  <c r="L373" i="954"/>
  <c r="L389" i="954"/>
  <c r="N389" i="954"/>
  <c r="N403" i="954"/>
  <c r="L403" i="954"/>
  <c r="N415" i="954"/>
  <c r="L415" i="954"/>
  <c r="N432" i="954"/>
  <c r="L432" i="954"/>
  <c r="N454" i="954"/>
  <c r="L454" i="954"/>
  <c r="N463" i="954"/>
  <c r="L463" i="954"/>
  <c r="N481" i="954"/>
  <c r="L481" i="954"/>
  <c r="N492" i="954"/>
  <c r="L492" i="954"/>
  <c r="N618" i="954"/>
  <c r="L618" i="954"/>
  <c r="B139" i="954"/>
  <c r="I664" i="954"/>
  <c r="AE143" i="954"/>
  <c r="I661" i="954" s="1"/>
  <c r="N693" i="954"/>
  <c r="L693" i="954"/>
  <c r="F146" i="954"/>
  <c r="F148" i="954"/>
  <c r="L709" i="954"/>
  <c r="N709" i="954"/>
  <c r="B151" i="954"/>
  <c r="B152" i="954"/>
  <c r="F156" i="954"/>
  <c r="B157" i="954"/>
  <c r="F200" i="954"/>
  <c r="F230" i="954"/>
  <c r="F251" i="954"/>
  <c r="F292" i="954"/>
  <c r="F287" i="954"/>
  <c r="F284" i="954"/>
  <c r="F276" i="954"/>
  <c r="F294" i="954"/>
  <c r="F282" i="954"/>
  <c r="F291" i="954"/>
  <c r="F281" i="954"/>
  <c r="F273" i="954"/>
  <c r="F265" i="954"/>
  <c r="F288" i="954"/>
  <c r="F280" i="954"/>
  <c r="F272" i="954"/>
  <c r="F290" i="954"/>
  <c r="F286" i="954"/>
  <c r="F278" i="954"/>
  <c r="F270" i="954"/>
  <c r="F262" i="954"/>
  <c r="F266" i="954"/>
  <c r="F253" i="954"/>
  <c r="F245" i="954"/>
  <c r="F233" i="954"/>
  <c r="F229" i="954"/>
  <c r="F210" i="954"/>
  <c r="F202" i="954"/>
  <c r="F194" i="954"/>
  <c r="F184" i="954"/>
  <c r="F182" i="954"/>
  <c r="F176" i="954"/>
  <c r="F252" i="954"/>
  <c r="F244" i="954"/>
  <c r="F232" i="954"/>
  <c r="F209" i="954"/>
  <c r="F201" i="954"/>
  <c r="F193" i="954"/>
  <c r="F181" i="954"/>
  <c r="I115" i="954"/>
  <c r="F268" i="954"/>
  <c r="F250" i="954"/>
  <c r="F242" i="954"/>
  <c r="F237" i="954"/>
  <c r="F235" i="954"/>
  <c r="F228" i="954"/>
  <c r="F215" i="954"/>
  <c r="F207" i="954"/>
  <c r="F199" i="954"/>
  <c r="F191" i="954"/>
  <c r="F179" i="954"/>
  <c r="F175" i="954"/>
  <c r="F168" i="954"/>
  <c r="F163" i="954"/>
  <c r="F259" i="954"/>
  <c r="F258" i="954"/>
  <c r="F257" i="954"/>
  <c r="F249" i="954"/>
  <c r="F241" i="954"/>
  <c r="F231" i="954"/>
  <c r="F214" i="954"/>
  <c r="F206" i="954"/>
  <c r="F198" i="954"/>
  <c r="F190" i="954"/>
  <c r="F178" i="954"/>
  <c r="F172" i="954"/>
  <c r="F167" i="954"/>
  <c r="F160" i="954"/>
  <c r="F274" i="954"/>
  <c r="F256" i="954"/>
  <c r="F213" i="954"/>
  <c r="F205" i="954"/>
  <c r="F197" i="954"/>
  <c r="F189" i="954"/>
  <c r="F260" i="954"/>
  <c r="F212" i="954"/>
  <c r="F204" i="954"/>
  <c r="F196" i="954"/>
  <c r="F188" i="954"/>
  <c r="F174" i="954"/>
  <c r="F162" i="954"/>
  <c r="F158" i="954"/>
  <c r="F154" i="954"/>
  <c r="F254" i="954"/>
  <c r="F246" i="954"/>
  <c r="F238" i="954"/>
  <c r="F236" i="954"/>
  <c r="F234" i="954"/>
  <c r="F211" i="954"/>
  <c r="F203" i="954"/>
  <c r="F195" i="954"/>
  <c r="F187" i="954"/>
  <c r="F165" i="954"/>
  <c r="F157" i="954"/>
  <c r="U12" i="954"/>
  <c r="I1029" i="954"/>
  <c r="I909" i="954"/>
  <c r="I1048" i="954"/>
  <c r="AF75" i="954"/>
  <c r="N312" i="954"/>
  <c r="L312" i="954"/>
  <c r="AH81" i="954"/>
  <c r="AF82" i="954"/>
  <c r="I338" i="954" s="1"/>
  <c r="N346" i="954"/>
  <c r="L346" i="954"/>
  <c r="AJ83" i="954"/>
  <c r="I352" i="954" s="1"/>
  <c r="N364" i="954"/>
  <c r="L364" i="954"/>
  <c r="N375" i="954"/>
  <c r="L375" i="954"/>
  <c r="L381" i="954"/>
  <c r="N381" i="954"/>
  <c r="AF88" i="954"/>
  <c r="I398" i="954" s="1"/>
  <c r="L405" i="954"/>
  <c r="N405" i="954"/>
  <c r="N421" i="954"/>
  <c r="L421" i="954"/>
  <c r="AJ90" i="954"/>
  <c r="I427" i="954" s="1"/>
  <c r="N414" i="954" s="1"/>
  <c r="N430" i="954"/>
  <c r="L430" i="954"/>
  <c r="L447" i="954"/>
  <c r="N447" i="954"/>
  <c r="AH92" i="954"/>
  <c r="N465" i="954"/>
  <c r="L465" i="954"/>
  <c r="N554" i="954"/>
  <c r="L554" i="954"/>
  <c r="N570" i="954"/>
  <c r="L570" i="954"/>
  <c r="N583" i="954"/>
  <c r="L583" i="954"/>
  <c r="N603" i="954"/>
  <c r="L603" i="954"/>
  <c r="D137" i="954"/>
  <c r="I83" i="954" s="1"/>
  <c r="L613" i="954"/>
  <c r="N613" i="954"/>
  <c r="L141" i="954"/>
  <c r="B142" i="954"/>
  <c r="N663" i="954"/>
  <c r="L663" i="954"/>
  <c r="L691" i="954"/>
  <c r="F147" i="954"/>
  <c r="N723" i="954"/>
  <c r="L723" i="954"/>
  <c r="L738" i="954"/>
  <c r="N738" i="954"/>
  <c r="F152" i="954"/>
  <c r="I752" i="954"/>
  <c r="I746" i="954"/>
  <c r="N160" i="954"/>
  <c r="L162" i="954"/>
  <c r="F180" i="954"/>
  <c r="F255" i="954"/>
  <c r="P13" i="954"/>
  <c r="B66" i="954"/>
  <c r="B310" i="954"/>
  <c r="B315" i="954"/>
  <c r="B312" i="954"/>
  <c r="B319" i="954"/>
  <c r="B313" i="954"/>
  <c r="B316" i="954"/>
  <c r="N310" i="954"/>
  <c r="L310" i="954"/>
  <c r="B314" i="954"/>
  <c r="F322" i="954"/>
  <c r="N334" i="954"/>
  <c r="L334" i="954"/>
  <c r="N343" i="954"/>
  <c r="L343" i="954"/>
  <c r="L357" i="954"/>
  <c r="N357" i="954"/>
  <c r="L374" i="954"/>
  <c r="N374" i="954"/>
  <c r="L394" i="954"/>
  <c r="N394" i="954"/>
  <c r="N404" i="954"/>
  <c r="L404" i="954"/>
  <c r="N418" i="954"/>
  <c r="L418" i="954"/>
  <c r="N436" i="954"/>
  <c r="L436" i="954"/>
  <c r="L442" i="954"/>
  <c r="L445" i="954"/>
  <c r="N445" i="954"/>
  <c r="N480" i="954"/>
  <c r="L480" i="954"/>
  <c r="N496" i="954"/>
  <c r="L496" i="954"/>
  <c r="N507" i="954"/>
  <c r="L507" i="954"/>
  <c r="N515" i="954"/>
  <c r="L515" i="954"/>
  <c r="AE133" i="954"/>
  <c r="I556" i="954" s="1"/>
  <c r="L569" i="954"/>
  <c r="N569" i="954"/>
  <c r="L585" i="954"/>
  <c r="N585" i="954"/>
  <c r="N598" i="954"/>
  <c r="L598" i="954"/>
  <c r="E137" i="954"/>
  <c r="I105" i="954" s="1"/>
  <c r="N615" i="954"/>
  <c r="L615" i="954"/>
  <c r="AF145" i="954"/>
  <c r="I698" i="954" s="1"/>
  <c r="N684" i="954" s="1"/>
  <c r="N147" i="954"/>
  <c r="L147" i="954"/>
  <c r="I731" i="954"/>
  <c r="I737" i="954"/>
  <c r="F153" i="954"/>
  <c r="F171" i="954"/>
  <c r="F183" i="954"/>
  <c r="F192" i="954"/>
  <c r="F226" i="954"/>
  <c r="F243" i="954"/>
  <c r="N316" i="954"/>
  <c r="L316" i="954"/>
  <c r="L327" i="954"/>
  <c r="N327" i="954"/>
  <c r="AH82" i="954"/>
  <c r="N345" i="954"/>
  <c r="L345" i="954"/>
  <c r="AL83" i="954"/>
  <c r="I351" i="954" s="1"/>
  <c r="L355" i="954"/>
  <c r="N355" i="954"/>
  <c r="AF85" i="954"/>
  <c r="I383" i="954" s="1"/>
  <c r="I1323" i="954"/>
  <c r="I1321" i="954"/>
  <c r="I1320" i="954"/>
  <c r="L387" i="954"/>
  <c r="N387" i="954"/>
  <c r="AH88" i="954"/>
  <c r="AF89" i="954"/>
  <c r="I413" i="954" s="1"/>
  <c r="N420" i="954"/>
  <c r="L420" i="954"/>
  <c r="L433" i="954"/>
  <c r="N433" i="954"/>
  <c r="L451" i="954"/>
  <c r="N451" i="954"/>
  <c r="N479" i="954"/>
  <c r="L479" i="954"/>
  <c r="N493" i="954"/>
  <c r="L493" i="954"/>
  <c r="I506" i="954"/>
  <c r="I512" i="954"/>
  <c r="N529" i="954"/>
  <c r="L529" i="954"/>
  <c r="AF133" i="954"/>
  <c r="I563" i="954" s="1"/>
  <c r="N571" i="954"/>
  <c r="L571" i="954"/>
  <c r="N584" i="954"/>
  <c r="L584" i="954"/>
  <c r="N600" i="954"/>
  <c r="L600" i="954"/>
  <c r="L614" i="954"/>
  <c r="N614" i="954"/>
  <c r="N648" i="954"/>
  <c r="L648" i="954"/>
  <c r="B144" i="954"/>
  <c r="L703" i="954"/>
  <c r="N703" i="954"/>
  <c r="L718" i="954"/>
  <c r="N718" i="954"/>
  <c r="L733" i="954"/>
  <c r="N733" i="954"/>
  <c r="F155" i="954"/>
  <c r="F161" i="954"/>
  <c r="I918" i="954"/>
  <c r="I1038" i="954"/>
  <c r="I1041" i="954"/>
  <c r="I921" i="954"/>
  <c r="L63" i="954"/>
  <c r="B65" i="954"/>
  <c r="I1030" i="954"/>
  <c r="I910" i="954"/>
  <c r="N313" i="954"/>
  <c r="L313" i="954"/>
  <c r="L325" i="954"/>
  <c r="N325" i="954"/>
  <c r="N344" i="954"/>
  <c r="L344" i="954"/>
  <c r="L361" i="954"/>
  <c r="N361" i="954"/>
  <c r="L379" i="954"/>
  <c r="N379" i="954"/>
  <c r="L385" i="954"/>
  <c r="N385" i="954"/>
  <c r="N409" i="954"/>
  <c r="L409" i="954"/>
  <c r="L419" i="954"/>
  <c r="N419" i="954"/>
  <c r="L435" i="954"/>
  <c r="N435" i="954"/>
  <c r="N469" i="954"/>
  <c r="L469" i="954"/>
  <c r="N495" i="954"/>
  <c r="L495" i="954"/>
  <c r="N511" i="954"/>
  <c r="L511" i="954"/>
  <c r="AJ98" i="954"/>
  <c r="I517" i="954" s="1"/>
  <c r="N520" i="954"/>
  <c r="N519" i="954"/>
  <c r="L520" i="954"/>
  <c r="AF134" i="954"/>
  <c r="I578" i="954" s="1"/>
  <c r="N564" i="954" s="1"/>
  <c r="L586" i="954"/>
  <c r="N599" i="954"/>
  <c r="L599" i="954"/>
  <c r="B214" i="954"/>
  <c r="B206" i="954"/>
  <c r="B198" i="954"/>
  <c r="B190" i="954"/>
  <c r="B183" i="954"/>
  <c r="B178" i="954"/>
  <c r="B172" i="954"/>
  <c r="B167" i="954"/>
  <c r="B213" i="954"/>
  <c r="B205" i="954"/>
  <c r="B197" i="954"/>
  <c r="B189" i="954"/>
  <c r="B185" i="954"/>
  <c r="B177" i="954"/>
  <c r="B171" i="954"/>
  <c r="B166" i="954"/>
  <c r="B159" i="954"/>
  <c r="B147" i="954"/>
  <c r="B145" i="954"/>
  <c r="B212" i="954"/>
  <c r="B204" i="954"/>
  <c r="B196" i="954"/>
  <c r="B188" i="954"/>
  <c r="B174" i="954"/>
  <c r="B162" i="954"/>
  <c r="B158" i="954"/>
  <c r="B154" i="954"/>
  <c r="B150" i="954"/>
  <c r="B140" i="954"/>
  <c r="N137" i="954"/>
  <c r="B137" i="954"/>
  <c r="B211" i="954"/>
  <c r="B203" i="954"/>
  <c r="B195" i="954"/>
  <c r="B187" i="954"/>
  <c r="B165" i="954"/>
  <c r="B210" i="954"/>
  <c r="B202" i="954"/>
  <c r="B194" i="954"/>
  <c r="B184" i="954"/>
  <c r="B182" i="954"/>
  <c r="B176" i="954"/>
  <c r="B164" i="954"/>
  <c r="B153" i="954"/>
  <c r="B209" i="954"/>
  <c r="B201" i="954"/>
  <c r="B193" i="954"/>
  <c r="B181" i="954"/>
  <c r="B173" i="954"/>
  <c r="B170" i="954"/>
  <c r="B216" i="954"/>
  <c r="B208" i="954"/>
  <c r="B200" i="954"/>
  <c r="B192" i="954"/>
  <c r="B186" i="954"/>
  <c r="B180" i="954"/>
  <c r="B169" i="954"/>
  <c r="B161" i="954"/>
  <c r="B156" i="954"/>
  <c r="B215" i="954"/>
  <c r="B207" i="954"/>
  <c r="B199" i="954"/>
  <c r="B191" i="954"/>
  <c r="B179" i="954"/>
  <c r="B175" i="954"/>
  <c r="B168" i="954"/>
  <c r="B163" i="954"/>
  <c r="B155" i="954"/>
  <c r="N616" i="954"/>
  <c r="L616" i="954"/>
  <c r="L138" i="954"/>
  <c r="F139" i="954"/>
  <c r="B141" i="954"/>
  <c r="N634" i="954"/>
  <c r="L634" i="954"/>
  <c r="N646" i="954"/>
  <c r="L646" i="954"/>
  <c r="L679" i="954"/>
  <c r="N679" i="954"/>
  <c r="F145" i="954"/>
  <c r="B146" i="954"/>
  <c r="F150" i="954"/>
  <c r="N720" i="954"/>
  <c r="L720" i="954"/>
  <c r="F151" i="954"/>
  <c r="L735" i="954"/>
  <c r="N735" i="954"/>
  <c r="L749" i="954"/>
  <c r="N749" i="954"/>
  <c r="L157" i="954"/>
  <c r="L158" i="954"/>
  <c r="F170" i="954"/>
  <c r="F248" i="954"/>
  <c r="N315" i="954"/>
  <c r="L315" i="954"/>
  <c r="L321" i="954"/>
  <c r="N331" i="954"/>
  <c r="L331" i="954"/>
  <c r="N358" i="954"/>
  <c r="L358" i="954"/>
  <c r="N372" i="954"/>
  <c r="L372" i="954"/>
  <c r="L380" i="954"/>
  <c r="N380" i="954"/>
  <c r="L391" i="954"/>
  <c r="N391" i="954"/>
  <c r="N402" i="954"/>
  <c r="L402" i="954"/>
  <c r="N410" i="954"/>
  <c r="N450" i="954"/>
  <c r="L450" i="954"/>
  <c r="N462" i="954"/>
  <c r="L462" i="954"/>
  <c r="N470" i="954"/>
  <c r="L470" i="954"/>
  <c r="N484" i="954"/>
  <c r="L484" i="954"/>
  <c r="L494" i="954"/>
  <c r="N494" i="954"/>
  <c r="N508" i="954"/>
  <c r="L508" i="954"/>
  <c r="L523" i="954"/>
  <c r="N523" i="954"/>
  <c r="N559" i="954"/>
  <c r="L559" i="954"/>
  <c r="AF135" i="954"/>
  <c r="I593" i="954" s="1"/>
  <c r="L601" i="954"/>
  <c r="N633" i="954"/>
  <c r="L633" i="954"/>
  <c r="F142" i="954"/>
  <c r="AF142" i="954"/>
  <c r="I653" i="954" s="1"/>
  <c r="N639" i="954" s="1"/>
  <c r="N678" i="954"/>
  <c r="L678" i="954"/>
  <c r="N145" i="954"/>
  <c r="L145" i="954"/>
  <c r="N704" i="954"/>
  <c r="L704" i="954"/>
  <c r="L719" i="954"/>
  <c r="N719" i="954"/>
  <c r="AF152" i="954"/>
  <c r="I758" i="954" s="1"/>
  <c r="F186" i="954"/>
  <c r="F216" i="954"/>
  <c r="F227" i="954"/>
  <c r="F240" i="954"/>
  <c r="F261" i="954"/>
  <c r="L705" i="954"/>
  <c r="N705" i="954"/>
  <c r="I722" i="954"/>
  <c r="I716" i="954"/>
  <c r="L739" i="954"/>
  <c r="N739" i="954"/>
  <c r="AB183" i="954"/>
  <c r="L192" i="954"/>
  <c r="L200" i="954"/>
  <c r="L208" i="954"/>
  <c r="L216" i="954"/>
  <c r="AH228" i="954"/>
  <c r="AI231" i="954"/>
  <c r="AH232" i="954"/>
  <c r="AG233" i="954"/>
  <c r="AG235" i="954"/>
  <c r="AG237" i="954"/>
  <c r="AD238" i="954"/>
  <c r="AB240" i="954"/>
  <c r="Z242" i="954"/>
  <c r="AI243" i="954"/>
  <c r="AH244" i="954"/>
  <c r="AG245" i="954"/>
  <c r="AD246" i="954"/>
  <c r="AB248" i="954"/>
  <c r="Z250" i="954"/>
  <c r="AI251" i="954"/>
  <c r="AH252" i="954"/>
  <c r="AG253" i="954"/>
  <c r="AB256" i="954"/>
  <c r="AH267" i="954"/>
  <c r="AB268" i="954"/>
  <c r="AH274" i="954"/>
  <c r="AG275" i="954"/>
  <c r="F295" i="954"/>
  <c r="L170" i="954"/>
  <c r="L173" i="954"/>
  <c r="L181" i="954"/>
  <c r="L193" i="954"/>
  <c r="L201" i="954"/>
  <c r="L209" i="954"/>
  <c r="AI228" i="954"/>
  <c r="AD285" i="954"/>
  <c r="AD277" i="954"/>
  <c r="AD269" i="954"/>
  <c r="AD284" i="954"/>
  <c r="AD276" i="954"/>
  <c r="AD283" i="954"/>
  <c r="AD275" i="954"/>
  <c r="AD267" i="954"/>
  <c r="AD282" i="954"/>
  <c r="AD281" i="954"/>
  <c r="AD273" i="954"/>
  <c r="AD265" i="954"/>
  <c r="AD280" i="954"/>
  <c r="AD272" i="954"/>
  <c r="AD279" i="954"/>
  <c r="AD271" i="954"/>
  <c r="AD263" i="954"/>
  <c r="AD278" i="954"/>
  <c r="AD270" i="954"/>
  <c r="AD262" i="954"/>
  <c r="AI232" i="954"/>
  <c r="AH233" i="954"/>
  <c r="AB234" i="954"/>
  <c r="AH235" i="954"/>
  <c r="AB236" i="954"/>
  <c r="AH237" i="954"/>
  <c r="AG238" i="954"/>
  <c r="AD239" i="954"/>
  <c r="AB241" i="954"/>
  <c r="AI244" i="954"/>
  <c r="AH245" i="954"/>
  <c r="AG246" i="954"/>
  <c r="AD247" i="954"/>
  <c r="AB249" i="954"/>
  <c r="Z251" i="954"/>
  <c r="AI252" i="954"/>
  <c r="AH253" i="954"/>
  <c r="AG254" i="954"/>
  <c r="AD255" i="954"/>
  <c r="AB258" i="954"/>
  <c r="AD259" i="954"/>
  <c r="AD260" i="954"/>
  <c r="F263" i="954"/>
  <c r="AG263" i="954"/>
  <c r="AB270" i="954"/>
  <c r="Z272" i="954"/>
  <c r="F275" i="954"/>
  <c r="AG294" i="954"/>
  <c r="AG284" i="954"/>
  <c r="AG276" i="954"/>
  <c r="AG296" i="954"/>
  <c r="AG291" i="954"/>
  <c r="AG286" i="954"/>
  <c r="AG283" i="954"/>
  <c r="AG288" i="954"/>
  <c r="AG282" i="954"/>
  <c r="AG274" i="954"/>
  <c r="AG266" i="954"/>
  <c r="AG293" i="954"/>
  <c r="AG281" i="954"/>
  <c r="AG290" i="954"/>
  <c r="AG280" i="954"/>
  <c r="AG272" i="954"/>
  <c r="AG264" i="954"/>
  <c r="AG297" i="954"/>
  <c r="AG295" i="954"/>
  <c r="AG287" i="954"/>
  <c r="AG279" i="954"/>
  <c r="AG271" i="954"/>
  <c r="AG292" i="954"/>
  <c r="AG278" i="954"/>
  <c r="AG270" i="954"/>
  <c r="AG262" i="954"/>
  <c r="AG289" i="954"/>
  <c r="AG285" i="954"/>
  <c r="AG277" i="954"/>
  <c r="AG269" i="954"/>
  <c r="AG261" i="954"/>
  <c r="AI235" i="954"/>
  <c r="AI237" i="954"/>
  <c r="AH238" i="954"/>
  <c r="AG239" i="954"/>
  <c r="AB242" i="954"/>
  <c r="AI245" i="954"/>
  <c r="AH246" i="954"/>
  <c r="AG247" i="954"/>
  <c r="AD248" i="954"/>
  <c r="AB250" i="954"/>
  <c r="AI253" i="954"/>
  <c r="AH254" i="954"/>
  <c r="AG255" i="954"/>
  <c r="AD256" i="954"/>
  <c r="AD257" i="954"/>
  <c r="AG259" i="954"/>
  <c r="AG260" i="954"/>
  <c r="AI263" i="954"/>
  <c r="Z264" i="954"/>
  <c r="AI265" i="954"/>
  <c r="AD268" i="954"/>
  <c r="AI271" i="954"/>
  <c r="F293" i="954"/>
  <c r="N753" i="954"/>
  <c r="L753" i="954"/>
  <c r="L768" i="954"/>
  <c r="L759" i="954" s="1"/>
  <c r="N768" i="954"/>
  <c r="N759" i="954"/>
  <c r="AH229" i="954"/>
  <c r="AG230" i="954"/>
  <c r="AD234" i="954"/>
  <c r="AD236" i="954"/>
  <c r="AI238" i="954"/>
  <c r="AH239" i="954"/>
  <c r="AG240" i="954"/>
  <c r="AD241" i="954"/>
  <c r="AB243" i="954"/>
  <c r="Z245" i="954"/>
  <c r="AI246" i="954"/>
  <c r="AH247" i="954"/>
  <c r="AG248" i="954"/>
  <c r="AD249" i="954"/>
  <c r="AB251" i="954"/>
  <c r="Z253" i="954"/>
  <c r="AI254" i="954"/>
  <c r="AH255" i="954"/>
  <c r="AG256" i="954"/>
  <c r="AG257" i="954"/>
  <c r="AD258" i="954"/>
  <c r="AD261" i="954"/>
  <c r="Z262" i="954"/>
  <c r="AG268" i="954"/>
  <c r="F279" i="954"/>
  <c r="F283" i="954"/>
  <c r="L174" i="954"/>
  <c r="L188" i="954"/>
  <c r="L196" i="954"/>
  <c r="L204" i="954"/>
  <c r="L212" i="954"/>
  <c r="AI229" i="954"/>
  <c r="AH296" i="954"/>
  <c r="AH291" i="954"/>
  <c r="AH286" i="954"/>
  <c r="AH283" i="954"/>
  <c r="AH275" i="954"/>
  <c r="AH288" i="954"/>
  <c r="AH282" i="954"/>
  <c r="AH293" i="954"/>
  <c r="AH281" i="954"/>
  <c r="AH273" i="954"/>
  <c r="AH265" i="954"/>
  <c r="AH290" i="954"/>
  <c r="AH280" i="954"/>
  <c r="AH297" i="954"/>
  <c r="AH295" i="954"/>
  <c r="AH287" i="954"/>
  <c r="AH279" i="954"/>
  <c r="AH271" i="954"/>
  <c r="AH263" i="954"/>
  <c r="AH292" i="954"/>
  <c r="AH278" i="954"/>
  <c r="AH270" i="954"/>
  <c r="AH289" i="954"/>
  <c r="AH285" i="954"/>
  <c r="AH277" i="954"/>
  <c r="AH269" i="954"/>
  <c r="AH261" i="954"/>
  <c r="AH294" i="954"/>
  <c r="AH284" i="954"/>
  <c r="AH276" i="954"/>
  <c r="AH268" i="954"/>
  <c r="AH260" i="954"/>
  <c r="AG234" i="954"/>
  <c r="AG236" i="954"/>
  <c r="AI239" i="954"/>
  <c r="AH240" i="954"/>
  <c r="AG241" i="954"/>
  <c r="AD242" i="954"/>
  <c r="AB244" i="954"/>
  <c r="AI247" i="954"/>
  <c r="AH248" i="954"/>
  <c r="AG249" i="954"/>
  <c r="AD250" i="954"/>
  <c r="AB252" i="954"/>
  <c r="AI255" i="954"/>
  <c r="AH256" i="954"/>
  <c r="AH257" i="954"/>
  <c r="AG258" i="954"/>
  <c r="AI259" i="954"/>
  <c r="AI261" i="954"/>
  <c r="AD266" i="954"/>
  <c r="F269" i="954"/>
  <c r="F271" i="954"/>
  <c r="AH272" i="954"/>
  <c r="N388" i="954"/>
  <c r="L388" i="954"/>
  <c r="N400" i="954"/>
  <c r="L400" i="954"/>
  <c r="N424" i="954"/>
  <c r="L424" i="954"/>
  <c r="N434" i="954"/>
  <c r="L434" i="954"/>
  <c r="N448" i="954"/>
  <c r="L448" i="954"/>
  <c r="L464" i="954"/>
  <c r="N464" i="954"/>
  <c r="L478" i="954"/>
  <c r="N478" i="954"/>
  <c r="I497" i="954"/>
  <c r="I491" i="954"/>
  <c r="L514" i="954"/>
  <c r="N514" i="954"/>
  <c r="N555" i="954"/>
  <c r="L555" i="954"/>
  <c r="L568" i="954"/>
  <c r="N568" i="954"/>
  <c r="L588" i="954"/>
  <c r="N588" i="954"/>
  <c r="N604" i="954"/>
  <c r="L604" i="954"/>
  <c r="L649" i="954"/>
  <c r="N649" i="954"/>
  <c r="L708" i="954"/>
  <c r="N708" i="954"/>
  <c r="N734" i="954"/>
  <c r="L734" i="954"/>
  <c r="N748" i="954"/>
  <c r="L748" i="954"/>
  <c r="L159" i="954"/>
  <c r="L166" i="954"/>
  <c r="L171" i="954"/>
  <c r="L177" i="954"/>
  <c r="L185" i="954"/>
  <c r="L189" i="954"/>
  <c r="L197" i="954"/>
  <c r="L205" i="954"/>
  <c r="N225" i="954"/>
  <c r="Z281" i="954"/>
  <c r="Z273" i="954"/>
  <c r="Z280" i="954"/>
  <c r="Z279" i="954"/>
  <c r="Z271" i="954"/>
  <c r="Z263" i="954"/>
  <c r="Z278" i="954"/>
  <c r="Z285" i="954"/>
  <c r="Z277" i="954"/>
  <c r="Z269" i="954"/>
  <c r="Z261" i="954"/>
  <c r="Z284" i="954"/>
  <c r="Z276" i="954"/>
  <c r="Z268" i="954"/>
  <c r="Z283" i="954"/>
  <c r="Z275" i="954"/>
  <c r="Z267" i="954"/>
  <c r="Z259" i="954"/>
  <c r="Z282" i="954"/>
  <c r="Z274" i="954"/>
  <c r="Z266" i="954"/>
  <c r="AI230" i="954"/>
  <c r="AB233" i="954"/>
  <c r="AH234" i="954"/>
  <c r="AB235" i="954"/>
  <c r="AH236" i="954"/>
  <c r="AB237" i="954"/>
  <c r="Z239" i="954"/>
  <c r="AI240" i="954"/>
  <c r="AH241" i="954"/>
  <c r="AG242" i="954"/>
  <c r="AD243" i="954"/>
  <c r="AB245" i="954"/>
  <c r="Z247" i="954"/>
  <c r="AI248" i="954"/>
  <c r="AH249" i="954"/>
  <c r="AG250" i="954"/>
  <c r="AD251" i="954"/>
  <c r="AB253" i="954"/>
  <c r="Z255" i="954"/>
  <c r="AI256" i="954"/>
  <c r="AH258" i="954"/>
  <c r="Z260" i="954"/>
  <c r="AB262" i="954"/>
  <c r="AD264" i="954"/>
  <c r="AH266" i="954"/>
  <c r="AG273" i="954"/>
  <c r="I701" i="954"/>
  <c r="I707" i="954"/>
  <c r="N724" i="954"/>
  <c r="L724" i="954"/>
  <c r="AE151" i="954"/>
  <c r="I736" i="954" s="1"/>
  <c r="N750" i="954"/>
  <c r="L750" i="954"/>
  <c r="AG231" i="954"/>
  <c r="AI288" i="954"/>
  <c r="AI282" i="954"/>
  <c r="AI274" i="954"/>
  <c r="AI293" i="954"/>
  <c r="AI281" i="954"/>
  <c r="AI290" i="954"/>
  <c r="AI280" i="954"/>
  <c r="AI272" i="954"/>
  <c r="AI264" i="954"/>
  <c r="AI297" i="954"/>
  <c r="AI295" i="954"/>
  <c r="AI287" i="954"/>
  <c r="AI279" i="954"/>
  <c r="AI292" i="954"/>
  <c r="AI278" i="954"/>
  <c r="AI270" i="954"/>
  <c r="AI262" i="954"/>
  <c r="AI289" i="954"/>
  <c r="AI285" i="954"/>
  <c r="AI277" i="954"/>
  <c r="AI269" i="954"/>
  <c r="AI294" i="954"/>
  <c r="AI284" i="954"/>
  <c r="AI276" i="954"/>
  <c r="AI268" i="954"/>
  <c r="AI260" i="954"/>
  <c r="AI296" i="954"/>
  <c r="AI291" i="954"/>
  <c r="AI286" i="954"/>
  <c r="AI283" i="954"/>
  <c r="AI275" i="954"/>
  <c r="AI267" i="954"/>
  <c r="AI234" i="954"/>
  <c r="AI236" i="954"/>
  <c r="AB238" i="954"/>
  <c r="AI241" i="954"/>
  <c r="AH242" i="954"/>
  <c r="AG243" i="954"/>
  <c r="AD244" i="954"/>
  <c r="AB246" i="954"/>
  <c r="AI249" i="954"/>
  <c r="AH250" i="954"/>
  <c r="AG251" i="954"/>
  <c r="AD252" i="954"/>
  <c r="Z256" i="954"/>
  <c r="AI258" i="954"/>
  <c r="AH264" i="954"/>
  <c r="Z265" i="954"/>
  <c r="AI266" i="954"/>
  <c r="AI273" i="954"/>
  <c r="F289" i="954"/>
  <c r="AB279" i="954"/>
  <c r="AB271" i="954"/>
  <c r="AB278" i="954"/>
  <c r="AB285" i="954"/>
  <c r="AB277" i="954"/>
  <c r="AB269" i="954"/>
  <c r="AB261" i="954"/>
  <c r="AB284" i="954"/>
  <c r="AB276" i="954"/>
  <c r="AB283" i="954"/>
  <c r="AB275" i="954"/>
  <c r="AB267" i="954"/>
  <c r="AB259" i="954"/>
  <c r="AB282" i="954"/>
  <c r="AB274" i="954"/>
  <c r="AB266" i="954"/>
  <c r="AB281" i="954"/>
  <c r="AB273" i="954"/>
  <c r="AB265" i="954"/>
  <c r="AB257" i="954"/>
  <c r="AB280" i="954"/>
  <c r="AB272" i="954"/>
  <c r="AB264" i="954"/>
  <c r="AB239" i="954"/>
  <c r="AH243" i="954"/>
  <c r="AG244" i="954"/>
  <c r="AB247" i="954"/>
  <c r="AI250" i="954"/>
  <c r="AH251" i="954"/>
  <c r="AG252" i="954"/>
  <c r="AD253" i="954"/>
  <c r="AB255" i="954"/>
  <c r="Z257" i="954"/>
  <c r="Z258" i="954"/>
  <c r="AB260" i="954"/>
  <c r="AH262" i="954"/>
  <c r="AB263" i="954"/>
  <c r="F267" i="954"/>
  <c r="AG267" i="954"/>
  <c r="Z270" i="954"/>
  <c r="AD274" i="954"/>
  <c r="F277" i="954"/>
  <c r="F285" i="954"/>
  <c r="N543" i="954"/>
  <c r="L543" i="954"/>
  <c r="N528" i="954"/>
  <c r="L528" i="954"/>
  <c r="N536" i="954"/>
  <c r="N534" i="954"/>
  <c r="L536" i="954"/>
  <c r="N605" i="954"/>
  <c r="L605" i="954"/>
  <c r="N607" i="954"/>
  <c r="L607" i="954"/>
  <c r="L540" i="954"/>
  <c r="N575" i="954"/>
  <c r="L575" i="954"/>
  <c r="N577" i="954"/>
  <c r="L577" i="954"/>
  <c r="N591" i="954"/>
  <c r="L591" i="954"/>
  <c r="N597" i="954"/>
  <c r="L597" i="954"/>
  <c r="N561" i="954"/>
  <c r="L561" i="954"/>
  <c r="N567" i="954"/>
  <c r="L567" i="954"/>
  <c r="L539" i="954"/>
  <c r="N650" i="954"/>
  <c r="L650" i="954"/>
  <c r="L666" i="954"/>
  <c r="L682" i="954"/>
  <c r="N783" i="954"/>
  <c r="F917" i="954"/>
  <c r="N609" i="954"/>
  <c r="N742" i="954"/>
  <c r="N774" i="954"/>
  <c r="L776" i="954"/>
  <c r="N780" i="954"/>
  <c r="N782" i="954"/>
  <c r="N784" i="954"/>
  <c r="L680" i="954"/>
  <c r="N776" i="954"/>
  <c r="N778" i="954"/>
  <c r="N137" i="952"/>
  <c r="N225" i="953"/>
  <c r="B145" i="952"/>
  <c r="B141" i="952"/>
  <c r="L758" i="953"/>
  <c r="N758" i="953"/>
  <c r="L623" i="953"/>
  <c r="N623" i="953"/>
  <c r="N443" i="953"/>
  <c r="L443" i="953"/>
  <c r="AF143" i="953"/>
  <c r="I668" i="953" s="1"/>
  <c r="N654" i="953" s="1"/>
  <c r="AF144" i="953"/>
  <c r="I683" i="953" s="1"/>
  <c r="AF145" i="953"/>
  <c r="I698" i="953" s="1"/>
  <c r="AF141" i="953"/>
  <c r="I638" i="953" s="1"/>
  <c r="AF142" i="953"/>
  <c r="I653" i="953" s="1"/>
  <c r="N639" i="953" s="1"/>
  <c r="AF95" i="953"/>
  <c r="I473" i="953" s="1"/>
  <c r="AF98" i="953"/>
  <c r="I518" i="953" s="1"/>
  <c r="AF97" i="953"/>
  <c r="I503" i="953" s="1"/>
  <c r="AF96" i="953"/>
  <c r="I488" i="953" s="1"/>
  <c r="L824" i="953"/>
  <c r="L804" i="953"/>
  <c r="L1077" i="953"/>
  <c r="L912" i="953"/>
  <c r="L965" i="953"/>
  <c r="L1025" i="953"/>
  <c r="L1021" i="953"/>
  <c r="L908" i="953"/>
  <c r="L1145" i="953"/>
  <c r="L856" i="953"/>
  <c r="W221" i="953"/>
  <c r="V165" i="953"/>
  <c r="P170" i="953"/>
  <c r="J22" i="953"/>
  <c r="U79" i="953"/>
  <c r="H22" i="953"/>
  <c r="B22" i="953"/>
  <c r="W2" i="953"/>
  <c r="K36" i="953"/>
  <c r="A22" i="953"/>
  <c r="AC5" i="953"/>
  <c r="V108" i="953"/>
  <c r="J36" i="953"/>
  <c r="U130" i="953"/>
  <c r="H62" i="953"/>
  <c r="H36" i="953"/>
  <c r="H15" i="953"/>
  <c r="B36" i="953"/>
  <c r="H12" i="953"/>
  <c r="W5" i="953"/>
  <c r="A36" i="953"/>
  <c r="L338" i="953"/>
  <c r="N338" i="953"/>
  <c r="Q13" i="953"/>
  <c r="N64" i="953"/>
  <c r="N68" i="953"/>
  <c r="L316" i="953"/>
  <c r="N316" i="953"/>
  <c r="N327" i="953"/>
  <c r="L327" i="953"/>
  <c r="AH82" i="953"/>
  <c r="L345" i="953"/>
  <c r="N345" i="953"/>
  <c r="AL83" i="953"/>
  <c r="I351" i="953" s="1"/>
  <c r="L355" i="953"/>
  <c r="N355" i="953"/>
  <c r="AF85" i="953"/>
  <c r="I383" i="953" s="1"/>
  <c r="AF88" i="953"/>
  <c r="I398" i="953" s="1"/>
  <c r="N405" i="953"/>
  <c r="L405" i="953"/>
  <c r="L421" i="953"/>
  <c r="N421" i="953"/>
  <c r="N432" i="953"/>
  <c r="L432" i="953"/>
  <c r="AH91" i="953"/>
  <c r="AF92" i="953"/>
  <c r="I458" i="953" s="1"/>
  <c r="N462" i="953"/>
  <c r="L462" i="953"/>
  <c r="AH95" i="953"/>
  <c r="AE95" i="953" s="1"/>
  <c r="I464" i="953" s="1"/>
  <c r="L464" i="953" s="1"/>
  <c r="N495" i="953"/>
  <c r="L495" i="953"/>
  <c r="L511" i="953"/>
  <c r="N511" i="953"/>
  <c r="N529" i="953"/>
  <c r="L529" i="953"/>
  <c r="N125" i="953"/>
  <c r="AF133" i="953"/>
  <c r="I563" i="953" s="1"/>
  <c r="AE134" i="953"/>
  <c r="I571" i="953" s="1"/>
  <c r="N584" i="953"/>
  <c r="L584" i="953"/>
  <c r="L600" i="953"/>
  <c r="N600" i="953"/>
  <c r="E137" i="953"/>
  <c r="I102" i="953" s="1"/>
  <c r="L613" i="953"/>
  <c r="N613" i="953"/>
  <c r="B142" i="953"/>
  <c r="N649" i="953"/>
  <c r="L649" i="953"/>
  <c r="N148" i="953"/>
  <c r="I722" i="953"/>
  <c r="I716" i="953"/>
  <c r="F160" i="953"/>
  <c r="F163" i="953"/>
  <c r="F168" i="953"/>
  <c r="F179" i="953"/>
  <c r="F192" i="953"/>
  <c r="F199" i="953"/>
  <c r="F214" i="953"/>
  <c r="F225" i="953"/>
  <c r="I918" i="953"/>
  <c r="I1038" i="953"/>
  <c r="I1041" i="953"/>
  <c r="I921" i="953"/>
  <c r="AK25" i="953"/>
  <c r="L63" i="953"/>
  <c r="N313" i="953"/>
  <c r="L313" i="953"/>
  <c r="N325" i="953"/>
  <c r="L325" i="953"/>
  <c r="N344" i="953"/>
  <c r="L344" i="953"/>
  <c r="L361" i="953"/>
  <c r="N361" i="953"/>
  <c r="AJ84" i="953"/>
  <c r="I367" i="953" s="1"/>
  <c r="L379" i="953"/>
  <c r="N379" i="953"/>
  <c r="I1323" i="953"/>
  <c r="I1321" i="953"/>
  <c r="I1320" i="953"/>
  <c r="L394" i="953"/>
  <c r="N394" i="953"/>
  <c r="L404" i="953"/>
  <c r="N404" i="953"/>
  <c r="N418" i="953"/>
  <c r="L418" i="953"/>
  <c r="N430" i="953"/>
  <c r="L430" i="953"/>
  <c r="N454" i="953"/>
  <c r="L454" i="953"/>
  <c r="I467" i="953"/>
  <c r="I461" i="953"/>
  <c r="N484" i="953"/>
  <c r="L484" i="953"/>
  <c r="N494" i="953"/>
  <c r="L494" i="953"/>
  <c r="N508" i="953"/>
  <c r="L508" i="953"/>
  <c r="L520" i="953"/>
  <c r="N519" i="953"/>
  <c r="N520" i="953"/>
  <c r="AF134" i="953"/>
  <c r="I578" i="953" s="1"/>
  <c r="AE135" i="953"/>
  <c r="I586" i="953" s="1"/>
  <c r="L599" i="953"/>
  <c r="N599" i="953"/>
  <c r="F137" i="953"/>
  <c r="N615" i="953"/>
  <c r="L615" i="953"/>
  <c r="B144" i="953"/>
  <c r="I679" i="953"/>
  <c r="AE144" i="953"/>
  <c r="I676" i="953" s="1"/>
  <c r="N718" i="953"/>
  <c r="L718" i="953"/>
  <c r="F153" i="953"/>
  <c r="N154" i="953"/>
  <c r="F157" i="953"/>
  <c r="F186" i="953"/>
  <c r="F191" i="953"/>
  <c r="F206" i="953"/>
  <c r="F259" i="953"/>
  <c r="N315" i="953"/>
  <c r="L315" i="953"/>
  <c r="N331" i="953"/>
  <c r="L331" i="953"/>
  <c r="AF83" i="953"/>
  <c r="I353" i="953" s="1"/>
  <c r="N358" i="953"/>
  <c r="L358" i="953"/>
  <c r="N372" i="953"/>
  <c r="L372" i="953"/>
  <c r="N380" i="953"/>
  <c r="L380" i="953"/>
  <c r="L387" i="953"/>
  <c r="N387" i="953"/>
  <c r="L395" i="953"/>
  <c r="N395" i="953"/>
  <c r="AF89" i="953"/>
  <c r="I413" i="953" s="1"/>
  <c r="N420" i="953"/>
  <c r="L420" i="953"/>
  <c r="N436" i="953"/>
  <c r="L436" i="953"/>
  <c r="N447" i="953"/>
  <c r="L447" i="953"/>
  <c r="N466" i="953"/>
  <c r="L466" i="953"/>
  <c r="N477" i="953"/>
  <c r="L477" i="953"/>
  <c r="L485" i="953"/>
  <c r="N510" i="953"/>
  <c r="L510" i="953"/>
  <c r="L523" i="953"/>
  <c r="N523" i="953"/>
  <c r="N559" i="953"/>
  <c r="L559" i="953"/>
  <c r="AF135" i="953"/>
  <c r="I593" i="953" s="1"/>
  <c r="N601" i="953"/>
  <c r="L601" i="953"/>
  <c r="B209" i="953"/>
  <c r="B201" i="953"/>
  <c r="B193" i="953"/>
  <c r="B181" i="953"/>
  <c r="B173" i="953"/>
  <c r="B170" i="953"/>
  <c r="B216" i="953"/>
  <c r="B208" i="953"/>
  <c r="B200" i="953"/>
  <c r="B192" i="953"/>
  <c r="B186" i="953"/>
  <c r="B180" i="953"/>
  <c r="B169" i="953"/>
  <c r="B161" i="953"/>
  <c r="B156" i="953"/>
  <c r="B215" i="953"/>
  <c r="B207" i="953"/>
  <c r="B199" i="953"/>
  <c r="B191" i="953"/>
  <c r="B179" i="953"/>
  <c r="B175" i="953"/>
  <c r="B168" i="953"/>
  <c r="B163" i="953"/>
  <c r="B214" i="953"/>
  <c r="B206" i="953"/>
  <c r="B198" i="953"/>
  <c r="B190" i="953"/>
  <c r="B183" i="953"/>
  <c r="B178" i="953"/>
  <c r="B172" i="953"/>
  <c r="B167" i="953"/>
  <c r="B160" i="953"/>
  <c r="B213" i="953"/>
  <c r="B205" i="953"/>
  <c r="B197" i="953"/>
  <c r="B189" i="953"/>
  <c r="B185" i="953"/>
  <c r="B177" i="953"/>
  <c r="B171" i="953"/>
  <c r="B166" i="953"/>
  <c r="B159" i="953"/>
  <c r="B147" i="953"/>
  <c r="B145" i="953"/>
  <c r="B141" i="953"/>
  <c r="B138" i="953"/>
  <c r="B212" i="953"/>
  <c r="B204" i="953"/>
  <c r="B196" i="953"/>
  <c r="B188" i="953"/>
  <c r="B174" i="953"/>
  <c r="B162" i="953"/>
  <c r="B158" i="953"/>
  <c r="B154" i="953"/>
  <c r="B150" i="953"/>
  <c r="B211" i="953"/>
  <c r="B203" i="953"/>
  <c r="B195" i="953"/>
  <c r="B187" i="953"/>
  <c r="B165" i="953"/>
  <c r="B157" i="953"/>
  <c r="B146" i="953"/>
  <c r="B210" i="953"/>
  <c r="B202" i="953"/>
  <c r="B194" i="953"/>
  <c r="B184" i="953"/>
  <c r="B182" i="953"/>
  <c r="B176" i="953"/>
  <c r="B164" i="953"/>
  <c r="B153" i="953"/>
  <c r="B149" i="953"/>
  <c r="L614" i="953"/>
  <c r="N614" i="953"/>
  <c r="F139" i="953"/>
  <c r="N646" i="953"/>
  <c r="L646" i="953"/>
  <c r="F144" i="953"/>
  <c r="N678" i="953"/>
  <c r="L678" i="953"/>
  <c r="F147" i="953"/>
  <c r="F148" i="953"/>
  <c r="N720" i="953"/>
  <c r="L720" i="953"/>
  <c r="N749" i="953"/>
  <c r="L749" i="953"/>
  <c r="F167" i="953"/>
  <c r="F178" i="953"/>
  <c r="F185" i="953"/>
  <c r="F198" i="953"/>
  <c r="F237" i="953"/>
  <c r="AE18" i="953"/>
  <c r="I1060" i="953"/>
  <c r="I1036" i="953"/>
  <c r="I936" i="953"/>
  <c r="I1067" i="953"/>
  <c r="I915" i="953"/>
  <c r="I1065" i="953"/>
  <c r="I938" i="953"/>
  <c r="I935" i="953"/>
  <c r="I1057" i="953"/>
  <c r="I1053" i="953"/>
  <c r="I1049" i="953"/>
  <c r="I1068" i="953"/>
  <c r="I929" i="953"/>
  <c r="I1066" i="953"/>
  <c r="I1056" i="953"/>
  <c r="I1052" i="953"/>
  <c r="I1064" i="953"/>
  <c r="I928" i="953"/>
  <c r="I1059" i="953"/>
  <c r="I1055" i="953"/>
  <c r="I1051" i="953"/>
  <c r="I931" i="953"/>
  <c r="I1058" i="953"/>
  <c r="I1054" i="953"/>
  <c r="I1050" i="953"/>
  <c r="I937" i="953"/>
  <c r="L314" i="953"/>
  <c r="N314" i="953"/>
  <c r="L328" i="953"/>
  <c r="N328" i="953"/>
  <c r="L349" i="953"/>
  <c r="N349" i="953"/>
  <c r="N360" i="953"/>
  <c r="L360" i="953"/>
  <c r="AL84" i="953"/>
  <c r="I366" i="953" s="1"/>
  <c r="N370" i="953"/>
  <c r="L370" i="953"/>
  <c r="L385" i="953"/>
  <c r="N385" i="953"/>
  <c r="N409" i="953"/>
  <c r="L409" i="953"/>
  <c r="L419" i="953"/>
  <c r="N419" i="953"/>
  <c r="N433" i="953"/>
  <c r="L433" i="953"/>
  <c r="N445" i="953"/>
  <c r="L445" i="953"/>
  <c r="N463" i="953"/>
  <c r="L463" i="953"/>
  <c r="I476" i="953"/>
  <c r="I482" i="953"/>
  <c r="L499" i="953"/>
  <c r="N499" i="953"/>
  <c r="N509" i="953"/>
  <c r="L509" i="953"/>
  <c r="N525" i="953"/>
  <c r="L525" i="953"/>
  <c r="N558" i="953"/>
  <c r="L558" i="953"/>
  <c r="L574" i="953"/>
  <c r="N574" i="953"/>
  <c r="AF136" i="953"/>
  <c r="I608" i="953" s="1"/>
  <c r="N594" i="953" s="1"/>
  <c r="B140" i="953"/>
  <c r="N634" i="953"/>
  <c r="L634" i="953"/>
  <c r="N694" i="953"/>
  <c r="L694" i="953"/>
  <c r="F146" i="953"/>
  <c r="L703" i="953"/>
  <c r="N703" i="953"/>
  <c r="F150" i="953"/>
  <c r="AF151" i="953"/>
  <c r="I743" i="953" s="1"/>
  <c r="AE152" i="953"/>
  <c r="I751" i="953" s="1"/>
  <c r="F175" i="953"/>
  <c r="F190" i="953"/>
  <c r="F228" i="953"/>
  <c r="F242" i="953"/>
  <c r="F250" i="953"/>
  <c r="P12" i="953"/>
  <c r="N62" i="953"/>
  <c r="I914" i="953"/>
  <c r="I930" i="953"/>
  <c r="I933" i="953"/>
  <c r="I932" i="953"/>
  <c r="I939" i="953"/>
  <c r="AF81" i="953"/>
  <c r="I323" i="953" s="1"/>
  <c r="L330" i="953"/>
  <c r="N330" i="953"/>
  <c r="AL82" i="953"/>
  <c r="I336" i="953" s="1"/>
  <c r="N342" i="953"/>
  <c r="L342" i="953"/>
  <c r="AH83" i="953"/>
  <c r="N359" i="953"/>
  <c r="L359" i="953"/>
  <c r="N376" i="953"/>
  <c r="L376" i="953"/>
  <c r="AJ85" i="953"/>
  <c r="I382" i="953" s="1"/>
  <c r="L391" i="953"/>
  <c r="N391" i="953"/>
  <c r="AJ88" i="953"/>
  <c r="I397" i="953" s="1"/>
  <c r="N402" i="953"/>
  <c r="L402" i="953"/>
  <c r="AH89" i="953"/>
  <c r="AF90" i="953"/>
  <c r="I428" i="953" s="1"/>
  <c r="N435" i="953"/>
  <c r="L435" i="953"/>
  <c r="N451" i="953"/>
  <c r="L451" i="953"/>
  <c r="N465" i="953"/>
  <c r="L465" i="953"/>
  <c r="N481" i="953"/>
  <c r="L481" i="953"/>
  <c r="N492" i="953"/>
  <c r="L492" i="953"/>
  <c r="AH97" i="953"/>
  <c r="L524" i="953"/>
  <c r="N524" i="953"/>
  <c r="N553" i="953"/>
  <c r="L553" i="953"/>
  <c r="N573" i="953"/>
  <c r="L573" i="953"/>
  <c r="N589" i="953"/>
  <c r="L589" i="953"/>
  <c r="N633" i="953"/>
  <c r="L633" i="953"/>
  <c r="F142" i="953"/>
  <c r="L693" i="953"/>
  <c r="N693" i="953"/>
  <c r="N146" i="953"/>
  <c r="F149" i="953"/>
  <c r="L705" i="953"/>
  <c r="N705" i="953"/>
  <c r="N150" i="953"/>
  <c r="F159" i="953"/>
  <c r="F231" i="953"/>
  <c r="AF150" i="953"/>
  <c r="I728" i="953" s="1"/>
  <c r="AF149" i="953"/>
  <c r="I713" i="953" s="1"/>
  <c r="N319" i="953"/>
  <c r="L319" i="953"/>
  <c r="F320" i="953"/>
  <c r="N329" i="953"/>
  <c r="L329" i="953"/>
  <c r="N340" i="953"/>
  <c r="L340" i="953"/>
  <c r="AF84" i="953"/>
  <c r="I368" i="953" s="1"/>
  <c r="N373" i="953"/>
  <c r="L373" i="953"/>
  <c r="N388" i="953"/>
  <c r="L388" i="953"/>
  <c r="N400" i="953"/>
  <c r="L400" i="953"/>
  <c r="N424" i="953"/>
  <c r="L424" i="953"/>
  <c r="N434" i="953"/>
  <c r="L434" i="953"/>
  <c r="L448" i="953"/>
  <c r="N448" i="953"/>
  <c r="L478" i="953"/>
  <c r="I491" i="953"/>
  <c r="I497" i="953"/>
  <c r="N514" i="953"/>
  <c r="L514" i="953"/>
  <c r="N555" i="953"/>
  <c r="L555" i="953"/>
  <c r="N568" i="953"/>
  <c r="L568" i="953"/>
  <c r="L588" i="953"/>
  <c r="N588" i="953"/>
  <c r="L604" i="953"/>
  <c r="N604" i="953"/>
  <c r="B137" i="953"/>
  <c r="N137" i="953"/>
  <c r="AE141" i="953"/>
  <c r="I631" i="953" s="1"/>
  <c r="B143" i="953"/>
  <c r="AE145" i="953"/>
  <c r="I691" i="953" s="1"/>
  <c r="L704" i="953"/>
  <c r="N704" i="953"/>
  <c r="I739" i="953"/>
  <c r="AE151" i="953"/>
  <c r="I736" i="953" s="1"/>
  <c r="B152" i="953"/>
  <c r="N754" i="953"/>
  <c r="L754" i="953"/>
  <c r="B155" i="953"/>
  <c r="F156" i="953"/>
  <c r="F172" i="953"/>
  <c r="F216" i="953"/>
  <c r="F226" i="953"/>
  <c r="F230" i="953"/>
  <c r="F241" i="953"/>
  <c r="F249" i="953"/>
  <c r="F288" i="953"/>
  <c r="F280" i="953"/>
  <c r="F272" i="953"/>
  <c r="F290" i="953"/>
  <c r="F286" i="953"/>
  <c r="F278" i="953"/>
  <c r="F270" i="953"/>
  <c r="F294" i="953"/>
  <c r="F287" i="953"/>
  <c r="F284" i="953"/>
  <c r="F276" i="953"/>
  <c r="F283" i="953"/>
  <c r="F275" i="953"/>
  <c r="F267" i="953"/>
  <c r="F292" i="953"/>
  <c r="F282" i="953"/>
  <c r="F274" i="953"/>
  <c r="F248" i="953"/>
  <c r="F240" i="953"/>
  <c r="F213" i="953"/>
  <c r="F205" i="953"/>
  <c r="F197" i="953"/>
  <c r="F189" i="953"/>
  <c r="F177" i="953"/>
  <c r="F171" i="953"/>
  <c r="F166" i="953"/>
  <c r="F266" i="953"/>
  <c r="F264" i="953"/>
  <c r="F247" i="953"/>
  <c r="F239" i="953"/>
  <c r="F227" i="953"/>
  <c r="F212" i="953"/>
  <c r="F204" i="953"/>
  <c r="F196" i="953"/>
  <c r="F188" i="953"/>
  <c r="F174" i="953"/>
  <c r="F162" i="953"/>
  <c r="F158" i="953"/>
  <c r="F154" i="953"/>
  <c r="F256" i="953"/>
  <c r="F255" i="953"/>
  <c r="F246" i="953"/>
  <c r="F238" i="953"/>
  <c r="F236" i="953"/>
  <c r="F234" i="953"/>
  <c r="F211" i="953"/>
  <c r="F203" i="953"/>
  <c r="F195" i="953"/>
  <c r="F187" i="953"/>
  <c r="F165" i="953"/>
  <c r="F262" i="953"/>
  <c r="F260" i="953"/>
  <c r="F254" i="953"/>
  <c r="F253" i="953"/>
  <c r="F245" i="953"/>
  <c r="F233" i="953"/>
  <c r="F229" i="953"/>
  <c r="F210" i="953"/>
  <c r="F202" i="953"/>
  <c r="F194" i="953"/>
  <c r="F184" i="953"/>
  <c r="F182" i="953"/>
  <c r="F176" i="953"/>
  <c r="F164" i="953"/>
  <c r="F252" i="953"/>
  <c r="F244" i="953"/>
  <c r="F232" i="953"/>
  <c r="F209" i="953"/>
  <c r="F201" i="953"/>
  <c r="F193" i="953"/>
  <c r="F181" i="953"/>
  <c r="F173" i="953"/>
  <c r="F170" i="953"/>
  <c r="F251" i="953"/>
  <c r="F243" i="953"/>
  <c r="F258" i="953"/>
  <c r="F268" i="953"/>
  <c r="U12" i="953"/>
  <c r="J137" i="953" s="1"/>
  <c r="L137" i="953" s="1"/>
  <c r="I1029" i="953"/>
  <c r="I1048" i="953"/>
  <c r="I909" i="953"/>
  <c r="N312" i="953"/>
  <c r="L312" i="953"/>
  <c r="AH81" i="953"/>
  <c r="N346" i="953"/>
  <c r="L346" i="953"/>
  <c r="N364" i="953"/>
  <c r="L364" i="953"/>
  <c r="N375" i="953"/>
  <c r="L375" i="953"/>
  <c r="AL85" i="953"/>
  <c r="I381" i="953" s="1"/>
  <c r="N390" i="953"/>
  <c r="L390" i="953"/>
  <c r="N406" i="953"/>
  <c r="L406" i="953"/>
  <c r="N417" i="953"/>
  <c r="L417" i="953"/>
  <c r="AH90" i="953"/>
  <c r="N450" i="953"/>
  <c r="L450" i="953"/>
  <c r="N480" i="953"/>
  <c r="L480" i="953"/>
  <c r="N496" i="953"/>
  <c r="L496" i="953"/>
  <c r="N507" i="953"/>
  <c r="L507" i="953"/>
  <c r="AH98" i="953"/>
  <c r="N123" i="953"/>
  <c r="N554" i="953"/>
  <c r="L554" i="953"/>
  <c r="N570" i="953"/>
  <c r="L570" i="953"/>
  <c r="B139" i="953"/>
  <c r="F143" i="953"/>
  <c r="N706" i="953"/>
  <c r="L706" i="953"/>
  <c r="B151" i="953"/>
  <c r="N738" i="953"/>
  <c r="L738" i="953"/>
  <c r="F152" i="953"/>
  <c r="F155" i="953"/>
  <c r="F208" i="953"/>
  <c r="F215" i="953"/>
  <c r="F235" i="953"/>
  <c r="B316" i="953"/>
  <c r="N310" i="953"/>
  <c r="L310" i="953"/>
  <c r="B310" i="953"/>
  <c r="B319" i="953"/>
  <c r="B314" i="953"/>
  <c r="B312" i="953"/>
  <c r="B315" i="953"/>
  <c r="B313" i="953"/>
  <c r="F322" i="953"/>
  <c r="N334" i="953"/>
  <c r="L334" i="953"/>
  <c r="L343" i="953"/>
  <c r="N343" i="953"/>
  <c r="L357" i="953"/>
  <c r="N357" i="953"/>
  <c r="L374" i="953"/>
  <c r="N374" i="953"/>
  <c r="N389" i="953"/>
  <c r="L389" i="953"/>
  <c r="N403" i="953"/>
  <c r="L403" i="953"/>
  <c r="N415" i="953"/>
  <c r="L415" i="953"/>
  <c r="L439" i="953"/>
  <c r="N439" i="953"/>
  <c r="N449" i="953"/>
  <c r="L449" i="953"/>
  <c r="N469" i="953"/>
  <c r="L469" i="953"/>
  <c r="L479" i="953"/>
  <c r="N479" i="953"/>
  <c r="N493" i="953"/>
  <c r="L493" i="953"/>
  <c r="I506" i="953"/>
  <c r="I512" i="953"/>
  <c r="AE133" i="953"/>
  <c r="I556" i="953" s="1"/>
  <c r="L569" i="953"/>
  <c r="N569" i="953"/>
  <c r="N585" i="953"/>
  <c r="L585" i="953"/>
  <c r="N598" i="953"/>
  <c r="L598" i="953"/>
  <c r="D137" i="953"/>
  <c r="N618" i="953"/>
  <c r="L618" i="953"/>
  <c r="F140" i="953"/>
  <c r="F141" i="953"/>
  <c r="N142" i="953"/>
  <c r="N661" i="953"/>
  <c r="F145" i="953"/>
  <c r="N723" i="953"/>
  <c r="L723" i="953"/>
  <c r="F151" i="953"/>
  <c r="I731" i="953"/>
  <c r="I737" i="953"/>
  <c r="N158" i="953"/>
  <c r="F161" i="953"/>
  <c r="F169" i="953"/>
  <c r="F180" i="953"/>
  <c r="F183" i="953"/>
  <c r="F200" i="953"/>
  <c r="F207" i="953"/>
  <c r="L664" i="953"/>
  <c r="N664" i="953"/>
  <c r="L719" i="953"/>
  <c r="N719" i="953"/>
  <c r="L733" i="953"/>
  <c r="N733" i="953"/>
  <c r="N753" i="953"/>
  <c r="L753" i="953"/>
  <c r="N768" i="953"/>
  <c r="N759" i="953"/>
  <c r="L768" i="953"/>
  <c r="L759" i="953" s="1"/>
  <c r="N176" i="953"/>
  <c r="N182" i="953"/>
  <c r="N184" i="953"/>
  <c r="N194" i="953"/>
  <c r="N202" i="953"/>
  <c r="N210" i="953"/>
  <c r="AH229" i="953"/>
  <c r="AG230" i="953"/>
  <c r="Z233" i="953"/>
  <c r="AD234" i="953"/>
  <c r="Z235" i="953"/>
  <c r="AD236" i="953"/>
  <c r="Z237" i="953"/>
  <c r="AI238" i="953"/>
  <c r="AH239" i="953"/>
  <c r="AG240" i="953"/>
  <c r="AD241" i="953"/>
  <c r="AB243" i="953"/>
  <c r="Z245" i="953"/>
  <c r="AI246" i="953"/>
  <c r="AG248" i="953"/>
  <c r="AD249" i="953"/>
  <c r="AB251" i="953"/>
  <c r="Z253" i="953"/>
  <c r="Z254" i="953"/>
  <c r="AI256" i="953"/>
  <c r="AI263" i="953"/>
  <c r="F265" i="953"/>
  <c r="AG265" i="953"/>
  <c r="N663" i="953"/>
  <c r="L663" i="953"/>
  <c r="L709" i="953"/>
  <c r="N709" i="953"/>
  <c r="N721" i="953"/>
  <c r="L735" i="953"/>
  <c r="N735" i="953"/>
  <c r="I752" i="953"/>
  <c r="I746" i="953"/>
  <c r="AB182" i="953"/>
  <c r="AI229" i="953"/>
  <c r="AH230" i="953"/>
  <c r="AH292" i="953"/>
  <c r="AH294" i="953"/>
  <c r="AH278" i="953"/>
  <c r="AH270" i="953"/>
  <c r="AH295" i="953"/>
  <c r="AH289" i="953"/>
  <c r="AH285" i="953"/>
  <c r="AH277" i="953"/>
  <c r="AH269" i="953"/>
  <c r="AH261" i="953"/>
  <c r="AH284" i="953"/>
  <c r="AH276" i="953"/>
  <c r="AH268" i="953"/>
  <c r="AH297" i="953"/>
  <c r="AH293" i="953"/>
  <c r="AH291" i="953"/>
  <c r="AH286" i="953"/>
  <c r="AH283" i="953"/>
  <c r="AH275" i="953"/>
  <c r="AH267" i="953"/>
  <c r="AH259" i="953"/>
  <c r="AH288" i="953"/>
  <c r="AH282" i="953"/>
  <c r="AH274" i="953"/>
  <c r="AH296" i="953"/>
  <c r="AH281" i="953"/>
  <c r="AH273" i="953"/>
  <c r="AH290" i="953"/>
  <c r="AH280" i="953"/>
  <c r="AH272" i="953"/>
  <c r="AH287" i="953"/>
  <c r="AH279" i="953"/>
  <c r="AH271" i="953"/>
  <c r="AH263" i="953"/>
  <c r="AG234" i="953"/>
  <c r="AG236" i="953"/>
  <c r="Z238" i="953"/>
  <c r="AI239" i="953"/>
  <c r="AH240" i="953"/>
  <c r="AG241" i="953"/>
  <c r="AD242" i="953"/>
  <c r="AB244" i="953"/>
  <c r="Z246" i="953"/>
  <c r="AI247" i="953"/>
  <c r="AH248" i="953"/>
  <c r="AG249" i="953"/>
  <c r="AD250" i="953"/>
  <c r="AB252" i="953"/>
  <c r="Z255" i="953"/>
  <c r="Z256" i="953"/>
  <c r="AD258" i="953"/>
  <c r="AB260" i="953"/>
  <c r="AB262" i="953"/>
  <c r="AH265" i="953"/>
  <c r="F271" i="953"/>
  <c r="F279" i="953"/>
  <c r="L708" i="953"/>
  <c r="N708" i="953"/>
  <c r="N734" i="953"/>
  <c r="L734" i="953"/>
  <c r="N748" i="953"/>
  <c r="L748" i="953"/>
  <c r="Z284" i="953"/>
  <c r="Z276" i="953"/>
  <c r="Z268" i="953"/>
  <c r="Z283" i="953"/>
  <c r="Z275" i="953"/>
  <c r="Z267" i="953"/>
  <c r="Z259" i="953"/>
  <c r="Z282" i="953"/>
  <c r="Z274" i="953"/>
  <c r="Z266" i="953"/>
  <c r="Z281" i="953"/>
  <c r="Z273" i="953"/>
  <c r="Z265" i="953"/>
  <c r="Z257" i="953"/>
  <c r="Z280" i="953"/>
  <c r="Z272" i="953"/>
  <c r="Z279" i="953"/>
  <c r="Z271" i="953"/>
  <c r="Z278" i="953"/>
  <c r="Z270" i="953"/>
  <c r="Z285" i="953"/>
  <c r="Z277" i="953"/>
  <c r="Z269" i="953"/>
  <c r="Z261" i="953"/>
  <c r="AB233" i="953"/>
  <c r="AH234" i="953"/>
  <c r="AB235" i="953"/>
  <c r="AH236" i="953"/>
  <c r="AB237" i="953"/>
  <c r="Z239" i="953"/>
  <c r="AI240" i="953"/>
  <c r="AH241" i="953"/>
  <c r="AG242" i="953"/>
  <c r="AD243" i="953"/>
  <c r="AB245" i="953"/>
  <c r="Z247" i="953"/>
  <c r="AI248" i="953"/>
  <c r="AH249" i="953"/>
  <c r="AG250" i="953"/>
  <c r="AD251" i="953"/>
  <c r="AB253" i="953"/>
  <c r="AB254" i="953"/>
  <c r="F257" i="953"/>
  <c r="AG257" i="953"/>
  <c r="AG258" i="953"/>
  <c r="F291" i="953"/>
  <c r="N583" i="953"/>
  <c r="L583" i="953"/>
  <c r="N603" i="953"/>
  <c r="L603" i="953"/>
  <c r="N619" i="953"/>
  <c r="L619" i="953"/>
  <c r="L648" i="953"/>
  <c r="N648" i="953"/>
  <c r="I701" i="953"/>
  <c r="I707" i="953"/>
  <c r="N724" i="953"/>
  <c r="L724" i="953"/>
  <c r="N750" i="953"/>
  <c r="L750" i="953"/>
  <c r="AG231" i="953"/>
  <c r="AI294" i="953"/>
  <c r="AI295" i="953"/>
  <c r="AI289" i="953"/>
  <c r="AI285" i="953"/>
  <c r="AI277" i="953"/>
  <c r="AI269" i="953"/>
  <c r="AI284" i="953"/>
  <c r="AI276" i="953"/>
  <c r="AI268" i="953"/>
  <c r="AI260" i="953"/>
  <c r="AI297" i="953"/>
  <c r="AI293" i="953"/>
  <c r="AI291" i="953"/>
  <c r="AI286" i="953"/>
  <c r="AI283" i="953"/>
  <c r="AI275" i="953"/>
  <c r="AI267" i="953"/>
  <c r="AI292" i="953"/>
  <c r="AI288" i="953"/>
  <c r="AI282" i="953"/>
  <c r="AI274" i="953"/>
  <c r="AI266" i="953"/>
  <c r="AI258" i="953"/>
  <c r="AI296" i="953"/>
  <c r="AI281" i="953"/>
  <c r="AI273" i="953"/>
  <c r="AI290" i="953"/>
  <c r="AI280" i="953"/>
  <c r="AI272" i="953"/>
  <c r="AI287" i="953"/>
  <c r="AI279" i="953"/>
  <c r="AI271" i="953"/>
  <c r="AI278" i="953"/>
  <c r="AI270" i="953"/>
  <c r="AI262" i="953"/>
  <c r="AI234" i="953"/>
  <c r="AI236" i="953"/>
  <c r="AB238" i="953"/>
  <c r="Z240" i="953"/>
  <c r="AI241" i="953"/>
  <c r="AH242" i="953"/>
  <c r="AG243" i="953"/>
  <c r="AD244" i="953"/>
  <c r="AB246" i="953"/>
  <c r="Z248" i="953"/>
  <c r="AI249" i="953"/>
  <c r="AH250" i="953"/>
  <c r="AG251" i="953"/>
  <c r="AD252" i="953"/>
  <c r="AH257" i="953"/>
  <c r="AH258" i="953"/>
  <c r="AD260" i="953"/>
  <c r="AD262" i="953"/>
  <c r="AD266" i="953"/>
  <c r="AB282" i="953"/>
  <c r="AB274" i="953"/>
  <c r="AB266" i="953"/>
  <c r="AB281" i="953"/>
  <c r="AB273" i="953"/>
  <c r="AB265" i="953"/>
  <c r="AB257" i="953"/>
  <c r="AB280" i="953"/>
  <c r="AB272" i="953"/>
  <c r="AB264" i="953"/>
  <c r="AB279" i="953"/>
  <c r="AB271" i="953"/>
  <c r="AB263" i="953"/>
  <c r="AB255" i="953"/>
  <c r="AB278" i="953"/>
  <c r="AB270" i="953"/>
  <c r="AB285" i="953"/>
  <c r="AB277" i="953"/>
  <c r="AB269" i="953"/>
  <c r="AB284" i="953"/>
  <c r="AB276" i="953"/>
  <c r="AB268" i="953"/>
  <c r="AB283" i="953"/>
  <c r="AB275" i="953"/>
  <c r="AB267" i="953"/>
  <c r="AB259" i="953"/>
  <c r="Z234" i="953"/>
  <c r="Z236" i="953"/>
  <c r="AD237" i="953"/>
  <c r="AB239" i="953"/>
  <c r="Z241" i="953"/>
  <c r="AI242" i="953"/>
  <c r="AH243" i="953"/>
  <c r="AG244" i="953"/>
  <c r="AD245" i="953"/>
  <c r="AB247" i="953"/>
  <c r="Z249" i="953"/>
  <c r="AI250" i="953"/>
  <c r="AH251" i="953"/>
  <c r="AG252" i="953"/>
  <c r="AG253" i="953"/>
  <c r="AD254" i="953"/>
  <c r="AD255" i="953"/>
  <c r="AI257" i="953"/>
  <c r="AH260" i="953"/>
  <c r="AB261" i="953"/>
  <c r="AH262" i="953"/>
  <c r="Z263" i="953"/>
  <c r="AD264" i="953"/>
  <c r="AH266" i="953"/>
  <c r="AG267" i="953"/>
  <c r="AD268" i="953"/>
  <c r="F289" i="953"/>
  <c r="AG237" i="953"/>
  <c r="AD238" i="953"/>
  <c r="AB240" i="953"/>
  <c r="Z242" i="953"/>
  <c r="AI243" i="953"/>
  <c r="AH244" i="953"/>
  <c r="AG245" i="953"/>
  <c r="AD246" i="953"/>
  <c r="AB248" i="953"/>
  <c r="Z250" i="953"/>
  <c r="AI251" i="953"/>
  <c r="AH252" i="953"/>
  <c r="AH253" i="953"/>
  <c r="AG254" i="953"/>
  <c r="AG255" i="953"/>
  <c r="AD256" i="953"/>
  <c r="Z258" i="953"/>
  <c r="AH264" i="953"/>
  <c r="F269" i="953"/>
  <c r="F273" i="953"/>
  <c r="F277" i="953"/>
  <c r="F281" i="953"/>
  <c r="F285" i="953"/>
  <c r="AD280" i="953"/>
  <c r="AD272" i="953"/>
  <c r="AD279" i="953"/>
  <c r="AD271" i="953"/>
  <c r="AD263" i="953"/>
  <c r="AD278" i="953"/>
  <c r="AD270" i="953"/>
  <c r="AD285" i="953"/>
  <c r="AD277" i="953"/>
  <c r="AD269" i="953"/>
  <c r="AD261" i="953"/>
  <c r="AD253" i="953"/>
  <c r="AD284" i="953"/>
  <c r="AD276" i="953"/>
  <c r="AD283" i="953"/>
  <c r="AD275" i="953"/>
  <c r="AD267" i="953"/>
  <c r="AD282" i="953"/>
  <c r="AD274" i="953"/>
  <c r="AD281" i="953"/>
  <c r="AD273" i="953"/>
  <c r="AD265" i="953"/>
  <c r="AD257" i="953"/>
  <c r="AI232" i="953"/>
  <c r="AH233" i="953"/>
  <c r="AB234" i="953"/>
  <c r="AH235" i="953"/>
  <c r="AB236" i="953"/>
  <c r="AH237" i="953"/>
  <c r="AG238" i="953"/>
  <c r="AD239" i="953"/>
  <c r="AB241" i="953"/>
  <c r="Z243" i="953"/>
  <c r="AI244" i="953"/>
  <c r="AH245" i="953"/>
  <c r="AG246" i="953"/>
  <c r="AD247" i="953"/>
  <c r="AB249" i="953"/>
  <c r="Z251" i="953"/>
  <c r="AI252" i="953"/>
  <c r="AI253" i="953"/>
  <c r="AH254" i="953"/>
  <c r="AH255" i="953"/>
  <c r="AG256" i="953"/>
  <c r="AG259" i="953"/>
  <c r="F261" i="953"/>
  <c r="AI264" i="953"/>
  <c r="F295" i="953"/>
  <c r="AG297" i="953"/>
  <c r="AG295" i="953"/>
  <c r="AG292" i="953"/>
  <c r="AG287" i="953"/>
  <c r="AG279" i="953"/>
  <c r="AG271" i="953"/>
  <c r="AG294" i="953"/>
  <c r="AG278" i="953"/>
  <c r="AG270" i="953"/>
  <c r="AG262" i="953"/>
  <c r="AG289" i="953"/>
  <c r="AG285" i="953"/>
  <c r="AG277" i="953"/>
  <c r="AG269" i="953"/>
  <c r="AG284" i="953"/>
  <c r="AG276" i="953"/>
  <c r="AG268" i="953"/>
  <c r="AG260" i="953"/>
  <c r="AG293" i="953"/>
  <c r="AG291" i="953"/>
  <c r="AG286" i="953"/>
  <c r="AG283" i="953"/>
  <c r="AG275" i="953"/>
  <c r="AG288" i="953"/>
  <c r="AG282" i="953"/>
  <c r="AG274" i="953"/>
  <c r="AG266" i="953"/>
  <c r="AG296" i="953"/>
  <c r="AG281" i="953"/>
  <c r="AG273" i="953"/>
  <c r="AG290" i="953"/>
  <c r="AG280" i="953"/>
  <c r="AG272" i="953"/>
  <c r="AG264" i="953"/>
  <c r="AI235" i="953"/>
  <c r="AJ235" i="953" s="1"/>
  <c r="I233" i="953" s="1"/>
  <c r="N233" i="953" s="1"/>
  <c r="AH238" i="953"/>
  <c r="AG239" i="953"/>
  <c r="AD240" i="953"/>
  <c r="AB242" i="953"/>
  <c r="Z244" i="953"/>
  <c r="AI245" i="953"/>
  <c r="AG247" i="953"/>
  <c r="AD248" i="953"/>
  <c r="AB250" i="953"/>
  <c r="Z252" i="953"/>
  <c r="AI254" i="953"/>
  <c r="AI255" i="953"/>
  <c r="AH256" i="953"/>
  <c r="AB258" i="953"/>
  <c r="AI259" i="953"/>
  <c r="Z260" i="953"/>
  <c r="AI261" i="953"/>
  <c r="Z262" i="953"/>
  <c r="F263" i="953"/>
  <c r="AG263" i="953"/>
  <c r="F293" i="953"/>
  <c r="L552" i="953"/>
  <c r="N636" i="953"/>
  <c r="N606" i="953"/>
  <c r="L582" i="953"/>
  <c r="L528" i="953"/>
  <c r="L538" i="953"/>
  <c r="L544" i="953"/>
  <c r="N560" i="953"/>
  <c r="N567" i="953"/>
  <c r="L567" i="953"/>
  <c r="N576" i="953"/>
  <c r="N582" i="953"/>
  <c r="N591" i="953"/>
  <c r="L591" i="953"/>
  <c r="N534" i="953"/>
  <c r="N535" i="953"/>
  <c r="N650" i="953"/>
  <c r="L650" i="953"/>
  <c r="L605" i="953"/>
  <c r="L612" i="953"/>
  <c r="N695" i="953"/>
  <c r="L695" i="953"/>
  <c r="L778" i="953"/>
  <c r="N778" i="953"/>
  <c r="L540" i="953"/>
  <c r="N612" i="953"/>
  <c r="L742" i="953"/>
  <c r="N742" i="953"/>
  <c r="L784" i="953"/>
  <c r="N784" i="953"/>
  <c r="N652" i="953"/>
  <c r="L652" i="953"/>
  <c r="L667" i="953"/>
  <c r="N740" i="953"/>
  <c r="L757" i="953"/>
  <c r="L777" i="953"/>
  <c r="N774" i="953"/>
  <c r="L776" i="953"/>
  <c r="B225" i="952"/>
  <c r="B137" i="952"/>
  <c r="B171" i="952"/>
  <c r="B142" i="952"/>
  <c r="L137" i="952"/>
  <c r="B138" i="952"/>
  <c r="B139" i="952"/>
  <c r="AF89" i="952"/>
  <c r="I413" i="952" s="1"/>
  <c r="AF92" i="952"/>
  <c r="I458" i="952" s="1"/>
  <c r="AF88" i="952"/>
  <c r="I398" i="952" s="1"/>
  <c r="AF91" i="952"/>
  <c r="I443" i="952" s="1"/>
  <c r="AF90" i="952"/>
  <c r="I428" i="952" s="1"/>
  <c r="AF137" i="952"/>
  <c r="I623" i="952" s="1"/>
  <c r="AF136" i="952"/>
  <c r="I608" i="952" s="1"/>
  <c r="AF135" i="952"/>
  <c r="I593" i="952" s="1"/>
  <c r="N579" i="952" s="1"/>
  <c r="AF134" i="952"/>
  <c r="I578" i="952" s="1"/>
  <c r="AF133" i="952"/>
  <c r="I563" i="952" s="1"/>
  <c r="L824" i="952"/>
  <c r="L1077" i="952"/>
  <c r="L912" i="952"/>
  <c r="L965" i="952"/>
  <c r="L1021" i="952"/>
  <c r="L856" i="952"/>
  <c r="L1145" i="952"/>
  <c r="L804" i="952"/>
  <c r="L1025" i="952"/>
  <c r="L908" i="952"/>
  <c r="V165" i="952"/>
  <c r="P170" i="952"/>
  <c r="W221" i="952"/>
  <c r="V108" i="952"/>
  <c r="J36" i="952"/>
  <c r="B22" i="952"/>
  <c r="U130" i="952"/>
  <c r="H62" i="952"/>
  <c r="H36" i="952"/>
  <c r="H15" i="952"/>
  <c r="W5" i="952"/>
  <c r="B36" i="952"/>
  <c r="H12" i="952"/>
  <c r="J22" i="952"/>
  <c r="A36" i="952"/>
  <c r="W2" i="952"/>
  <c r="U79" i="952"/>
  <c r="H22" i="952"/>
  <c r="K36" i="952"/>
  <c r="A22" i="952"/>
  <c r="AC5" i="952"/>
  <c r="L503" i="952"/>
  <c r="N503" i="952"/>
  <c r="N728" i="952"/>
  <c r="L728" i="952"/>
  <c r="N683" i="952"/>
  <c r="L683" i="952"/>
  <c r="I320" i="952"/>
  <c r="B320" i="952" s="1"/>
  <c r="AJ81" i="952"/>
  <c r="I322" i="952" s="1"/>
  <c r="N62" i="952"/>
  <c r="I914" i="952"/>
  <c r="I932" i="952"/>
  <c r="I939" i="952"/>
  <c r="I930" i="952"/>
  <c r="I933" i="952"/>
  <c r="AF81" i="952"/>
  <c r="I323" i="952" s="1"/>
  <c r="N330" i="952"/>
  <c r="L330" i="952"/>
  <c r="AL82" i="952"/>
  <c r="I336" i="952" s="1"/>
  <c r="N342" i="952"/>
  <c r="L342" i="952"/>
  <c r="AH83" i="952"/>
  <c r="N359" i="952"/>
  <c r="L359" i="952"/>
  <c r="L376" i="952"/>
  <c r="N376" i="952"/>
  <c r="N391" i="952"/>
  <c r="L391" i="952"/>
  <c r="L402" i="952"/>
  <c r="N402" i="952"/>
  <c r="AH89" i="952"/>
  <c r="N435" i="952"/>
  <c r="L435" i="952"/>
  <c r="L451" i="952"/>
  <c r="N451" i="952"/>
  <c r="N465" i="952"/>
  <c r="L465" i="952"/>
  <c r="N481" i="952"/>
  <c r="L481" i="952"/>
  <c r="L492" i="952"/>
  <c r="N492" i="952"/>
  <c r="AH97" i="952"/>
  <c r="AF98" i="952"/>
  <c r="I518" i="952" s="1"/>
  <c r="L524" i="952"/>
  <c r="N524" i="952"/>
  <c r="N122" i="952"/>
  <c r="N128" i="952"/>
  <c r="N553" i="952"/>
  <c r="L553" i="952"/>
  <c r="N573" i="952"/>
  <c r="L573" i="952"/>
  <c r="L589" i="952"/>
  <c r="N589" i="952"/>
  <c r="B140" i="952"/>
  <c r="N648" i="952"/>
  <c r="L648" i="952"/>
  <c r="F143" i="952"/>
  <c r="AF143" i="952"/>
  <c r="I668" i="952" s="1"/>
  <c r="N654" i="952" s="1"/>
  <c r="N694" i="952"/>
  <c r="L694" i="952"/>
  <c r="B148" i="952"/>
  <c r="L709" i="952"/>
  <c r="N709" i="952"/>
  <c r="B150" i="952"/>
  <c r="N736" i="952"/>
  <c r="L736" i="952"/>
  <c r="F154" i="952"/>
  <c r="F165" i="952"/>
  <c r="F171" i="952"/>
  <c r="F174" i="952"/>
  <c r="N181" i="952"/>
  <c r="F196" i="952"/>
  <c r="B205" i="952"/>
  <c r="B206" i="952"/>
  <c r="F207" i="952"/>
  <c r="F225" i="952"/>
  <c r="F227" i="952"/>
  <c r="AB278" i="952"/>
  <c r="AB270" i="952"/>
  <c r="AB262" i="952"/>
  <c r="AB254" i="952"/>
  <c r="AB246" i="952"/>
  <c r="AB285" i="952"/>
  <c r="AB277" i="952"/>
  <c r="AB269" i="952"/>
  <c r="AB284" i="952"/>
  <c r="AB276" i="952"/>
  <c r="AB268" i="952"/>
  <c r="AB260" i="952"/>
  <c r="AB252" i="952"/>
  <c r="AB244" i="952"/>
  <c r="AB283" i="952"/>
  <c r="AB275" i="952"/>
  <c r="AB267" i="952"/>
  <c r="AB259" i="952"/>
  <c r="AB251" i="952"/>
  <c r="AB243" i="952"/>
  <c r="AB282" i="952"/>
  <c r="AB274" i="952"/>
  <c r="AB266" i="952"/>
  <c r="AB258" i="952"/>
  <c r="AB250" i="952"/>
  <c r="AB242" i="952"/>
  <c r="AB281" i="952"/>
  <c r="AB273" i="952"/>
  <c r="AB265" i="952"/>
  <c r="AB257" i="952"/>
  <c r="AB280" i="952"/>
  <c r="AB272" i="952"/>
  <c r="AB264" i="952"/>
  <c r="AB256" i="952"/>
  <c r="AB248" i="952"/>
  <c r="AB240" i="952"/>
  <c r="AB271" i="952"/>
  <c r="AB233" i="952"/>
  <c r="AB263" i="952"/>
  <c r="AB261" i="952"/>
  <c r="AB235" i="952"/>
  <c r="AB253" i="952"/>
  <c r="AB245" i="952"/>
  <c r="AB249" i="952"/>
  <c r="AB241" i="952"/>
  <c r="AB237" i="952"/>
  <c r="AB234" i="952"/>
  <c r="AB279" i="952"/>
  <c r="AB255" i="952"/>
  <c r="AB247" i="952"/>
  <c r="AB239" i="952"/>
  <c r="F264" i="952"/>
  <c r="N340" i="952"/>
  <c r="L340" i="952"/>
  <c r="N388" i="952"/>
  <c r="L388" i="952"/>
  <c r="L464" i="952"/>
  <c r="N464" i="952"/>
  <c r="N514" i="952"/>
  <c r="L514" i="952"/>
  <c r="N568" i="952"/>
  <c r="L568" i="952"/>
  <c r="N618" i="952"/>
  <c r="L618" i="952"/>
  <c r="F292" i="952"/>
  <c r="F287" i="952"/>
  <c r="F284" i="952"/>
  <c r="F276" i="952"/>
  <c r="F268" i="952"/>
  <c r="F260" i="952"/>
  <c r="F252" i="952"/>
  <c r="F289" i="952"/>
  <c r="F283" i="952"/>
  <c r="F275" i="952"/>
  <c r="F267" i="952"/>
  <c r="F293" i="952"/>
  <c r="F265" i="952"/>
  <c r="F257" i="952"/>
  <c r="F249" i="952"/>
  <c r="F279" i="952"/>
  <c r="F271" i="952"/>
  <c r="F263" i="952"/>
  <c r="F255" i="952"/>
  <c r="F269" i="952"/>
  <c r="F216" i="952"/>
  <c r="F208" i="952"/>
  <c r="F200" i="952"/>
  <c r="F192" i="952"/>
  <c r="F186" i="952"/>
  <c r="F180" i="952"/>
  <c r="F169" i="952"/>
  <c r="F244" i="952"/>
  <c r="F241" i="952"/>
  <c r="F199" i="952"/>
  <c r="F191" i="952"/>
  <c r="F179" i="952"/>
  <c r="F175" i="952"/>
  <c r="F168" i="952"/>
  <c r="F163" i="952"/>
  <c r="F290" i="952"/>
  <c r="F285" i="952"/>
  <c r="F251" i="952"/>
  <c r="F247" i="952"/>
  <c r="F261" i="952"/>
  <c r="F277" i="952"/>
  <c r="F245" i="952"/>
  <c r="F243" i="952"/>
  <c r="F236" i="952"/>
  <c r="F232" i="952"/>
  <c r="U12" i="952"/>
  <c r="J152" i="952" s="1"/>
  <c r="L152" i="952" s="1"/>
  <c r="N312" i="952"/>
  <c r="L312" i="952"/>
  <c r="AF82" i="952"/>
  <c r="I338" i="952" s="1"/>
  <c r="N346" i="952"/>
  <c r="L346" i="952"/>
  <c r="N364" i="952"/>
  <c r="L364" i="952"/>
  <c r="N375" i="952"/>
  <c r="L375" i="952"/>
  <c r="AL85" i="952"/>
  <c r="I381" i="952" s="1"/>
  <c r="N390" i="952"/>
  <c r="L390" i="952"/>
  <c r="N406" i="952"/>
  <c r="L406" i="952"/>
  <c r="L417" i="952"/>
  <c r="N417" i="952"/>
  <c r="AH90" i="952"/>
  <c r="N450" i="952"/>
  <c r="L450" i="952"/>
  <c r="AF95" i="952"/>
  <c r="I473" i="952" s="1"/>
  <c r="L480" i="952"/>
  <c r="L496" i="952"/>
  <c r="N496" i="952"/>
  <c r="N507" i="952"/>
  <c r="L507" i="952"/>
  <c r="AH98" i="952"/>
  <c r="N123" i="952"/>
  <c r="N554" i="952"/>
  <c r="L554" i="952"/>
  <c r="L570" i="952"/>
  <c r="N570" i="952"/>
  <c r="N583" i="952"/>
  <c r="L583" i="952"/>
  <c r="L603" i="952"/>
  <c r="N603" i="952"/>
  <c r="I619" i="952"/>
  <c r="AE137" i="952"/>
  <c r="I616" i="952" s="1"/>
  <c r="N634" i="952"/>
  <c r="L634" i="952"/>
  <c r="AF142" i="952"/>
  <c r="I653" i="952" s="1"/>
  <c r="B144" i="952"/>
  <c r="AE145" i="952"/>
  <c r="I691" i="952" s="1"/>
  <c r="I701" i="952"/>
  <c r="I707" i="952"/>
  <c r="N723" i="952"/>
  <c r="L723" i="952"/>
  <c r="B151" i="952"/>
  <c r="N156" i="952"/>
  <c r="F160" i="952"/>
  <c r="F161" i="952"/>
  <c r="F162" i="952"/>
  <c r="B177" i="952"/>
  <c r="F178" i="952"/>
  <c r="N180" i="952"/>
  <c r="B183" i="952"/>
  <c r="F185" i="952"/>
  <c r="F193" i="952"/>
  <c r="F202" i="952"/>
  <c r="F204" i="952"/>
  <c r="F213" i="952"/>
  <c r="F214" i="952"/>
  <c r="F234" i="952"/>
  <c r="N368" i="952"/>
  <c r="L368" i="952"/>
  <c r="L434" i="952"/>
  <c r="N434" i="952"/>
  <c r="L588" i="952"/>
  <c r="N588" i="952"/>
  <c r="N693" i="952"/>
  <c r="L693" i="952"/>
  <c r="I754" i="952"/>
  <c r="AE152" i="952"/>
  <c r="I751" i="952" s="1"/>
  <c r="B160" i="952"/>
  <c r="L64" i="952"/>
  <c r="L68" i="952"/>
  <c r="B310" i="952"/>
  <c r="B319" i="952"/>
  <c r="B313" i="952"/>
  <c r="N310" i="952"/>
  <c r="B315" i="952"/>
  <c r="L310" i="952"/>
  <c r="B316" i="952"/>
  <c r="B314" i="952"/>
  <c r="B312" i="952"/>
  <c r="F322" i="952"/>
  <c r="N334" i="952"/>
  <c r="L334" i="952"/>
  <c r="L343" i="952"/>
  <c r="N343" i="952"/>
  <c r="L357" i="952"/>
  <c r="N357" i="952"/>
  <c r="N374" i="952"/>
  <c r="L374" i="952"/>
  <c r="L389" i="952"/>
  <c r="N389" i="952"/>
  <c r="N403" i="952"/>
  <c r="L403" i="952"/>
  <c r="L415" i="952"/>
  <c r="N415" i="952"/>
  <c r="L439" i="952"/>
  <c r="N439" i="952"/>
  <c r="N449" i="952"/>
  <c r="L449" i="952"/>
  <c r="N469" i="952"/>
  <c r="L469" i="952"/>
  <c r="N493" i="952"/>
  <c r="L493" i="952"/>
  <c r="I512" i="952"/>
  <c r="I506" i="952"/>
  <c r="N124" i="952"/>
  <c r="N556" i="952"/>
  <c r="L569" i="952"/>
  <c r="N569" i="952"/>
  <c r="N585" i="952"/>
  <c r="L585" i="952"/>
  <c r="N598" i="952"/>
  <c r="L598" i="952"/>
  <c r="D137" i="952"/>
  <c r="L633" i="952"/>
  <c r="N633" i="952"/>
  <c r="F142" i="952"/>
  <c r="I679" i="952"/>
  <c r="AE144" i="952"/>
  <c r="I676" i="952" s="1"/>
  <c r="F145" i="952"/>
  <c r="AF145" i="952"/>
  <c r="I698" i="952" s="1"/>
  <c r="N146" i="952"/>
  <c r="L703" i="952"/>
  <c r="N703" i="952"/>
  <c r="F151" i="952"/>
  <c r="I752" i="952"/>
  <c r="I746" i="952"/>
  <c r="F153" i="952"/>
  <c r="F155" i="952"/>
  <c r="F170" i="952"/>
  <c r="F173" i="952"/>
  <c r="F177" i="952"/>
  <c r="F183" i="952"/>
  <c r="N193" i="952"/>
  <c r="F195" i="952"/>
  <c r="F229" i="952"/>
  <c r="F231" i="952"/>
  <c r="AB238" i="952"/>
  <c r="F253" i="952"/>
  <c r="F259" i="952"/>
  <c r="F294" i="952"/>
  <c r="AF149" i="952"/>
  <c r="I713" i="952" s="1"/>
  <c r="AF152" i="952"/>
  <c r="I758" i="952" s="1"/>
  <c r="N448" i="952"/>
  <c r="L448" i="952"/>
  <c r="I497" i="952"/>
  <c r="I491" i="952"/>
  <c r="N555" i="952"/>
  <c r="L555" i="952"/>
  <c r="L604" i="952"/>
  <c r="N604" i="952"/>
  <c r="N708" i="952"/>
  <c r="L708" i="952"/>
  <c r="N724" i="952"/>
  <c r="L724" i="952"/>
  <c r="AF151" i="952"/>
  <c r="I743" i="952" s="1"/>
  <c r="N64" i="952"/>
  <c r="N316" i="952"/>
  <c r="L316" i="952"/>
  <c r="L327" i="952"/>
  <c r="N327" i="952"/>
  <c r="AH82" i="952"/>
  <c r="N345" i="952"/>
  <c r="L345" i="952"/>
  <c r="AL83" i="952"/>
  <c r="I351" i="952" s="1"/>
  <c r="L355" i="952"/>
  <c r="N355" i="952"/>
  <c r="AF85" i="952"/>
  <c r="I383" i="952" s="1"/>
  <c r="L405" i="952"/>
  <c r="N405" i="952"/>
  <c r="N421" i="952"/>
  <c r="L421" i="952"/>
  <c r="N432" i="952"/>
  <c r="L432" i="952"/>
  <c r="AH91" i="952"/>
  <c r="N462" i="952"/>
  <c r="L462" i="952"/>
  <c r="AH95" i="952"/>
  <c r="AF96" i="952"/>
  <c r="I488" i="952" s="1"/>
  <c r="N495" i="952"/>
  <c r="L495" i="952"/>
  <c r="N511" i="952"/>
  <c r="L511" i="952"/>
  <c r="L529" i="952"/>
  <c r="N529" i="952"/>
  <c r="C116" i="952"/>
  <c r="AE134" i="952"/>
  <c r="I571" i="952" s="1"/>
  <c r="N584" i="952"/>
  <c r="L584" i="952"/>
  <c r="N600" i="952"/>
  <c r="L600" i="952"/>
  <c r="E137" i="952"/>
  <c r="L613" i="952"/>
  <c r="N613" i="952"/>
  <c r="N631" i="952"/>
  <c r="L631" i="952"/>
  <c r="B143" i="952"/>
  <c r="N143" i="952"/>
  <c r="N678" i="952"/>
  <c r="L678" i="952"/>
  <c r="F148" i="952"/>
  <c r="L718" i="952"/>
  <c r="N718" i="952"/>
  <c r="I737" i="952"/>
  <c r="I731" i="952"/>
  <c r="N748" i="952"/>
  <c r="L748" i="952"/>
  <c r="F158" i="952"/>
  <c r="F164" i="952"/>
  <c r="N170" i="952"/>
  <c r="N173" i="952"/>
  <c r="F176" i="952"/>
  <c r="B189" i="952"/>
  <c r="B190" i="952"/>
  <c r="F201" i="952"/>
  <c r="F210" i="952"/>
  <c r="F212" i="952"/>
  <c r="F228" i="952"/>
  <c r="F230" i="952"/>
  <c r="F262" i="952"/>
  <c r="L319" i="952"/>
  <c r="N319" i="952"/>
  <c r="N424" i="952"/>
  <c r="L424" i="952"/>
  <c r="I918" i="952"/>
  <c r="I1038" i="952"/>
  <c r="I1041" i="952"/>
  <c r="I921" i="952"/>
  <c r="L63" i="952"/>
  <c r="L67" i="952"/>
  <c r="N313" i="952"/>
  <c r="L313" i="952"/>
  <c r="L325" i="952"/>
  <c r="N325" i="952"/>
  <c r="L344" i="952"/>
  <c r="N344" i="952"/>
  <c r="L361" i="952"/>
  <c r="N361" i="952"/>
  <c r="L379" i="952"/>
  <c r="N379" i="952"/>
  <c r="I1323" i="952"/>
  <c r="I1321" i="952"/>
  <c r="I1320" i="952"/>
  <c r="N394" i="952"/>
  <c r="L394" i="952"/>
  <c r="N404" i="952"/>
  <c r="L404" i="952"/>
  <c r="N418" i="952"/>
  <c r="L418" i="952"/>
  <c r="N430" i="952"/>
  <c r="L430" i="952"/>
  <c r="N454" i="952"/>
  <c r="L454" i="952"/>
  <c r="I461" i="952"/>
  <c r="I467" i="952"/>
  <c r="L484" i="952"/>
  <c r="N484" i="952"/>
  <c r="N494" i="952"/>
  <c r="L494" i="952"/>
  <c r="N508" i="952"/>
  <c r="L508" i="952"/>
  <c r="N520" i="952"/>
  <c r="L520" i="952"/>
  <c r="N519" i="952"/>
  <c r="L586" i="952"/>
  <c r="N586" i="952"/>
  <c r="L599" i="952"/>
  <c r="N599" i="952"/>
  <c r="F137" i="952"/>
  <c r="L615" i="952"/>
  <c r="N615" i="952"/>
  <c r="F138" i="952"/>
  <c r="F141" i="952"/>
  <c r="AF141" i="952"/>
  <c r="I638" i="952" s="1"/>
  <c r="N624" i="952" s="1"/>
  <c r="B146" i="952"/>
  <c r="B147" i="952"/>
  <c r="N704" i="952"/>
  <c r="L704" i="952"/>
  <c r="N720" i="952"/>
  <c r="L720" i="952"/>
  <c r="L750" i="952"/>
  <c r="N750" i="952"/>
  <c r="F159" i="952"/>
  <c r="N161" i="952"/>
  <c r="F182" i="952"/>
  <c r="F184" i="952"/>
  <c r="N186" i="952"/>
  <c r="F189" i="952"/>
  <c r="F190" i="952"/>
  <c r="N192" i="952"/>
  <c r="N201" i="952"/>
  <c r="F203" i="952"/>
  <c r="F226" i="952"/>
  <c r="F233" i="952"/>
  <c r="F239" i="952"/>
  <c r="N329" i="952"/>
  <c r="L329" i="952"/>
  <c r="N63" i="952"/>
  <c r="N315" i="952"/>
  <c r="L315" i="952"/>
  <c r="AL81" i="952"/>
  <c r="I321" i="952" s="1"/>
  <c r="L331" i="952"/>
  <c r="N331" i="952"/>
  <c r="N358" i="952"/>
  <c r="L358" i="952"/>
  <c r="L372" i="952"/>
  <c r="N372" i="952"/>
  <c r="AH85" i="952"/>
  <c r="N387" i="952"/>
  <c r="L387" i="952"/>
  <c r="AH88" i="952"/>
  <c r="N420" i="952"/>
  <c r="L420" i="952"/>
  <c r="N436" i="952"/>
  <c r="L436" i="952"/>
  <c r="L447" i="952"/>
  <c r="N447" i="952"/>
  <c r="AH92" i="952"/>
  <c r="N466" i="952"/>
  <c r="L466" i="952"/>
  <c r="N477" i="952"/>
  <c r="L477" i="952"/>
  <c r="AH96" i="952"/>
  <c r="AE96" i="952" s="1"/>
  <c r="I479" i="952" s="1"/>
  <c r="L479" i="952" s="1"/>
  <c r="N510" i="952"/>
  <c r="L510" i="952"/>
  <c r="N523" i="952"/>
  <c r="L523" i="952"/>
  <c r="N559" i="952"/>
  <c r="L559" i="952"/>
  <c r="AE136" i="952"/>
  <c r="I601" i="952" s="1"/>
  <c r="B212" i="952"/>
  <c r="B204" i="952"/>
  <c r="B196" i="952"/>
  <c r="B188" i="952"/>
  <c r="B174" i="952"/>
  <c r="B162" i="952"/>
  <c r="B158" i="952"/>
  <c r="B154" i="952"/>
  <c r="B211" i="952"/>
  <c r="B203" i="952"/>
  <c r="B195" i="952"/>
  <c r="B187" i="952"/>
  <c r="B165" i="952"/>
  <c r="B157" i="952"/>
  <c r="B210" i="952"/>
  <c r="B202" i="952"/>
  <c r="B194" i="952"/>
  <c r="B184" i="952"/>
  <c r="B182" i="952"/>
  <c r="B176" i="952"/>
  <c r="B164" i="952"/>
  <c r="B153" i="952"/>
  <c r="B149" i="952"/>
  <c r="B209" i="952"/>
  <c r="B201" i="952"/>
  <c r="B193" i="952"/>
  <c r="B181" i="952"/>
  <c r="B173" i="952"/>
  <c r="B170" i="952"/>
  <c r="B216" i="952"/>
  <c r="B208" i="952"/>
  <c r="B200" i="952"/>
  <c r="B192" i="952"/>
  <c r="B186" i="952"/>
  <c r="B180" i="952"/>
  <c r="B169" i="952"/>
  <c r="B161" i="952"/>
  <c r="B156" i="952"/>
  <c r="B152" i="952"/>
  <c r="B215" i="952"/>
  <c r="B207" i="952"/>
  <c r="B199" i="952"/>
  <c r="B191" i="952"/>
  <c r="B179" i="952"/>
  <c r="B175" i="952"/>
  <c r="B168" i="952"/>
  <c r="B163" i="952"/>
  <c r="B155" i="952"/>
  <c r="B213" i="952"/>
  <c r="N614" i="952"/>
  <c r="L614" i="952"/>
  <c r="N142" i="952"/>
  <c r="N663" i="952"/>
  <c r="L663" i="952"/>
  <c r="F146" i="952"/>
  <c r="AE149" i="952"/>
  <c r="I706" i="952" s="1"/>
  <c r="L735" i="952"/>
  <c r="N735" i="952"/>
  <c r="L749" i="952"/>
  <c r="N749" i="952"/>
  <c r="F157" i="952"/>
  <c r="B166" i="952"/>
  <c r="F167" i="952"/>
  <c r="N169" i="952"/>
  <c r="B172" i="952"/>
  <c r="AB184" i="952"/>
  <c r="AD184" i="952" s="1"/>
  <c r="F188" i="952"/>
  <c r="B197" i="952"/>
  <c r="B198" i="952"/>
  <c r="F209" i="952"/>
  <c r="AG268" i="952"/>
  <c r="F320" i="952"/>
  <c r="L373" i="952"/>
  <c r="N373" i="952"/>
  <c r="L400" i="952"/>
  <c r="N400" i="952"/>
  <c r="L478" i="952"/>
  <c r="N478" i="952"/>
  <c r="B159" i="952"/>
  <c r="B178" i="952"/>
  <c r="B185" i="952"/>
  <c r="N208" i="952"/>
  <c r="B214" i="952"/>
  <c r="I1060" i="952"/>
  <c r="I1036" i="952"/>
  <c r="I936" i="952"/>
  <c r="I1067" i="952"/>
  <c r="I915" i="952"/>
  <c r="I1065" i="952"/>
  <c r="I938" i="952"/>
  <c r="I1066" i="952"/>
  <c r="I1056" i="952"/>
  <c r="I1052" i="952"/>
  <c r="I928" i="952"/>
  <c r="I1064" i="952"/>
  <c r="I1059" i="952"/>
  <c r="I1055" i="952"/>
  <c r="I1051" i="952"/>
  <c r="I931" i="952"/>
  <c r="I937" i="952"/>
  <c r="I1058" i="952"/>
  <c r="I1054" i="952"/>
  <c r="I1050" i="952"/>
  <c r="I935" i="952"/>
  <c r="I1057" i="952"/>
  <c r="I1053" i="952"/>
  <c r="I1049" i="952"/>
  <c r="I929" i="952"/>
  <c r="I1068" i="952"/>
  <c r="L314" i="952"/>
  <c r="N314" i="952"/>
  <c r="N328" i="952"/>
  <c r="L328" i="952"/>
  <c r="L349" i="952"/>
  <c r="N349" i="952"/>
  <c r="L360" i="952"/>
  <c r="N360" i="952"/>
  <c r="N366" i="952"/>
  <c r="N370" i="952"/>
  <c r="L370" i="952"/>
  <c r="N385" i="952"/>
  <c r="L385" i="952"/>
  <c r="L409" i="952"/>
  <c r="N409" i="952"/>
  <c r="N419" i="952"/>
  <c r="L419" i="952"/>
  <c r="L433" i="952"/>
  <c r="N433" i="952"/>
  <c r="L445" i="952"/>
  <c r="N445" i="952"/>
  <c r="L463" i="952"/>
  <c r="I476" i="952"/>
  <c r="I482" i="952"/>
  <c r="L499" i="952"/>
  <c r="N499" i="952"/>
  <c r="N509" i="952"/>
  <c r="L509" i="952"/>
  <c r="L558" i="952"/>
  <c r="N558" i="952"/>
  <c r="L574" i="952"/>
  <c r="N574" i="952"/>
  <c r="F139" i="952"/>
  <c r="N649" i="952"/>
  <c r="L649" i="952"/>
  <c r="L661" i="952"/>
  <c r="N661" i="952"/>
  <c r="AE150" i="952"/>
  <c r="I721" i="952" s="1"/>
  <c r="N734" i="952"/>
  <c r="L734" i="952"/>
  <c r="N152" i="952"/>
  <c r="F156" i="952"/>
  <c r="N158" i="952"/>
  <c r="F166" i="952"/>
  <c r="F172" i="952"/>
  <c r="F181" i="952"/>
  <c r="F197" i="952"/>
  <c r="F198" i="952"/>
  <c r="N200" i="952"/>
  <c r="N209" i="952"/>
  <c r="F211" i="952"/>
  <c r="F254" i="952"/>
  <c r="AI293" i="952"/>
  <c r="AI292" i="952"/>
  <c r="AI295" i="952"/>
  <c r="AI294" i="952"/>
  <c r="AI281" i="952"/>
  <c r="AI273" i="952"/>
  <c r="AI265" i="952"/>
  <c r="AI257" i="952"/>
  <c r="AI249" i="952"/>
  <c r="AI280" i="952"/>
  <c r="AI272" i="952"/>
  <c r="AI291" i="952"/>
  <c r="AI287" i="952"/>
  <c r="AI279" i="952"/>
  <c r="AI271" i="952"/>
  <c r="AI263" i="952"/>
  <c r="AI255" i="952"/>
  <c r="AI247" i="952"/>
  <c r="AI239" i="952"/>
  <c r="AI297" i="952"/>
  <c r="AI290" i="952"/>
  <c r="AI278" i="952"/>
  <c r="AI270" i="952"/>
  <c r="AI262" i="952"/>
  <c r="AI254" i="952"/>
  <c r="AI246" i="952"/>
  <c r="AI289" i="952"/>
  <c r="AI285" i="952"/>
  <c r="AI277" i="952"/>
  <c r="AI269" i="952"/>
  <c r="AI261" i="952"/>
  <c r="AI253" i="952"/>
  <c r="AI245" i="952"/>
  <c r="AI284" i="952"/>
  <c r="AI276" i="952"/>
  <c r="AI268" i="952"/>
  <c r="AI260" i="952"/>
  <c r="AI296" i="952"/>
  <c r="AI286" i="952"/>
  <c r="AI283" i="952"/>
  <c r="AI275" i="952"/>
  <c r="AI267" i="952"/>
  <c r="AI259" i="952"/>
  <c r="AI251" i="952"/>
  <c r="AI243" i="952"/>
  <c r="AI234" i="952"/>
  <c r="F237" i="952"/>
  <c r="AI237" i="952"/>
  <c r="AI240" i="952"/>
  <c r="AG243" i="952"/>
  <c r="F246" i="952"/>
  <c r="AH253" i="952"/>
  <c r="AG254" i="952"/>
  <c r="F273" i="952"/>
  <c r="F274" i="952"/>
  <c r="N705" i="952"/>
  <c r="L705" i="952"/>
  <c r="I722" i="952"/>
  <c r="I716" i="952"/>
  <c r="N739" i="952"/>
  <c r="L739" i="952"/>
  <c r="AB183" i="952"/>
  <c r="AH228" i="952"/>
  <c r="AI231" i="952"/>
  <c r="AJ231" i="952" s="1"/>
  <c r="I229" i="952" s="1"/>
  <c r="N229" i="952" s="1"/>
  <c r="AH232" i="952"/>
  <c r="AG233" i="952"/>
  <c r="AH235" i="952"/>
  <c r="F238" i="952"/>
  <c r="AD239" i="952"/>
  <c r="AH242" i="952"/>
  <c r="AD247" i="952"/>
  <c r="AI248" i="952"/>
  <c r="AG266" i="952"/>
  <c r="F286" i="952"/>
  <c r="F288" i="952"/>
  <c r="L738" i="952"/>
  <c r="N738" i="952"/>
  <c r="AI228" i="952"/>
  <c r="AD284" i="952"/>
  <c r="AD276" i="952"/>
  <c r="AD268" i="952"/>
  <c r="AD260" i="952"/>
  <c r="AD252" i="952"/>
  <c r="AD244" i="952"/>
  <c r="AD283" i="952"/>
  <c r="AD275" i="952"/>
  <c r="AD267" i="952"/>
  <c r="AD282" i="952"/>
  <c r="AD274" i="952"/>
  <c r="AD266" i="952"/>
  <c r="AD258" i="952"/>
  <c r="AD250" i="952"/>
  <c r="AD242" i="952"/>
  <c r="AD281" i="952"/>
  <c r="AD273" i="952"/>
  <c r="AD265" i="952"/>
  <c r="AD257" i="952"/>
  <c r="AD249" i="952"/>
  <c r="AD280" i="952"/>
  <c r="AD272" i="952"/>
  <c r="AD264" i="952"/>
  <c r="AD256" i="952"/>
  <c r="AD248" i="952"/>
  <c r="AD240" i="952"/>
  <c r="AD279" i="952"/>
  <c r="AD271" i="952"/>
  <c r="AD263" i="952"/>
  <c r="AD255" i="952"/>
  <c r="AD278" i="952"/>
  <c r="AD270" i="952"/>
  <c r="AD262" i="952"/>
  <c r="AD254" i="952"/>
  <c r="AD246" i="952"/>
  <c r="AD238" i="952"/>
  <c r="AI232" i="952"/>
  <c r="AH233" i="952"/>
  <c r="F235" i="952"/>
  <c r="AI235" i="952"/>
  <c r="AD236" i="952"/>
  <c r="AG238" i="952"/>
  <c r="AG239" i="952"/>
  <c r="AI242" i="952"/>
  <c r="AG244" i="952"/>
  <c r="AH251" i="952"/>
  <c r="F256" i="952"/>
  <c r="AH257" i="952"/>
  <c r="F266" i="952"/>
  <c r="AI266" i="952"/>
  <c r="AH267" i="952"/>
  <c r="AD269" i="952"/>
  <c r="F281" i="952"/>
  <c r="F282" i="952"/>
  <c r="AG229" i="952"/>
  <c r="AG294" i="952"/>
  <c r="AG296" i="952"/>
  <c r="AG291" i="952"/>
  <c r="AG290" i="952"/>
  <c r="AG286" i="952"/>
  <c r="AG283" i="952"/>
  <c r="AG275" i="952"/>
  <c r="AG267" i="952"/>
  <c r="AG259" i="952"/>
  <c r="AG251" i="952"/>
  <c r="AG295" i="952"/>
  <c r="AG293" i="952"/>
  <c r="AG288" i="952"/>
  <c r="AG282" i="952"/>
  <c r="AG274" i="952"/>
  <c r="AG292" i="952"/>
  <c r="AG281" i="952"/>
  <c r="AG273" i="952"/>
  <c r="AG265" i="952"/>
  <c r="AG257" i="952"/>
  <c r="AG249" i="952"/>
  <c r="AG241" i="952"/>
  <c r="AG236" i="952"/>
  <c r="AG280" i="952"/>
  <c r="AG272" i="952"/>
  <c r="AG264" i="952"/>
  <c r="AG256" i="952"/>
  <c r="AG248" i="952"/>
  <c r="AG297" i="952"/>
  <c r="AG287" i="952"/>
  <c r="AG279" i="952"/>
  <c r="AG271" i="952"/>
  <c r="AG263" i="952"/>
  <c r="AG255" i="952"/>
  <c r="AG247" i="952"/>
  <c r="AG278" i="952"/>
  <c r="AG270" i="952"/>
  <c r="AG262" i="952"/>
  <c r="AG289" i="952"/>
  <c r="AG285" i="952"/>
  <c r="AG277" i="952"/>
  <c r="AG269" i="952"/>
  <c r="AG261" i="952"/>
  <c r="AG253" i="952"/>
  <c r="AG245" i="952"/>
  <c r="AI233" i="952"/>
  <c r="Z235" i="952"/>
  <c r="AH236" i="952"/>
  <c r="AH238" i="952"/>
  <c r="AH239" i="952"/>
  <c r="Z240" i="952"/>
  <c r="Z243" i="952"/>
  <c r="AI244" i="952"/>
  <c r="F248" i="952"/>
  <c r="AG252" i="952"/>
  <c r="AG258" i="952"/>
  <c r="Z263" i="952"/>
  <c r="F270" i="952"/>
  <c r="Z273" i="952"/>
  <c r="F280" i="952"/>
  <c r="N664" i="952"/>
  <c r="L664" i="952"/>
  <c r="N719" i="952"/>
  <c r="L719" i="952"/>
  <c r="L733" i="952"/>
  <c r="N733" i="952"/>
  <c r="N753" i="952"/>
  <c r="L753" i="952"/>
  <c r="L768" i="952"/>
  <c r="L759" i="952" s="1"/>
  <c r="N759" i="952"/>
  <c r="N768" i="952"/>
  <c r="AH229" i="952"/>
  <c r="AG230" i="952"/>
  <c r="Z233" i="952"/>
  <c r="AD234" i="952"/>
  <c r="AI236" i="952"/>
  <c r="AD237" i="952"/>
  <c r="AI238" i="952"/>
  <c r="AD241" i="952"/>
  <c r="AH249" i="952"/>
  <c r="AI252" i="952"/>
  <c r="F258" i="952"/>
  <c r="AI258" i="952"/>
  <c r="AI288" i="952"/>
  <c r="AI229" i="952"/>
  <c r="AH230" i="952"/>
  <c r="AH296" i="952"/>
  <c r="AH297" i="952"/>
  <c r="AH295" i="952"/>
  <c r="AH293" i="952"/>
  <c r="AH288" i="952"/>
  <c r="AH282" i="952"/>
  <c r="AH274" i="952"/>
  <c r="AH266" i="952"/>
  <c r="AH258" i="952"/>
  <c r="AH250" i="952"/>
  <c r="AH294" i="952"/>
  <c r="AH292" i="952"/>
  <c r="AH281" i="952"/>
  <c r="AH273" i="952"/>
  <c r="AH280" i="952"/>
  <c r="AH272" i="952"/>
  <c r="AH264" i="952"/>
  <c r="AH256" i="952"/>
  <c r="AH248" i="952"/>
  <c r="AH240" i="952"/>
  <c r="AH291" i="952"/>
  <c r="AH287" i="952"/>
  <c r="AH279" i="952"/>
  <c r="AH271" i="952"/>
  <c r="AH263" i="952"/>
  <c r="AH255" i="952"/>
  <c r="AH247" i="952"/>
  <c r="AH290" i="952"/>
  <c r="AH278" i="952"/>
  <c r="AH270" i="952"/>
  <c r="AH262" i="952"/>
  <c r="AH254" i="952"/>
  <c r="AH246" i="952"/>
  <c r="AH289" i="952"/>
  <c r="AH285" i="952"/>
  <c r="AH277" i="952"/>
  <c r="AH269" i="952"/>
  <c r="AH261" i="952"/>
  <c r="AH284" i="952"/>
  <c r="AH276" i="952"/>
  <c r="AH268" i="952"/>
  <c r="AH260" i="952"/>
  <c r="AH252" i="952"/>
  <c r="AH244" i="952"/>
  <c r="AG234" i="952"/>
  <c r="AG237" i="952"/>
  <c r="Z239" i="952"/>
  <c r="AH241" i="952"/>
  <c r="AD245" i="952"/>
  <c r="Z247" i="952"/>
  <c r="AG250" i="952"/>
  <c r="Z255" i="952"/>
  <c r="AD259" i="952"/>
  <c r="AI274" i="952"/>
  <c r="AH275" i="952"/>
  <c r="AG276" i="952"/>
  <c r="AD277" i="952"/>
  <c r="Z280" i="952"/>
  <c r="Z272" i="952"/>
  <c r="Z264" i="952"/>
  <c r="Z256" i="952"/>
  <c r="Z248" i="952"/>
  <c r="Z279" i="952"/>
  <c r="Z271" i="952"/>
  <c r="Z278" i="952"/>
  <c r="Z270" i="952"/>
  <c r="Z262" i="952"/>
  <c r="Z254" i="952"/>
  <c r="Z246" i="952"/>
  <c r="Z238" i="952"/>
  <c r="Z285" i="952"/>
  <c r="Z277" i="952"/>
  <c r="Z269" i="952"/>
  <c r="Z261" i="952"/>
  <c r="Z253" i="952"/>
  <c r="Z245" i="952"/>
  <c r="Z284" i="952"/>
  <c r="Z276" i="952"/>
  <c r="Z268" i="952"/>
  <c r="Z260" i="952"/>
  <c r="Z252" i="952"/>
  <c r="Z244" i="952"/>
  <c r="Z283" i="952"/>
  <c r="Z275" i="952"/>
  <c r="Z267" i="952"/>
  <c r="Z259" i="952"/>
  <c r="Z282" i="952"/>
  <c r="Z274" i="952"/>
  <c r="Z266" i="952"/>
  <c r="Z258" i="952"/>
  <c r="Z250" i="952"/>
  <c r="Z242" i="952"/>
  <c r="AI230" i="952"/>
  <c r="Z236" i="952"/>
  <c r="AH237" i="952"/>
  <c r="F240" i="952"/>
  <c r="AG240" i="952"/>
  <c r="AI241" i="952"/>
  <c r="AD243" i="952"/>
  <c r="AH245" i="952"/>
  <c r="F250" i="952"/>
  <c r="AI250" i="952"/>
  <c r="Z251" i="952"/>
  <c r="AD253" i="952"/>
  <c r="AH259" i="952"/>
  <c r="AG260" i="952"/>
  <c r="AI264" i="952"/>
  <c r="F278" i="952"/>
  <c r="Z281" i="952"/>
  <c r="F295" i="952"/>
  <c r="N652" i="952"/>
  <c r="L652" i="952"/>
  <c r="F291" i="952"/>
  <c r="L560" i="952"/>
  <c r="N560" i="952"/>
  <c r="N543" i="952"/>
  <c r="N539" i="952"/>
  <c r="L539" i="952"/>
  <c r="N607" i="952"/>
  <c r="L607" i="952"/>
  <c r="L552" i="952"/>
  <c r="N552" i="952"/>
  <c r="N577" i="952"/>
  <c r="L577" i="952"/>
  <c r="N612" i="952"/>
  <c r="L612" i="952"/>
  <c r="N534" i="952"/>
  <c r="N636" i="952"/>
  <c r="L636" i="952"/>
  <c r="L575" i="952"/>
  <c r="N592" i="952"/>
  <c r="L597" i="952"/>
  <c r="N620" i="952"/>
  <c r="L620" i="952"/>
  <c r="N784" i="952"/>
  <c r="L784" i="952"/>
  <c r="N680" i="952"/>
  <c r="L680" i="952"/>
  <c r="L696" i="952"/>
  <c r="L622" i="952"/>
  <c r="L710" i="952"/>
  <c r="L712" i="952"/>
  <c r="N742" i="952"/>
  <c r="N783" i="952"/>
  <c r="N774" i="952"/>
  <c r="B315" i="959" l="1"/>
  <c r="L586" i="961"/>
  <c r="N609" i="957"/>
  <c r="AJ228" i="958"/>
  <c r="I226" i="958" s="1"/>
  <c r="B313" i="959"/>
  <c r="L601" i="955"/>
  <c r="N609" i="955"/>
  <c r="AJ283" i="956"/>
  <c r="I281" i="956" s="1"/>
  <c r="N281" i="956" s="1"/>
  <c r="AJ96" i="958"/>
  <c r="I487" i="958" s="1"/>
  <c r="B320" i="959"/>
  <c r="L774" i="958"/>
  <c r="B319" i="959"/>
  <c r="N571" i="961"/>
  <c r="L616" i="957"/>
  <c r="L691" i="957"/>
  <c r="L313" i="959"/>
  <c r="AJ230" i="958"/>
  <c r="I228" i="958" s="1"/>
  <c r="N313" i="959"/>
  <c r="B314" i="959"/>
  <c r="AJ280" i="956"/>
  <c r="I278" i="956" s="1"/>
  <c r="N278" i="956" s="1"/>
  <c r="L619" i="960"/>
  <c r="AF75" i="952"/>
  <c r="AB185" i="953"/>
  <c r="AD185" i="953" s="1"/>
  <c r="L365" i="953"/>
  <c r="N616" i="953"/>
  <c r="N646" i="956"/>
  <c r="N336" i="956"/>
  <c r="N556" i="958"/>
  <c r="I1044" i="953"/>
  <c r="N525" i="952"/>
  <c r="I910" i="952"/>
  <c r="L353" i="952"/>
  <c r="AJ233" i="953"/>
  <c r="I231" i="953" s="1"/>
  <c r="N231" i="953" s="1"/>
  <c r="L774" i="954"/>
  <c r="N649" i="956"/>
  <c r="N639" i="958"/>
  <c r="N601" i="960"/>
  <c r="I102" i="961"/>
  <c r="N440" i="954"/>
  <c r="N564" i="959"/>
  <c r="AB184" i="953"/>
  <c r="AD184" i="953" s="1"/>
  <c r="AF75" i="953"/>
  <c r="L395" i="956"/>
  <c r="L706" i="955"/>
  <c r="N594" i="960"/>
  <c r="AJ91" i="957"/>
  <c r="I442" i="957" s="1"/>
  <c r="N442" i="957" s="1"/>
  <c r="N639" i="956"/>
  <c r="AJ95" i="956"/>
  <c r="I472" i="956" s="1"/>
  <c r="L335" i="959"/>
  <c r="L721" i="960"/>
  <c r="I1046" i="953"/>
  <c r="L774" i="952"/>
  <c r="N609" i="953"/>
  <c r="N594" i="954"/>
  <c r="L721" i="956"/>
  <c r="AJ92" i="956"/>
  <c r="I457" i="956" s="1"/>
  <c r="AB183" i="953"/>
  <c r="AD183" i="953" s="1"/>
  <c r="I1045" i="953"/>
  <c r="L534" i="952"/>
  <c r="N549" i="952"/>
  <c r="Z75" i="952"/>
  <c r="I1028" i="953"/>
  <c r="I908" i="953"/>
  <c r="I913" i="953"/>
  <c r="L321" i="953"/>
  <c r="AJ237" i="953"/>
  <c r="I235" i="953" s="1"/>
  <c r="N235" i="953" s="1"/>
  <c r="N40" i="953"/>
  <c r="L40" i="953"/>
  <c r="I1033" i="953"/>
  <c r="I45" i="953"/>
  <c r="L54" i="953"/>
  <c r="N54" i="953"/>
  <c r="I1027" i="952"/>
  <c r="I38" i="952"/>
  <c r="L41" i="953"/>
  <c r="N41" i="953"/>
  <c r="Y75" i="953"/>
  <c r="L47" i="952"/>
  <c r="N47" i="952"/>
  <c r="N549" i="953"/>
  <c r="I1033" i="952"/>
  <c r="I44" i="952"/>
  <c r="AD75" i="952"/>
  <c r="I41" i="952"/>
  <c r="I913" i="952"/>
  <c r="I39" i="952"/>
  <c r="I1027" i="953"/>
  <c r="I39" i="953"/>
  <c r="I909" i="952"/>
  <c r="I40" i="952"/>
  <c r="N48" i="953"/>
  <c r="L48" i="953"/>
  <c r="Z75" i="953"/>
  <c r="N464" i="953"/>
  <c r="AA75" i="953"/>
  <c r="I43" i="953" s="1"/>
  <c r="J213" i="953"/>
  <c r="L213" i="953" s="1"/>
  <c r="J205" i="953"/>
  <c r="L205" i="953" s="1"/>
  <c r="J197" i="953"/>
  <c r="L197" i="953" s="1"/>
  <c r="J189" i="953"/>
  <c r="L189" i="953" s="1"/>
  <c r="J181" i="953"/>
  <c r="L181" i="953" s="1"/>
  <c r="J173" i="953"/>
  <c r="L173" i="953" s="1"/>
  <c r="J164" i="953"/>
  <c r="L164" i="953" s="1"/>
  <c r="J152" i="953"/>
  <c r="L152" i="953" s="1"/>
  <c r="J150" i="953"/>
  <c r="L150" i="953" s="1"/>
  <c r="J147" i="953"/>
  <c r="L147" i="953" s="1"/>
  <c r="J187" i="953"/>
  <c r="L187" i="953" s="1"/>
  <c r="J179" i="953"/>
  <c r="L179" i="953" s="1"/>
  <c r="J216" i="953"/>
  <c r="L216" i="953" s="1"/>
  <c r="J208" i="953"/>
  <c r="L208" i="953" s="1"/>
  <c r="J200" i="953"/>
  <c r="L200" i="953" s="1"/>
  <c r="J192" i="953"/>
  <c r="L192" i="953" s="1"/>
  <c r="J184" i="953"/>
  <c r="L184" i="953" s="1"/>
  <c r="J174" i="953"/>
  <c r="L174" i="953" s="1"/>
  <c r="J167" i="953"/>
  <c r="L167" i="953" s="1"/>
  <c r="J159" i="953"/>
  <c r="L159" i="953" s="1"/>
  <c r="J148" i="953"/>
  <c r="L148" i="953" s="1"/>
  <c r="J214" i="953"/>
  <c r="L214" i="953" s="1"/>
  <c r="J206" i="953"/>
  <c r="L206" i="953" s="1"/>
  <c r="J198" i="953"/>
  <c r="L198" i="953" s="1"/>
  <c r="J190" i="953"/>
  <c r="L190" i="953" s="1"/>
  <c r="J182" i="953"/>
  <c r="L182" i="953" s="1"/>
  <c r="J176" i="953"/>
  <c r="L176" i="953" s="1"/>
  <c r="J165" i="953"/>
  <c r="L165" i="953" s="1"/>
  <c r="J157" i="953"/>
  <c r="L157" i="953" s="1"/>
  <c r="J140" i="953"/>
  <c r="L140" i="953" s="1"/>
  <c r="J195" i="953"/>
  <c r="L195" i="953" s="1"/>
  <c r="J170" i="953"/>
  <c r="L170" i="953" s="1"/>
  <c r="J209" i="953"/>
  <c r="L209" i="953" s="1"/>
  <c r="J201" i="953"/>
  <c r="L201" i="953" s="1"/>
  <c r="J193" i="953"/>
  <c r="L193" i="953" s="1"/>
  <c r="J185" i="953"/>
  <c r="L185" i="953" s="1"/>
  <c r="J177" i="953"/>
  <c r="L177" i="953" s="1"/>
  <c r="J171" i="953"/>
  <c r="L171" i="953" s="1"/>
  <c r="J168" i="953"/>
  <c r="L168" i="953" s="1"/>
  <c r="J160" i="953"/>
  <c r="L160" i="953" s="1"/>
  <c r="J153" i="953"/>
  <c r="L153" i="953" s="1"/>
  <c r="J151" i="953"/>
  <c r="L151" i="953" s="1"/>
  <c r="J149" i="953"/>
  <c r="L149" i="953" s="1"/>
  <c r="J139" i="953"/>
  <c r="L139" i="953" s="1"/>
  <c r="J212" i="953"/>
  <c r="L212" i="953" s="1"/>
  <c r="J204" i="953"/>
  <c r="L204" i="953" s="1"/>
  <c r="J196" i="953"/>
  <c r="L196" i="953" s="1"/>
  <c r="J188" i="953"/>
  <c r="L188" i="953" s="1"/>
  <c r="J180" i="953"/>
  <c r="L180" i="953" s="1"/>
  <c r="J146" i="953"/>
  <c r="L146" i="953" s="1"/>
  <c r="J211" i="953"/>
  <c r="L211" i="953" s="1"/>
  <c r="J203" i="953"/>
  <c r="L203" i="953" s="1"/>
  <c r="J156" i="953"/>
  <c r="L156" i="953" s="1"/>
  <c r="J138" i="953"/>
  <c r="J215" i="953"/>
  <c r="L215" i="953" s="1"/>
  <c r="J207" i="953"/>
  <c r="L207" i="953" s="1"/>
  <c r="J199" i="953"/>
  <c r="L199" i="953" s="1"/>
  <c r="J191" i="953"/>
  <c r="L191" i="953" s="1"/>
  <c r="J183" i="953"/>
  <c r="L183" i="953" s="1"/>
  <c r="J166" i="953"/>
  <c r="L166" i="953" s="1"/>
  <c r="J162" i="953"/>
  <c r="L162" i="953" s="1"/>
  <c r="J161" i="953"/>
  <c r="L161" i="953" s="1"/>
  <c r="J158" i="953"/>
  <c r="L158" i="953" s="1"/>
  <c r="J154" i="953"/>
  <c r="L154" i="953" s="1"/>
  <c r="J145" i="953"/>
  <c r="L145" i="953" s="1"/>
  <c r="J144" i="953"/>
  <c r="L144" i="953" s="1"/>
  <c r="J143" i="953"/>
  <c r="L143" i="953" s="1"/>
  <c r="J142" i="953"/>
  <c r="L142" i="953" s="1"/>
  <c r="J141" i="953"/>
  <c r="L141" i="953" s="1"/>
  <c r="J210" i="953"/>
  <c r="L210" i="953" s="1"/>
  <c r="J202" i="953"/>
  <c r="L202" i="953" s="1"/>
  <c r="J194" i="953"/>
  <c r="L194" i="953" s="1"/>
  <c r="J186" i="953"/>
  <c r="L186" i="953" s="1"/>
  <c r="J178" i="953"/>
  <c r="L178" i="953" s="1"/>
  <c r="J172" i="953"/>
  <c r="L172" i="953" s="1"/>
  <c r="J169" i="953"/>
  <c r="L169" i="953" s="1"/>
  <c r="J163" i="953"/>
  <c r="L163" i="953" s="1"/>
  <c r="J155" i="953"/>
  <c r="L155" i="953" s="1"/>
  <c r="J175" i="953"/>
  <c r="L175" i="953" s="1"/>
  <c r="N114" i="953"/>
  <c r="I106" i="953"/>
  <c r="I107" i="953"/>
  <c r="L115" i="953"/>
  <c r="L114" i="953" s="1"/>
  <c r="I1029" i="952"/>
  <c r="I1048" i="952"/>
  <c r="N479" i="952"/>
  <c r="AA75" i="952"/>
  <c r="I42" i="952" s="1"/>
  <c r="I1028" i="952"/>
  <c r="I908" i="952"/>
  <c r="J179" i="952"/>
  <c r="L179" i="952" s="1"/>
  <c r="J214" i="952"/>
  <c r="L214" i="952" s="1"/>
  <c r="J168" i="952"/>
  <c r="L168" i="952" s="1"/>
  <c r="J196" i="952"/>
  <c r="L196" i="952" s="1"/>
  <c r="J183" i="952"/>
  <c r="L183" i="952" s="1"/>
  <c r="J144" i="952"/>
  <c r="L144" i="952" s="1"/>
  <c r="J178" i="952"/>
  <c r="L178" i="952" s="1"/>
  <c r="J189" i="952"/>
  <c r="L189" i="952" s="1"/>
  <c r="J175" i="952"/>
  <c r="L175" i="952" s="1"/>
  <c r="J190" i="952"/>
  <c r="L190" i="952" s="1"/>
  <c r="J160" i="952"/>
  <c r="L160" i="952" s="1"/>
  <c r="J188" i="952"/>
  <c r="L188" i="952" s="1"/>
  <c r="J166" i="952"/>
  <c r="L166" i="952" s="1"/>
  <c r="J143" i="952"/>
  <c r="L143" i="952" s="1"/>
  <c r="J172" i="952"/>
  <c r="L172" i="952" s="1"/>
  <c r="J181" i="952"/>
  <c r="L181" i="952" s="1"/>
  <c r="J170" i="952"/>
  <c r="L170" i="952" s="1"/>
  <c r="J209" i="952"/>
  <c r="L209" i="952" s="1"/>
  <c r="J153" i="952"/>
  <c r="L153" i="952" s="1"/>
  <c r="J180" i="952"/>
  <c r="L180" i="952" s="1"/>
  <c r="J162" i="952"/>
  <c r="L162" i="952" s="1"/>
  <c r="J142" i="952"/>
  <c r="L142" i="952" s="1"/>
  <c r="J169" i="952"/>
  <c r="L169" i="952" s="1"/>
  <c r="J173" i="952"/>
  <c r="L173" i="952" s="1"/>
  <c r="J156" i="952"/>
  <c r="L156" i="952" s="1"/>
  <c r="J201" i="952"/>
  <c r="L201" i="952" s="1"/>
  <c r="J151" i="952"/>
  <c r="L151" i="952" s="1"/>
  <c r="U16" i="952"/>
  <c r="J161" i="952"/>
  <c r="L161" i="952" s="1"/>
  <c r="J141" i="952"/>
  <c r="L141" i="952" s="1"/>
  <c r="J163" i="952"/>
  <c r="L163" i="952" s="1"/>
  <c r="J164" i="952"/>
  <c r="L164" i="952" s="1"/>
  <c r="J138" i="952"/>
  <c r="J193" i="952"/>
  <c r="L193" i="952" s="1"/>
  <c r="J149" i="952"/>
  <c r="L149" i="952" s="1"/>
  <c r="J215" i="952"/>
  <c r="L215" i="952" s="1"/>
  <c r="J158" i="952"/>
  <c r="L158" i="952" s="1"/>
  <c r="J210" i="952"/>
  <c r="L210" i="952" s="1"/>
  <c r="J155" i="952"/>
  <c r="L155" i="952" s="1"/>
  <c r="J176" i="952"/>
  <c r="L176" i="952" s="1"/>
  <c r="J165" i="952"/>
  <c r="L165" i="952" s="1"/>
  <c r="J157" i="952"/>
  <c r="L157" i="952" s="1"/>
  <c r="J140" i="952"/>
  <c r="L140" i="952" s="1"/>
  <c r="I96" i="952" s="1"/>
  <c r="J167" i="952"/>
  <c r="L167" i="952" s="1"/>
  <c r="J148" i="952"/>
  <c r="L148" i="952" s="1"/>
  <c r="J200" i="952"/>
  <c r="L200" i="952" s="1"/>
  <c r="J192" i="952"/>
  <c r="L192" i="952" s="1"/>
  <c r="J159" i="952"/>
  <c r="L159" i="952" s="1"/>
  <c r="J208" i="952"/>
  <c r="L208" i="952" s="1"/>
  <c r="J184" i="952"/>
  <c r="L184" i="952" s="1"/>
  <c r="J216" i="952"/>
  <c r="L216" i="952" s="1"/>
  <c r="J174" i="952"/>
  <c r="L174" i="952" s="1"/>
  <c r="J203" i="952"/>
  <c r="L203" i="952" s="1"/>
  <c r="J206" i="952"/>
  <c r="L206" i="952" s="1"/>
  <c r="J185" i="952"/>
  <c r="L185" i="952" s="1"/>
  <c r="J139" i="952"/>
  <c r="L139" i="952" s="1"/>
  <c r="J207" i="952"/>
  <c r="L207" i="952" s="1"/>
  <c r="J154" i="952"/>
  <c r="L154" i="952" s="1"/>
  <c r="J202" i="952"/>
  <c r="L202" i="952" s="1"/>
  <c r="J213" i="952"/>
  <c r="L213" i="952" s="1"/>
  <c r="J150" i="952"/>
  <c r="L150" i="952" s="1"/>
  <c r="J195" i="952"/>
  <c r="L195" i="952" s="1"/>
  <c r="J198" i="952"/>
  <c r="L198" i="952" s="1"/>
  <c r="J177" i="952"/>
  <c r="L177" i="952" s="1"/>
  <c r="J212" i="952"/>
  <c r="L212" i="952" s="1"/>
  <c r="J199" i="952"/>
  <c r="L199" i="952" s="1"/>
  <c r="J146" i="952"/>
  <c r="L146" i="952" s="1"/>
  <c r="J194" i="952"/>
  <c r="L194" i="952" s="1"/>
  <c r="J205" i="952"/>
  <c r="L205" i="952" s="1"/>
  <c r="J147" i="952"/>
  <c r="L147" i="952" s="1"/>
  <c r="J187" i="952"/>
  <c r="L187" i="952" s="1"/>
  <c r="J182" i="952"/>
  <c r="L182" i="952" s="1"/>
  <c r="J171" i="952"/>
  <c r="L171" i="952" s="1"/>
  <c r="J204" i="952"/>
  <c r="L204" i="952" s="1"/>
  <c r="J191" i="952"/>
  <c r="L191" i="952" s="1"/>
  <c r="J145" i="952"/>
  <c r="L145" i="952" s="1"/>
  <c r="J186" i="952"/>
  <c r="L186" i="952" s="1"/>
  <c r="J197" i="952"/>
  <c r="L197" i="952" s="1"/>
  <c r="J211" i="952"/>
  <c r="L211" i="952" s="1"/>
  <c r="N455" i="953"/>
  <c r="C693" i="954"/>
  <c r="C664" i="956"/>
  <c r="C708" i="954"/>
  <c r="N365" i="952"/>
  <c r="N365" i="954"/>
  <c r="L336" i="954"/>
  <c r="C783" i="954"/>
  <c r="AJ84" i="954"/>
  <c r="I367" i="954" s="1"/>
  <c r="N354" i="954" s="1"/>
  <c r="C648" i="954"/>
  <c r="AJ84" i="952"/>
  <c r="I367" i="952" s="1"/>
  <c r="N354" i="952" s="1"/>
  <c r="L62" i="953"/>
  <c r="C618" i="954"/>
  <c r="L534" i="958"/>
  <c r="AJ92" i="953"/>
  <c r="I457" i="953" s="1"/>
  <c r="N444" i="953" s="1"/>
  <c r="C723" i="954"/>
  <c r="N684" i="961"/>
  <c r="C558" i="954"/>
  <c r="L694" i="960"/>
  <c r="L586" i="959"/>
  <c r="N579" i="959"/>
  <c r="L428" i="960"/>
  <c r="L589" i="961"/>
  <c r="N564" i="961"/>
  <c r="N429" i="958"/>
  <c r="N684" i="960"/>
  <c r="L691" i="961"/>
  <c r="L381" i="961"/>
  <c r="N579" i="961"/>
  <c r="C738" i="954"/>
  <c r="C678" i="954"/>
  <c r="C559" i="956"/>
  <c r="I105" i="953"/>
  <c r="N105" i="953" s="1"/>
  <c r="N429" i="954"/>
  <c r="C588" i="954"/>
  <c r="C603" i="954"/>
  <c r="L586" i="955"/>
  <c r="N609" i="956"/>
  <c r="L676" i="957"/>
  <c r="C573" i="954"/>
  <c r="C663" i="954"/>
  <c r="I105" i="955"/>
  <c r="N669" i="957"/>
  <c r="AJ251" i="961"/>
  <c r="I249" i="961" s="1"/>
  <c r="N249" i="961" s="1"/>
  <c r="C633" i="954"/>
  <c r="I102" i="954"/>
  <c r="N102" i="954" s="1"/>
  <c r="I107" i="956"/>
  <c r="N369" i="956"/>
  <c r="I104" i="957"/>
  <c r="L104" i="957" s="1"/>
  <c r="AJ286" i="961"/>
  <c r="I284" i="961" s="1"/>
  <c r="N284" i="961" s="1"/>
  <c r="L485" i="960"/>
  <c r="I102" i="957"/>
  <c r="N102" i="957" s="1"/>
  <c r="N609" i="959"/>
  <c r="B322" i="956"/>
  <c r="N444" i="958"/>
  <c r="C649" i="959"/>
  <c r="C694" i="959"/>
  <c r="AJ228" i="960"/>
  <c r="I226" i="960" s="1"/>
  <c r="AJ297" i="961"/>
  <c r="I295" i="961" s="1"/>
  <c r="N295" i="961" s="1"/>
  <c r="AJ228" i="959"/>
  <c r="I226" i="959" s="1"/>
  <c r="B226" i="959" s="1"/>
  <c r="C784" i="959"/>
  <c r="L706" i="960"/>
  <c r="N321" i="960"/>
  <c r="AJ232" i="960"/>
  <c r="I230" i="960" s="1"/>
  <c r="N230" i="960" s="1"/>
  <c r="AJ236" i="956"/>
  <c r="I234" i="956" s="1"/>
  <c r="N234" i="956" s="1"/>
  <c r="C709" i="959"/>
  <c r="L721" i="961"/>
  <c r="L62" i="958"/>
  <c r="N500" i="954"/>
  <c r="L500" i="954"/>
  <c r="AJ241" i="961"/>
  <c r="I239" i="961" s="1"/>
  <c r="N239" i="961" s="1"/>
  <c r="AJ247" i="954"/>
  <c r="I245" i="954" s="1"/>
  <c r="N245" i="954" s="1"/>
  <c r="N579" i="954"/>
  <c r="L470" i="956"/>
  <c r="C603" i="956"/>
  <c r="C648" i="956"/>
  <c r="L442" i="957"/>
  <c r="L631" i="957"/>
  <c r="L335" i="957"/>
  <c r="L335" i="958"/>
  <c r="C319" i="958"/>
  <c r="C499" i="958"/>
  <c r="L619" i="959"/>
  <c r="C679" i="959"/>
  <c r="C664" i="959"/>
  <c r="N616" i="960"/>
  <c r="L410" i="960"/>
  <c r="N609" i="960"/>
  <c r="AJ293" i="961"/>
  <c r="I291" i="961" s="1"/>
  <c r="N291" i="961" s="1"/>
  <c r="AJ91" i="961"/>
  <c r="I442" i="961" s="1"/>
  <c r="N429" i="961" s="1"/>
  <c r="AJ257" i="954"/>
  <c r="I255" i="954" s="1"/>
  <c r="N255" i="954" s="1"/>
  <c r="AJ89" i="954"/>
  <c r="I412" i="954" s="1"/>
  <c r="N412" i="954" s="1"/>
  <c r="C573" i="956"/>
  <c r="C678" i="956"/>
  <c r="N429" i="957"/>
  <c r="AJ231" i="958"/>
  <c r="I229" i="958" s="1"/>
  <c r="N229" i="958" s="1"/>
  <c r="C379" i="958"/>
  <c r="C424" i="958"/>
  <c r="N619" i="959"/>
  <c r="AJ229" i="959"/>
  <c r="I227" i="959" s="1"/>
  <c r="N227" i="959" s="1"/>
  <c r="B327" i="959"/>
  <c r="C604" i="959"/>
  <c r="C724" i="959"/>
  <c r="N384" i="956"/>
  <c r="C738" i="956"/>
  <c r="C723" i="956"/>
  <c r="L694" i="957"/>
  <c r="C439" i="958"/>
  <c r="C529" i="958"/>
  <c r="L515" i="959"/>
  <c r="AJ88" i="959"/>
  <c r="I397" i="959" s="1"/>
  <c r="C739" i="959"/>
  <c r="AJ235" i="960"/>
  <c r="I233" i="960" s="1"/>
  <c r="N233" i="960" s="1"/>
  <c r="L661" i="960"/>
  <c r="AJ95" i="961"/>
  <c r="I472" i="961" s="1"/>
  <c r="N472" i="961" s="1"/>
  <c r="L62" i="961"/>
  <c r="AJ98" i="959"/>
  <c r="I517" i="959" s="1"/>
  <c r="N504" i="959" s="1"/>
  <c r="L62" i="956"/>
  <c r="C708" i="956"/>
  <c r="C633" i="956"/>
  <c r="AJ95" i="958"/>
  <c r="I472" i="958" s="1"/>
  <c r="L472" i="958" s="1"/>
  <c r="B330" i="958"/>
  <c r="L470" i="958"/>
  <c r="C364" i="958"/>
  <c r="C544" i="958"/>
  <c r="C559" i="959"/>
  <c r="C634" i="959"/>
  <c r="L631" i="960"/>
  <c r="AJ273" i="961"/>
  <c r="I271" i="961" s="1"/>
  <c r="N271" i="961" s="1"/>
  <c r="L478" i="961"/>
  <c r="L515" i="961"/>
  <c r="L336" i="961"/>
  <c r="AJ97" i="954"/>
  <c r="I502" i="954" s="1"/>
  <c r="L698" i="956"/>
  <c r="L684" i="956" s="1"/>
  <c r="C618" i="956"/>
  <c r="C693" i="956"/>
  <c r="L351" i="957"/>
  <c r="N624" i="957"/>
  <c r="AJ82" i="958"/>
  <c r="I337" i="958" s="1"/>
  <c r="B337" i="958" s="1"/>
  <c r="C409" i="958"/>
  <c r="C514" i="958"/>
  <c r="C574" i="959"/>
  <c r="C619" i="959"/>
  <c r="AJ89" i="960"/>
  <c r="I412" i="960" s="1"/>
  <c r="AJ230" i="961"/>
  <c r="I228" i="961" s="1"/>
  <c r="N228" i="961" s="1"/>
  <c r="L774" i="956"/>
  <c r="AJ265" i="952"/>
  <c r="I263" i="952" s="1"/>
  <c r="N263" i="952" s="1"/>
  <c r="N564" i="952"/>
  <c r="AJ231" i="955"/>
  <c r="I229" i="955" s="1"/>
  <c r="N229" i="955" s="1"/>
  <c r="N579" i="955"/>
  <c r="C663" i="956"/>
  <c r="AJ229" i="957"/>
  <c r="I227" i="957" s="1"/>
  <c r="N227" i="957" s="1"/>
  <c r="N684" i="957"/>
  <c r="N564" i="958"/>
  <c r="C334" i="958"/>
  <c r="C589" i="959"/>
  <c r="N654" i="960"/>
  <c r="AJ82" i="957"/>
  <c r="I337" i="957" s="1"/>
  <c r="N639" i="959"/>
  <c r="AJ230" i="957"/>
  <c r="I228" i="957" s="1"/>
  <c r="N228" i="957" s="1"/>
  <c r="AJ243" i="952"/>
  <c r="I241" i="952" s="1"/>
  <c r="N241" i="952" s="1"/>
  <c r="AJ235" i="955"/>
  <c r="I233" i="955" s="1"/>
  <c r="N233" i="955" s="1"/>
  <c r="AJ266" i="956"/>
  <c r="I264" i="956" s="1"/>
  <c r="N264" i="956" s="1"/>
  <c r="AJ260" i="956"/>
  <c r="I258" i="956" s="1"/>
  <c r="N258" i="956" s="1"/>
  <c r="AJ270" i="956"/>
  <c r="I268" i="956" s="1"/>
  <c r="N268" i="956" s="1"/>
  <c r="N564" i="957"/>
  <c r="L706" i="958"/>
  <c r="L381" i="959"/>
  <c r="AJ247" i="960"/>
  <c r="I245" i="960" s="1"/>
  <c r="N245" i="960" s="1"/>
  <c r="AJ241" i="960"/>
  <c r="I239" i="960" s="1"/>
  <c r="N239" i="960" s="1"/>
  <c r="AJ274" i="960"/>
  <c r="I272" i="960" s="1"/>
  <c r="N272" i="960" s="1"/>
  <c r="AJ284" i="960"/>
  <c r="I282" i="960" s="1"/>
  <c r="N282" i="960" s="1"/>
  <c r="AJ233" i="960"/>
  <c r="I231" i="960" s="1"/>
  <c r="N231" i="960" s="1"/>
  <c r="I106" i="960"/>
  <c r="L106" i="960" s="1"/>
  <c r="AJ268" i="952"/>
  <c r="I266" i="952" s="1"/>
  <c r="N266" i="952" s="1"/>
  <c r="AJ297" i="952"/>
  <c r="I295" i="952" s="1"/>
  <c r="N295" i="952" s="1"/>
  <c r="I103" i="953"/>
  <c r="N103" i="953" s="1"/>
  <c r="AJ283" i="954"/>
  <c r="I281" i="954" s="1"/>
  <c r="N281" i="954" s="1"/>
  <c r="AJ294" i="954"/>
  <c r="I292" i="954" s="1"/>
  <c r="N292" i="954" s="1"/>
  <c r="AJ292" i="954"/>
  <c r="I290" i="954" s="1"/>
  <c r="N290" i="954" s="1"/>
  <c r="AJ290" i="954"/>
  <c r="I288" i="954" s="1"/>
  <c r="N288" i="954" s="1"/>
  <c r="AJ250" i="955"/>
  <c r="I248" i="955" s="1"/>
  <c r="N248" i="955" s="1"/>
  <c r="AJ284" i="955"/>
  <c r="I282" i="955" s="1"/>
  <c r="N282" i="955" s="1"/>
  <c r="AJ241" i="955"/>
  <c r="I239" i="955" s="1"/>
  <c r="N239" i="955" s="1"/>
  <c r="AJ268" i="956"/>
  <c r="I266" i="956" s="1"/>
  <c r="N266" i="956" s="1"/>
  <c r="AJ232" i="959"/>
  <c r="I230" i="959" s="1"/>
  <c r="N230" i="959" s="1"/>
  <c r="I104" i="960"/>
  <c r="AJ296" i="961"/>
  <c r="I294" i="961" s="1"/>
  <c r="N294" i="961" s="1"/>
  <c r="AJ229" i="961"/>
  <c r="I227" i="961" s="1"/>
  <c r="N227" i="961" s="1"/>
  <c r="L350" i="961"/>
  <c r="AJ258" i="959"/>
  <c r="I256" i="959" s="1"/>
  <c r="N256" i="959" s="1"/>
  <c r="I102" i="960"/>
  <c r="L102" i="960" s="1"/>
  <c r="N594" i="961"/>
  <c r="AJ290" i="961"/>
  <c r="I288" i="961" s="1"/>
  <c r="N288" i="961" s="1"/>
  <c r="AJ256" i="952"/>
  <c r="I254" i="952" s="1"/>
  <c r="N254" i="952" s="1"/>
  <c r="L601" i="958"/>
  <c r="L601" i="961"/>
  <c r="N384" i="953"/>
  <c r="N594" i="958"/>
  <c r="AJ83" i="961"/>
  <c r="I352" i="961" s="1"/>
  <c r="N339" i="961" s="1"/>
  <c r="C574" i="961"/>
  <c r="AD183" i="959"/>
  <c r="N579" i="953"/>
  <c r="L774" i="955"/>
  <c r="AJ239" i="955"/>
  <c r="I237" i="955" s="1"/>
  <c r="N237" i="955" s="1"/>
  <c r="AJ295" i="956"/>
  <c r="I293" i="956" s="1"/>
  <c r="N293" i="956" s="1"/>
  <c r="AJ277" i="960"/>
  <c r="I275" i="960" s="1"/>
  <c r="N275" i="960" s="1"/>
  <c r="AJ259" i="960"/>
  <c r="I257" i="960" s="1"/>
  <c r="N257" i="960" s="1"/>
  <c r="N564" i="960"/>
  <c r="C754" i="961"/>
  <c r="AJ262" i="959"/>
  <c r="I260" i="959" s="1"/>
  <c r="N260" i="959" s="1"/>
  <c r="AJ279" i="959"/>
  <c r="I277" i="959" s="1"/>
  <c r="N277" i="959" s="1"/>
  <c r="AJ283" i="959"/>
  <c r="I281" i="959" s="1"/>
  <c r="N281" i="959" s="1"/>
  <c r="AJ269" i="959"/>
  <c r="I267" i="959" s="1"/>
  <c r="N267" i="959" s="1"/>
  <c r="C604" i="961"/>
  <c r="AJ233" i="954"/>
  <c r="I231" i="954" s="1"/>
  <c r="N231" i="954" s="1"/>
  <c r="N609" i="952"/>
  <c r="AJ266" i="954"/>
  <c r="I264" i="954" s="1"/>
  <c r="N264" i="954" s="1"/>
  <c r="AJ243" i="954"/>
  <c r="I241" i="954" s="1"/>
  <c r="N241" i="954" s="1"/>
  <c r="AJ290" i="955"/>
  <c r="I288" i="955" s="1"/>
  <c r="N288" i="955" s="1"/>
  <c r="C784" i="961"/>
  <c r="AJ230" i="952"/>
  <c r="I228" i="952" s="1"/>
  <c r="N228" i="952" s="1"/>
  <c r="N564" i="955"/>
  <c r="N549" i="957"/>
  <c r="AJ251" i="959"/>
  <c r="I249" i="959" s="1"/>
  <c r="N249" i="959" s="1"/>
  <c r="B330" i="959"/>
  <c r="Z286" i="958"/>
  <c r="AJ250" i="959"/>
  <c r="I248" i="959" s="1"/>
  <c r="N248" i="959" s="1"/>
  <c r="AJ268" i="961"/>
  <c r="I266" i="961" s="1"/>
  <c r="N266" i="961" s="1"/>
  <c r="AJ277" i="956"/>
  <c r="I275" i="956" s="1"/>
  <c r="N275" i="956" s="1"/>
  <c r="I380" i="961"/>
  <c r="AJ85" i="961"/>
  <c r="I382" i="961" s="1"/>
  <c r="N579" i="956"/>
  <c r="AJ240" i="961"/>
  <c r="I238" i="961" s="1"/>
  <c r="N238" i="961" s="1"/>
  <c r="AJ254" i="961"/>
  <c r="I252" i="961" s="1"/>
  <c r="N252" i="961" s="1"/>
  <c r="AJ279" i="953"/>
  <c r="I277" i="953" s="1"/>
  <c r="N277" i="953" s="1"/>
  <c r="AJ283" i="953"/>
  <c r="I281" i="953" s="1"/>
  <c r="N281" i="953" s="1"/>
  <c r="N549" i="954"/>
  <c r="AJ282" i="956"/>
  <c r="I280" i="956" s="1"/>
  <c r="N280" i="956" s="1"/>
  <c r="AJ276" i="956"/>
  <c r="I274" i="956" s="1"/>
  <c r="N274" i="956" s="1"/>
  <c r="AJ287" i="956"/>
  <c r="I285" i="956" s="1"/>
  <c r="N285" i="956" s="1"/>
  <c r="N384" i="958"/>
  <c r="I107" i="959"/>
  <c r="N107" i="959" s="1"/>
  <c r="L774" i="961"/>
  <c r="C619" i="961"/>
  <c r="AC182" i="954"/>
  <c r="AC183" i="961"/>
  <c r="L515" i="958"/>
  <c r="N515" i="958"/>
  <c r="AJ228" i="952"/>
  <c r="I226" i="952" s="1"/>
  <c r="N564" i="953"/>
  <c r="AJ276" i="954"/>
  <c r="I274" i="954" s="1"/>
  <c r="N274" i="954" s="1"/>
  <c r="AJ265" i="954"/>
  <c r="I263" i="954" s="1"/>
  <c r="N263" i="954" s="1"/>
  <c r="N594" i="956"/>
  <c r="AJ262" i="956"/>
  <c r="I260" i="956" s="1"/>
  <c r="N260" i="956" s="1"/>
  <c r="C619" i="956"/>
  <c r="C634" i="956"/>
  <c r="C768" i="958"/>
  <c r="C723" i="958"/>
  <c r="AJ260" i="959"/>
  <c r="I258" i="959" s="1"/>
  <c r="N258" i="959" s="1"/>
  <c r="AJ237" i="959"/>
  <c r="I235" i="959" s="1"/>
  <c r="N235" i="959" s="1"/>
  <c r="AJ252" i="959"/>
  <c r="I250" i="959" s="1"/>
  <c r="N250" i="959" s="1"/>
  <c r="AJ242" i="959"/>
  <c r="I240" i="959" s="1"/>
  <c r="N240" i="959" s="1"/>
  <c r="AJ295" i="960"/>
  <c r="I293" i="960" s="1"/>
  <c r="N293" i="960" s="1"/>
  <c r="N350" i="960"/>
  <c r="L413" i="960"/>
  <c r="AJ280" i="961"/>
  <c r="I278" i="961" s="1"/>
  <c r="N278" i="961" s="1"/>
  <c r="AJ261" i="961"/>
  <c r="I259" i="961" s="1"/>
  <c r="N259" i="961" s="1"/>
  <c r="AJ244" i="961"/>
  <c r="I242" i="961" s="1"/>
  <c r="N242" i="961" s="1"/>
  <c r="AJ250" i="961"/>
  <c r="I248" i="961" s="1"/>
  <c r="N248" i="961" s="1"/>
  <c r="AJ264" i="961"/>
  <c r="I262" i="961" s="1"/>
  <c r="N262" i="961" s="1"/>
  <c r="I108" i="961"/>
  <c r="N108" i="961" s="1"/>
  <c r="I107" i="954"/>
  <c r="L107" i="954" s="1"/>
  <c r="AJ243" i="956"/>
  <c r="I241" i="956" s="1"/>
  <c r="N241" i="956" s="1"/>
  <c r="C589" i="956"/>
  <c r="C694" i="956"/>
  <c r="C603" i="958"/>
  <c r="C753" i="958"/>
  <c r="AJ253" i="959"/>
  <c r="I251" i="959" s="1"/>
  <c r="N251" i="959" s="1"/>
  <c r="N549" i="959"/>
  <c r="B322" i="959"/>
  <c r="AJ284" i="961"/>
  <c r="I282" i="961" s="1"/>
  <c r="N282" i="961" s="1"/>
  <c r="C693" i="958"/>
  <c r="C663" i="958"/>
  <c r="AJ231" i="959"/>
  <c r="I229" i="959" s="1"/>
  <c r="N229" i="959" s="1"/>
  <c r="N709" i="959"/>
  <c r="AJ83" i="960"/>
  <c r="I352" i="960" s="1"/>
  <c r="N352" i="960" s="1"/>
  <c r="AJ98" i="958"/>
  <c r="I517" i="958" s="1"/>
  <c r="N504" i="958" s="1"/>
  <c r="AJ263" i="955"/>
  <c r="I261" i="955" s="1"/>
  <c r="N261" i="955" s="1"/>
  <c r="AJ289" i="956"/>
  <c r="I287" i="956" s="1"/>
  <c r="N287" i="956" s="1"/>
  <c r="C724" i="956"/>
  <c r="C649" i="956"/>
  <c r="AJ277" i="957"/>
  <c r="I275" i="957" s="1"/>
  <c r="N275" i="957" s="1"/>
  <c r="AJ265" i="957"/>
  <c r="I263" i="957" s="1"/>
  <c r="N263" i="957" s="1"/>
  <c r="AJ254" i="957"/>
  <c r="I252" i="957" s="1"/>
  <c r="N252" i="957" s="1"/>
  <c r="AI227" i="958"/>
  <c r="I1162" i="958" s="1"/>
  <c r="C558" i="958"/>
  <c r="C708" i="958"/>
  <c r="Z286" i="959"/>
  <c r="I107" i="961"/>
  <c r="L107" i="961" s="1"/>
  <c r="AJ278" i="956"/>
  <c r="I276" i="956" s="1"/>
  <c r="N276" i="956" s="1"/>
  <c r="C754" i="956"/>
  <c r="AJ242" i="952"/>
  <c r="I240" i="952" s="1"/>
  <c r="N240" i="952" s="1"/>
  <c r="L646" i="952"/>
  <c r="AD182" i="952"/>
  <c r="AJ259" i="953"/>
  <c r="I257" i="953" s="1"/>
  <c r="N257" i="953" s="1"/>
  <c r="N549" i="955"/>
  <c r="AJ273" i="956"/>
  <c r="I271" i="956" s="1"/>
  <c r="N271" i="956" s="1"/>
  <c r="N601" i="956"/>
  <c r="C739" i="956"/>
  <c r="L774" i="957"/>
  <c r="AJ250" i="957"/>
  <c r="I248" i="957" s="1"/>
  <c r="N248" i="957" s="1"/>
  <c r="AJ241" i="957"/>
  <c r="I239" i="957" s="1"/>
  <c r="N239" i="957" s="1"/>
  <c r="AJ248" i="957"/>
  <c r="I246" i="957" s="1"/>
  <c r="N246" i="957" s="1"/>
  <c r="I105" i="957"/>
  <c r="AJ237" i="958"/>
  <c r="I235" i="958" s="1"/>
  <c r="N235" i="958" s="1"/>
  <c r="AJ241" i="958"/>
  <c r="I239" i="958" s="1"/>
  <c r="N239" i="958" s="1"/>
  <c r="AJ233" i="958"/>
  <c r="I231" i="958" s="1"/>
  <c r="N231" i="958" s="1"/>
  <c r="AJ243" i="958"/>
  <c r="I241" i="958" s="1"/>
  <c r="N241" i="958" s="1"/>
  <c r="AJ270" i="958"/>
  <c r="I268" i="958" s="1"/>
  <c r="N268" i="958" s="1"/>
  <c r="AJ293" i="958"/>
  <c r="I291" i="958" s="1"/>
  <c r="N291" i="958" s="1"/>
  <c r="C588" i="958"/>
  <c r="C783" i="958"/>
  <c r="AJ285" i="960"/>
  <c r="I283" i="960" s="1"/>
  <c r="N283" i="960" s="1"/>
  <c r="L487" i="960"/>
  <c r="AJ234" i="961"/>
  <c r="I232" i="961" s="1"/>
  <c r="N232" i="961" s="1"/>
  <c r="AJ228" i="961"/>
  <c r="I226" i="961" s="1"/>
  <c r="AJ98" i="961"/>
  <c r="I517" i="961" s="1"/>
  <c r="N517" i="961" s="1"/>
  <c r="C694" i="961"/>
  <c r="AJ239" i="953"/>
  <c r="I237" i="953" s="1"/>
  <c r="N237" i="953" s="1"/>
  <c r="N639" i="952"/>
  <c r="AJ96" i="953"/>
  <c r="I487" i="953" s="1"/>
  <c r="AJ249" i="955"/>
  <c r="I247" i="955" s="1"/>
  <c r="N247" i="955" s="1"/>
  <c r="AJ230" i="955"/>
  <c r="I228" i="955" s="1"/>
  <c r="N228" i="955" s="1"/>
  <c r="AJ271" i="955"/>
  <c r="I269" i="955" s="1"/>
  <c r="N269" i="955" s="1"/>
  <c r="L616" i="956"/>
  <c r="B331" i="956"/>
  <c r="C709" i="956"/>
  <c r="C679" i="956"/>
  <c r="AJ271" i="957"/>
  <c r="I269" i="957" s="1"/>
  <c r="N269" i="957" s="1"/>
  <c r="AJ282" i="957"/>
  <c r="I280" i="957" s="1"/>
  <c r="N280" i="957" s="1"/>
  <c r="AJ232" i="958"/>
  <c r="I230" i="958" s="1"/>
  <c r="N230" i="958" s="1"/>
  <c r="C633" i="958"/>
  <c r="C648" i="958"/>
  <c r="AJ243" i="960"/>
  <c r="I241" i="960" s="1"/>
  <c r="N241" i="960" s="1"/>
  <c r="AJ258" i="960"/>
  <c r="I256" i="960" s="1"/>
  <c r="N256" i="960" s="1"/>
  <c r="AJ268" i="960"/>
  <c r="I266" i="960" s="1"/>
  <c r="N266" i="960" s="1"/>
  <c r="AJ271" i="960"/>
  <c r="I269" i="960" s="1"/>
  <c r="N269" i="960" s="1"/>
  <c r="AJ239" i="960"/>
  <c r="I237" i="960" s="1"/>
  <c r="N237" i="960" s="1"/>
  <c r="AJ231" i="960"/>
  <c r="I229" i="960" s="1"/>
  <c r="N229" i="960" s="1"/>
  <c r="AJ269" i="961"/>
  <c r="I267" i="961" s="1"/>
  <c r="N267" i="961" s="1"/>
  <c r="AJ252" i="961"/>
  <c r="I250" i="961" s="1"/>
  <c r="N250" i="961" s="1"/>
  <c r="AJ279" i="961"/>
  <c r="I277" i="961" s="1"/>
  <c r="N277" i="961" s="1"/>
  <c r="C604" i="956"/>
  <c r="AJ264" i="952"/>
  <c r="I262" i="952" s="1"/>
  <c r="N262" i="952" s="1"/>
  <c r="L534" i="953"/>
  <c r="AJ245" i="953"/>
  <c r="I243" i="953" s="1"/>
  <c r="N243" i="953" s="1"/>
  <c r="N594" i="952"/>
  <c r="AJ232" i="953"/>
  <c r="I230" i="953" s="1"/>
  <c r="N230" i="953" s="1"/>
  <c r="AJ231" i="953"/>
  <c r="I229" i="953" s="1"/>
  <c r="N229" i="953" s="1"/>
  <c r="AJ236" i="954"/>
  <c r="I234" i="954" s="1"/>
  <c r="N234" i="954" s="1"/>
  <c r="AJ256" i="954"/>
  <c r="I254" i="954" s="1"/>
  <c r="N254" i="954" s="1"/>
  <c r="AJ237" i="955"/>
  <c r="I235" i="955" s="1"/>
  <c r="N235" i="955" s="1"/>
  <c r="AJ232" i="955"/>
  <c r="I230" i="955" s="1"/>
  <c r="N230" i="955" s="1"/>
  <c r="AJ286" i="956"/>
  <c r="I284" i="956" s="1"/>
  <c r="N284" i="956" s="1"/>
  <c r="N564" i="956"/>
  <c r="C574" i="956"/>
  <c r="AJ256" i="957"/>
  <c r="I254" i="957" s="1"/>
  <c r="N254" i="957" s="1"/>
  <c r="B321" i="958"/>
  <c r="C738" i="958"/>
  <c r="B344" i="959"/>
  <c r="B349" i="959"/>
  <c r="L774" i="960"/>
  <c r="L534" i="960"/>
  <c r="AJ266" i="960"/>
  <c r="I264" i="960" s="1"/>
  <c r="N264" i="960" s="1"/>
  <c r="AJ276" i="960"/>
  <c r="I274" i="960" s="1"/>
  <c r="N274" i="960" s="1"/>
  <c r="AJ246" i="960"/>
  <c r="I244" i="960" s="1"/>
  <c r="N244" i="960" s="1"/>
  <c r="AJ279" i="960"/>
  <c r="I277" i="960" s="1"/>
  <c r="N277" i="960" s="1"/>
  <c r="AJ273" i="960"/>
  <c r="I271" i="960" s="1"/>
  <c r="N271" i="960" s="1"/>
  <c r="AJ240" i="960"/>
  <c r="I238" i="960" s="1"/>
  <c r="N238" i="960" s="1"/>
  <c r="AJ249" i="960"/>
  <c r="I247" i="960" s="1"/>
  <c r="N247" i="960" s="1"/>
  <c r="C724" i="961"/>
  <c r="K302" i="961"/>
  <c r="K75" i="961"/>
  <c r="AD183" i="957"/>
  <c r="AC183" i="958"/>
  <c r="I104" i="955"/>
  <c r="I108" i="955"/>
  <c r="AJ293" i="956"/>
  <c r="I291" i="956" s="1"/>
  <c r="N291" i="956" s="1"/>
  <c r="AJ263" i="956"/>
  <c r="I261" i="956" s="1"/>
  <c r="N261" i="956" s="1"/>
  <c r="AJ257" i="956"/>
  <c r="I255" i="956" s="1"/>
  <c r="N255" i="956" s="1"/>
  <c r="AJ229" i="956"/>
  <c r="I227" i="956" s="1"/>
  <c r="N227" i="956" s="1"/>
  <c r="B323" i="956"/>
  <c r="AJ251" i="957"/>
  <c r="I249" i="957" s="1"/>
  <c r="N249" i="957" s="1"/>
  <c r="L519" i="957"/>
  <c r="AJ235" i="959"/>
  <c r="I233" i="959" s="1"/>
  <c r="N233" i="959" s="1"/>
  <c r="I104" i="959"/>
  <c r="N104" i="959" s="1"/>
  <c r="AJ254" i="960"/>
  <c r="I252" i="960" s="1"/>
  <c r="N252" i="960" s="1"/>
  <c r="N549" i="961"/>
  <c r="I470" i="957"/>
  <c r="AJ95" i="957"/>
  <c r="I472" i="957" s="1"/>
  <c r="AJ228" i="953"/>
  <c r="I226" i="953" s="1"/>
  <c r="AJ285" i="952"/>
  <c r="I283" i="952" s="1"/>
  <c r="N283" i="952" s="1"/>
  <c r="AH227" i="954"/>
  <c r="L609" i="953"/>
  <c r="AJ251" i="953"/>
  <c r="I249" i="953" s="1"/>
  <c r="N249" i="953" s="1"/>
  <c r="AJ242" i="953"/>
  <c r="I240" i="953" s="1"/>
  <c r="N240" i="953" s="1"/>
  <c r="AJ258" i="953"/>
  <c r="I256" i="953" s="1"/>
  <c r="N256" i="953" s="1"/>
  <c r="AJ284" i="953"/>
  <c r="I282" i="953" s="1"/>
  <c r="N282" i="953" s="1"/>
  <c r="AJ240" i="954"/>
  <c r="I238" i="954" s="1"/>
  <c r="N238" i="954" s="1"/>
  <c r="AJ237" i="954"/>
  <c r="I235" i="954" s="1"/>
  <c r="N235" i="954" s="1"/>
  <c r="L609" i="955"/>
  <c r="AJ260" i="955"/>
  <c r="I258" i="955" s="1"/>
  <c r="N258" i="955" s="1"/>
  <c r="AJ251" i="955"/>
  <c r="I249" i="955" s="1"/>
  <c r="N249" i="955" s="1"/>
  <c r="AJ234" i="955"/>
  <c r="I232" i="955" s="1"/>
  <c r="N232" i="955" s="1"/>
  <c r="AJ297" i="955"/>
  <c r="I295" i="955" s="1"/>
  <c r="N295" i="955" s="1"/>
  <c r="AJ272" i="955"/>
  <c r="I270" i="955" s="1"/>
  <c r="N270" i="955" s="1"/>
  <c r="AJ240" i="955"/>
  <c r="I238" i="955" s="1"/>
  <c r="N238" i="955" s="1"/>
  <c r="AJ237" i="956"/>
  <c r="I235" i="956" s="1"/>
  <c r="N235" i="956" s="1"/>
  <c r="AJ275" i="956"/>
  <c r="I273" i="956" s="1"/>
  <c r="N273" i="956" s="1"/>
  <c r="AJ294" i="956"/>
  <c r="I292" i="956" s="1"/>
  <c r="N292" i="956" s="1"/>
  <c r="AJ271" i="956"/>
  <c r="I269" i="956" s="1"/>
  <c r="N269" i="956" s="1"/>
  <c r="B334" i="956"/>
  <c r="N549" i="956"/>
  <c r="I102" i="956"/>
  <c r="N102" i="956" s="1"/>
  <c r="I104" i="956"/>
  <c r="AJ289" i="957"/>
  <c r="I287" i="957" s="1"/>
  <c r="N287" i="957" s="1"/>
  <c r="AJ247" i="957"/>
  <c r="I245" i="957" s="1"/>
  <c r="N245" i="957" s="1"/>
  <c r="AJ259" i="958"/>
  <c r="I257" i="958" s="1"/>
  <c r="N257" i="958" s="1"/>
  <c r="AJ247" i="958"/>
  <c r="I245" i="958" s="1"/>
  <c r="N245" i="958" s="1"/>
  <c r="AJ250" i="958"/>
  <c r="I248" i="958" s="1"/>
  <c r="N248" i="958" s="1"/>
  <c r="AJ241" i="959"/>
  <c r="I239" i="959" s="1"/>
  <c r="N239" i="959" s="1"/>
  <c r="I105" i="959"/>
  <c r="L105" i="959" s="1"/>
  <c r="AJ282" i="960"/>
  <c r="I280" i="960" s="1"/>
  <c r="N280" i="960" s="1"/>
  <c r="AJ296" i="960"/>
  <c r="I294" i="960" s="1"/>
  <c r="N294" i="960" s="1"/>
  <c r="AJ281" i="961"/>
  <c r="I279" i="961" s="1"/>
  <c r="N279" i="961" s="1"/>
  <c r="AJ266" i="961"/>
  <c r="I264" i="961" s="1"/>
  <c r="N264" i="961" s="1"/>
  <c r="AJ257" i="961"/>
  <c r="I255" i="961" s="1"/>
  <c r="N255" i="961" s="1"/>
  <c r="AJ294" i="961"/>
  <c r="I292" i="961" s="1"/>
  <c r="N292" i="961" s="1"/>
  <c r="I365" i="956"/>
  <c r="AJ84" i="956"/>
  <c r="I367" i="956" s="1"/>
  <c r="I425" i="958"/>
  <c r="AJ90" i="958"/>
  <c r="I427" i="958" s="1"/>
  <c r="I335" i="956"/>
  <c r="AJ82" i="956"/>
  <c r="I337" i="956" s="1"/>
  <c r="AJ273" i="955"/>
  <c r="I271" i="955" s="1"/>
  <c r="N271" i="955" s="1"/>
  <c r="AJ258" i="952"/>
  <c r="I256" i="952" s="1"/>
  <c r="N256" i="952" s="1"/>
  <c r="AJ294" i="952"/>
  <c r="I292" i="952" s="1"/>
  <c r="N292" i="952" s="1"/>
  <c r="AJ248" i="953"/>
  <c r="I246" i="953" s="1"/>
  <c r="N246" i="953" s="1"/>
  <c r="AJ241" i="952"/>
  <c r="I239" i="952" s="1"/>
  <c r="N239" i="952" s="1"/>
  <c r="AJ252" i="952"/>
  <c r="I250" i="952" s="1"/>
  <c r="N250" i="952" s="1"/>
  <c r="AJ254" i="953"/>
  <c r="I252" i="953" s="1"/>
  <c r="N252" i="953" s="1"/>
  <c r="AJ286" i="953"/>
  <c r="I284" i="953" s="1"/>
  <c r="N284" i="953" s="1"/>
  <c r="AJ269" i="953"/>
  <c r="I267" i="953" s="1"/>
  <c r="N267" i="953" s="1"/>
  <c r="AI227" i="953"/>
  <c r="I1161" i="953" s="1"/>
  <c r="AJ269" i="954"/>
  <c r="I267" i="954" s="1"/>
  <c r="N267" i="954" s="1"/>
  <c r="AJ235" i="954"/>
  <c r="I233" i="954" s="1"/>
  <c r="N233" i="954" s="1"/>
  <c r="L62" i="954"/>
  <c r="Z230" i="955"/>
  <c r="AJ253" i="955"/>
  <c r="I251" i="955" s="1"/>
  <c r="N251" i="955" s="1"/>
  <c r="AJ266" i="955"/>
  <c r="I264" i="955" s="1"/>
  <c r="N264" i="955" s="1"/>
  <c r="AJ289" i="955"/>
  <c r="I287" i="955" s="1"/>
  <c r="N287" i="955" s="1"/>
  <c r="B325" i="956"/>
  <c r="B329" i="956"/>
  <c r="I105" i="956"/>
  <c r="N105" i="956" s="1"/>
  <c r="AJ259" i="957"/>
  <c r="I257" i="957" s="1"/>
  <c r="N257" i="957" s="1"/>
  <c r="AJ283" i="957"/>
  <c r="I281" i="957" s="1"/>
  <c r="N281" i="957" s="1"/>
  <c r="AJ253" i="957"/>
  <c r="I251" i="957" s="1"/>
  <c r="N251" i="957" s="1"/>
  <c r="AJ243" i="959"/>
  <c r="I241" i="959" s="1"/>
  <c r="N241" i="959" s="1"/>
  <c r="I106" i="959"/>
  <c r="N106" i="959" s="1"/>
  <c r="AJ264" i="960"/>
  <c r="I262" i="960" s="1"/>
  <c r="N262" i="960" s="1"/>
  <c r="AJ245" i="960"/>
  <c r="I243" i="960" s="1"/>
  <c r="N243" i="960" s="1"/>
  <c r="AJ230" i="960"/>
  <c r="I228" i="960" s="1"/>
  <c r="N228" i="960" s="1"/>
  <c r="AJ253" i="961"/>
  <c r="I251" i="961" s="1"/>
  <c r="N251" i="961" s="1"/>
  <c r="C679" i="961"/>
  <c r="C634" i="961"/>
  <c r="AJ295" i="952"/>
  <c r="I293" i="952" s="1"/>
  <c r="N293" i="952" s="1"/>
  <c r="AJ248" i="952"/>
  <c r="I246" i="952" s="1"/>
  <c r="N246" i="952" s="1"/>
  <c r="AJ250" i="953"/>
  <c r="I248" i="953" s="1"/>
  <c r="N248" i="953" s="1"/>
  <c r="AJ236" i="953"/>
  <c r="I234" i="953" s="1"/>
  <c r="N234" i="953" s="1"/>
  <c r="AJ272" i="953"/>
  <c r="I270" i="953" s="1"/>
  <c r="N270" i="953" s="1"/>
  <c r="AJ277" i="953"/>
  <c r="I275" i="953" s="1"/>
  <c r="N275" i="953" s="1"/>
  <c r="AJ230" i="953"/>
  <c r="I228" i="953" s="1"/>
  <c r="AJ241" i="954"/>
  <c r="I239" i="954" s="1"/>
  <c r="N239" i="954" s="1"/>
  <c r="AJ287" i="954"/>
  <c r="I285" i="954" s="1"/>
  <c r="N285" i="954" s="1"/>
  <c r="AJ293" i="954"/>
  <c r="I291" i="954" s="1"/>
  <c r="N291" i="954" s="1"/>
  <c r="L609" i="954"/>
  <c r="AJ268" i="955"/>
  <c r="I266" i="955" s="1"/>
  <c r="N266" i="955" s="1"/>
  <c r="AJ259" i="955"/>
  <c r="I257" i="955" s="1"/>
  <c r="N257" i="955" s="1"/>
  <c r="AJ291" i="955"/>
  <c r="I289" i="955" s="1"/>
  <c r="N289" i="955" s="1"/>
  <c r="AJ288" i="955"/>
  <c r="I286" i="955" s="1"/>
  <c r="N286" i="955" s="1"/>
  <c r="L62" i="955"/>
  <c r="AJ267" i="956"/>
  <c r="I265" i="956" s="1"/>
  <c r="N265" i="956" s="1"/>
  <c r="AJ246" i="956"/>
  <c r="I244" i="956" s="1"/>
  <c r="N244" i="956" s="1"/>
  <c r="AJ256" i="956"/>
  <c r="I254" i="956" s="1"/>
  <c r="N254" i="956" s="1"/>
  <c r="AJ240" i="956"/>
  <c r="I238" i="956" s="1"/>
  <c r="N238" i="956" s="1"/>
  <c r="B328" i="956"/>
  <c r="I106" i="956"/>
  <c r="AJ233" i="956"/>
  <c r="I231" i="956" s="1"/>
  <c r="N231" i="956" s="1"/>
  <c r="AJ246" i="957"/>
  <c r="I244" i="957" s="1"/>
  <c r="N244" i="957" s="1"/>
  <c r="AJ268" i="957"/>
  <c r="I266" i="957" s="1"/>
  <c r="N266" i="957" s="1"/>
  <c r="B322" i="958"/>
  <c r="AJ245" i="959"/>
  <c r="I243" i="959" s="1"/>
  <c r="N243" i="959" s="1"/>
  <c r="AJ244" i="959"/>
  <c r="I242" i="959" s="1"/>
  <c r="N242" i="959" s="1"/>
  <c r="AJ255" i="959"/>
  <c r="I253" i="959" s="1"/>
  <c r="N253" i="959" s="1"/>
  <c r="AJ259" i="959"/>
  <c r="I257" i="959" s="1"/>
  <c r="N257" i="959" s="1"/>
  <c r="I103" i="959"/>
  <c r="L103" i="959" s="1"/>
  <c r="AJ236" i="960"/>
  <c r="I234" i="960" s="1"/>
  <c r="N234" i="960" s="1"/>
  <c r="AJ272" i="960"/>
  <c r="I270" i="960" s="1"/>
  <c r="N270" i="960" s="1"/>
  <c r="AJ229" i="960"/>
  <c r="I227" i="960" s="1"/>
  <c r="N227" i="960" s="1"/>
  <c r="I105" i="960"/>
  <c r="N105" i="960" s="1"/>
  <c r="AJ246" i="961"/>
  <c r="I244" i="961" s="1"/>
  <c r="N244" i="961" s="1"/>
  <c r="C739" i="961"/>
  <c r="C589" i="961"/>
  <c r="I380" i="960"/>
  <c r="AJ85" i="960"/>
  <c r="I382" i="960" s="1"/>
  <c r="AD230" i="952"/>
  <c r="B330" i="956"/>
  <c r="AJ251" i="952"/>
  <c r="I249" i="952" s="1"/>
  <c r="N249" i="952" s="1"/>
  <c r="AJ234" i="953"/>
  <c r="I232" i="953" s="1"/>
  <c r="N232" i="953" s="1"/>
  <c r="AJ229" i="953"/>
  <c r="I227" i="953" s="1"/>
  <c r="N227" i="953" s="1"/>
  <c r="AJ285" i="954"/>
  <c r="I283" i="954" s="1"/>
  <c r="N283" i="954" s="1"/>
  <c r="AJ274" i="954"/>
  <c r="I272" i="954" s="1"/>
  <c r="N272" i="954" s="1"/>
  <c r="Z286" i="954"/>
  <c r="AJ246" i="954"/>
  <c r="I244" i="954" s="1"/>
  <c r="N244" i="954" s="1"/>
  <c r="AJ232" i="954"/>
  <c r="I230" i="954" s="1"/>
  <c r="N230" i="954" s="1"/>
  <c r="AJ246" i="955"/>
  <c r="I244" i="955" s="1"/>
  <c r="N244" i="955" s="1"/>
  <c r="AJ261" i="955"/>
  <c r="I259" i="955" s="1"/>
  <c r="N259" i="955" s="1"/>
  <c r="AJ274" i="955"/>
  <c r="I272" i="955" s="1"/>
  <c r="N272" i="955" s="1"/>
  <c r="AJ242" i="955"/>
  <c r="I240" i="955" s="1"/>
  <c r="N240" i="955" s="1"/>
  <c r="AJ265" i="955"/>
  <c r="I263" i="955" s="1"/>
  <c r="N263" i="955" s="1"/>
  <c r="AJ247" i="956"/>
  <c r="I245" i="956" s="1"/>
  <c r="N245" i="956" s="1"/>
  <c r="AJ244" i="956"/>
  <c r="I242" i="956" s="1"/>
  <c r="N242" i="956" s="1"/>
  <c r="AJ261" i="956"/>
  <c r="I259" i="956" s="1"/>
  <c r="N259" i="956" s="1"/>
  <c r="AJ254" i="956"/>
  <c r="I252" i="956" s="1"/>
  <c r="N252" i="956" s="1"/>
  <c r="AJ264" i="956"/>
  <c r="I262" i="956" s="1"/>
  <c r="N262" i="956" s="1"/>
  <c r="AJ296" i="956"/>
  <c r="I294" i="956" s="1"/>
  <c r="N294" i="956" s="1"/>
  <c r="AJ248" i="956"/>
  <c r="I246" i="956" s="1"/>
  <c r="N246" i="956" s="1"/>
  <c r="AG227" i="956"/>
  <c r="I1155" i="956" s="1"/>
  <c r="B327" i="956"/>
  <c r="N309" i="956"/>
  <c r="AJ267" i="957"/>
  <c r="I265" i="957" s="1"/>
  <c r="N265" i="957" s="1"/>
  <c r="AJ280" i="957"/>
  <c r="I278" i="957" s="1"/>
  <c r="N278" i="957" s="1"/>
  <c r="AJ291" i="957"/>
  <c r="I289" i="957" s="1"/>
  <c r="N289" i="957" s="1"/>
  <c r="AJ295" i="957"/>
  <c r="I293" i="957" s="1"/>
  <c r="N293" i="957" s="1"/>
  <c r="AJ240" i="958"/>
  <c r="I238" i="958" s="1"/>
  <c r="N238" i="958" s="1"/>
  <c r="AG227" i="958"/>
  <c r="I1154" i="958" s="1"/>
  <c r="AJ246" i="959"/>
  <c r="I244" i="959" s="1"/>
  <c r="N244" i="959" s="1"/>
  <c r="B340" i="959"/>
  <c r="AJ280" i="960"/>
  <c r="I278" i="960" s="1"/>
  <c r="N278" i="960" s="1"/>
  <c r="AJ290" i="960"/>
  <c r="I288" i="960" s="1"/>
  <c r="N288" i="960" s="1"/>
  <c r="AH227" i="961"/>
  <c r="C559" i="961"/>
  <c r="C709" i="961"/>
  <c r="I455" i="960"/>
  <c r="AJ92" i="960"/>
  <c r="I457" i="960" s="1"/>
  <c r="AJ282" i="952"/>
  <c r="I280" i="952" s="1"/>
  <c r="N280" i="952" s="1"/>
  <c r="AJ235" i="952"/>
  <c r="I233" i="952" s="1"/>
  <c r="N233" i="952" s="1"/>
  <c r="AJ286" i="952"/>
  <c r="I284" i="952" s="1"/>
  <c r="N284" i="952" s="1"/>
  <c r="L774" i="953"/>
  <c r="AJ290" i="953"/>
  <c r="I288" i="953" s="1"/>
  <c r="N288" i="953" s="1"/>
  <c r="AJ265" i="953"/>
  <c r="I263" i="953" s="1"/>
  <c r="N263" i="953" s="1"/>
  <c r="AJ260" i="954"/>
  <c r="I258" i="954" s="1"/>
  <c r="N258" i="954" s="1"/>
  <c r="AJ289" i="954"/>
  <c r="I287" i="954" s="1"/>
  <c r="N287" i="954" s="1"/>
  <c r="AJ297" i="954"/>
  <c r="I295" i="954" s="1"/>
  <c r="N295" i="954" s="1"/>
  <c r="AJ282" i="954"/>
  <c r="I280" i="954" s="1"/>
  <c r="N280" i="954" s="1"/>
  <c r="AJ278" i="955"/>
  <c r="I276" i="955" s="1"/>
  <c r="N276" i="955" s="1"/>
  <c r="AJ276" i="955"/>
  <c r="I274" i="955" s="1"/>
  <c r="N274" i="955" s="1"/>
  <c r="AJ285" i="955"/>
  <c r="I283" i="955" s="1"/>
  <c r="N283" i="955" s="1"/>
  <c r="I107" i="955"/>
  <c r="I102" i="955"/>
  <c r="L624" i="956"/>
  <c r="AJ252" i="956"/>
  <c r="I250" i="956" s="1"/>
  <c r="N250" i="956" s="1"/>
  <c r="AJ272" i="956"/>
  <c r="I270" i="956" s="1"/>
  <c r="N270" i="956" s="1"/>
  <c r="L534" i="957"/>
  <c r="AJ297" i="957"/>
  <c r="I295" i="957" s="1"/>
  <c r="N295" i="957" s="1"/>
  <c r="AJ274" i="957"/>
  <c r="I272" i="957" s="1"/>
  <c r="N272" i="957" s="1"/>
  <c r="AJ263" i="957"/>
  <c r="I261" i="957" s="1"/>
  <c r="N261" i="957" s="1"/>
  <c r="AJ238" i="958"/>
  <c r="I236" i="958" s="1"/>
  <c r="N236" i="958" s="1"/>
  <c r="L774" i="959"/>
  <c r="AG227" i="959"/>
  <c r="I1149" i="959" s="1"/>
  <c r="AJ263" i="960"/>
  <c r="I261" i="960" s="1"/>
  <c r="N261" i="960" s="1"/>
  <c r="AJ257" i="960"/>
  <c r="I255" i="960" s="1"/>
  <c r="N255" i="960" s="1"/>
  <c r="AJ277" i="961"/>
  <c r="I275" i="961" s="1"/>
  <c r="N275" i="961" s="1"/>
  <c r="AJ289" i="961"/>
  <c r="I287" i="961" s="1"/>
  <c r="N287" i="961" s="1"/>
  <c r="AJ287" i="961"/>
  <c r="I285" i="961" s="1"/>
  <c r="N285" i="961" s="1"/>
  <c r="AJ248" i="961"/>
  <c r="I246" i="961" s="1"/>
  <c r="N246" i="961" s="1"/>
  <c r="AJ233" i="961"/>
  <c r="I231" i="961" s="1"/>
  <c r="N231" i="961" s="1"/>
  <c r="C649" i="961"/>
  <c r="I395" i="960"/>
  <c r="AJ88" i="960"/>
  <c r="I397" i="960" s="1"/>
  <c r="AD286" i="958"/>
  <c r="AJ265" i="960"/>
  <c r="I263" i="960" s="1"/>
  <c r="N263" i="960" s="1"/>
  <c r="I395" i="961"/>
  <c r="AJ88" i="961"/>
  <c r="I397" i="961" s="1"/>
  <c r="AJ243" i="953"/>
  <c r="I241" i="953" s="1"/>
  <c r="N241" i="953" s="1"/>
  <c r="AJ281" i="958"/>
  <c r="I279" i="958" s="1"/>
  <c r="N279" i="958" s="1"/>
  <c r="AJ228" i="955"/>
  <c r="I226" i="955" s="1"/>
  <c r="K218" i="961"/>
  <c r="N103" i="961"/>
  <c r="L103" i="961"/>
  <c r="AJ275" i="961"/>
  <c r="I273" i="961" s="1"/>
  <c r="N273" i="961" s="1"/>
  <c r="AJ274" i="961"/>
  <c r="I272" i="961" s="1"/>
  <c r="N272" i="961" s="1"/>
  <c r="AJ265" i="961"/>
  <c r="I263" i="961" s="1"/>
  <c r="N263" i="961" s="1"/>
  <c r="AJ295" i="961"/>
  <c r="I293" i="961" s="1"/>
  <c r="N293" i="961" s="1"/>
  <c r="AJ291" i="961"/>
  <c r="I289" i="961" s="1"/>
  <c r="N289" i="961" s="1"/>
  <c r="AJ238" i="961"/>
  <c r="I236" i="961" s="1"/>
  <c r="N236" i="961" s="1"/>
  <c r="AJ232" i="961"/>
  <c r="I230" i="961" s="1"/>
  <c r="N230" i="961" s="1"/>
  <c r="N701" i="961"/>
  <c r="L701" i="961"/>
  <c r="N699" i="961"/>
  <c r="N616" i="961"/>
  <c r="L616" i="961"/>
  <c r="L461" i="961"/>
  <c r="N461" i="961"/>
  <c r="N731" i="961"/>
  <c r="L731" i="961"/>
  <c r="N729" i="961"/>
  <c r="N323" i="961"/>
  <c r="L323" i="961"/>
  <c r="I105" i="961"/>
  <c r="N353" i="961"/>
  <c r="L353" i="961"/>
  <c r="L413" i="961"/>
  <c r="N413" i="961"/>
  <c r="N578" i="961"/>
  <c r="L578" i="961"/>
  <c r="L564" i="961" s="1"/>
  <c r="L506" i="961"/>
  <c r="N506" i="961"/>
  <c r="L497" i="961"/>
  <c r="N497" i="961"/>
  <c r="N619" i="961"/>
  <c r="L619" i="961"/>
  <c r="I455" i="961"/>
  <c r="AJ92" i="961"/>
  <c r="I457" i="961" s="1"/>
  <c r="B83" i="961"/>
  <c r="N83" i="961"/>
  <c r="L83" i="961"/>
  <c r="B323" i="961"/>
  <c r="B322" i="961"/>
  <c r="N638" i="961"/>
  <c r="L638" i="961"/>
  <c r="L624" i="961" s="1"/>
  <c r="N102" i="961"/>
  <c r="L102" i="961"/>
  <c r="L482" i="961"/>
  <c r="N482" i="961"/>
  <c r="L751" i="961"/>
  <c r="N751" i="961"/>
  <c r="N624" i="961"/>
  <c r="L443" i="961"/>
  <c r="N443" i="961"/>
  <c r="I106" i="961"/>
  <c r="N653" i="961"/>
  <c r="L653" i="961"/>
  <c r="N683" i="961"/>
  <c r="L683" i="961"/>
  <c r="N593" i="961"/>
  <c r="L593" i="961"/>
  <c r="L579" i="961" s="1"/>
  <c r="L534" i="961"/>
  <c r="N512" i="961"/>
  <c r="L512" i="961"/>
  <c r="N491" i="961"/>
  <c r="L491" i="961"/>
  <c r="N489" i="961"/>
  <c r="AD182" i="961"/>
  <c r="AD186" i="961" s="1"/>
  <c r="I1034" i="961" s="1"/>
  <c r="AC182" i="961"/>
  <c r="AJ285" i="961"/>
  <c r="I283" i="961" s="1"/>
  <c r="N283" i="961" s="1"/>
  <c r="I335" i="961"/>
  <c r="B336" i="961" s="1"/>
  <c r="AJ82" i="961"/>
  <c r="I337" i="961" s="1"/>
  <c r="N676" i="961"/>
  <c r="L676" i="961"/>
  <c r="N669" i="961"/>
  <c r="B327" i="961"/>
  <c r="L476" i="961"/>
  <c r="N476" i="961"/>
  <c r="N338" i="961"/>
  <c r="L338" i="961"/>
  <c r="I425" i="961"/>
  <c r="AJ90" i="961"/>
  <c r="I427" i="961" s="1"/>
  <c r="N608" i="961"/>
  <c r="L608" i="961"/>
  <c r="L594" i="961" s="1"/>
  <c r="AJ260" i="961"/>
  <c r="I258" i="961" s="1"/>
  <c r="N258" i="961" s="1"/>
  <c r="AJ267" i="961"/>
  <c r="I265" i="961" s="1"/>
  <c r="N265" i="961" s="1"/>
  <c r="Z286" i="961"/>
  <c r="Z230" i="961"/>
  <c r="AG227" i="961"/>
  <c r="L661" i="961"/>
  <c r="L654" i="961" s="1"/>
  <c r="N654" i="961"/>
  <c r="N661" i="961"/>
  <c r="N679" i="961"/>
  <c r="L679" i="961"/>
  <c r="I365" i="961"/>
  <c r="AJ84" i="961"/>
  <c r="I367" i="961" s="1"/>
  <c r="N115" i="961"/>
  <c r="N114" i="961"/>
  <c r="L115" i="961"/>
  <c r="L114" i="961" s="1"/>
  <c r="N706" i="961"/>
  <c r="L706" i="961"/>
  <c r="N368" i="961"/>
  <c r="L368" i="961"/>
  <c r="I1333" i="961"/>
  <c r="I1325" i="961"/>
  <c r="I1264" i="961"/>
  <c r="I1256" i="961"/>
  <c r="I1248" i="961"/>
  <c r="I1240" i="961"/>
  <c r="I1232" i="961"/>
  <c r="I1224" i="961"/>
  <c r="I1216" i="961"/>
  <c r="I1208" i="961"/>
  <c r="I1200" i="961"/>
  <c r="I1192" i="961"/>
  <c r="I1184" i="961"/>
  <c r="I1176" i="961"/>
  <c r="I1168" i="961"/>
  <c r="I1332" i="961"/>
  <c r="I1324" i="961"/>
  <c r="P1314" i="961"/>
  <c r="I1314" i="961" s="1"/>
  <c r="P1310" i="961"/>
  <c r="I1310" i="961" s="1"/>
  <c r="P1306" i="961"/>
  <c r="I1306" i="961" s="1"/>
  <c r="P1302" i="961"/>
  <c r="I1302" i="961" s="1"/>
  <c r="P1298" i="961"/>
  <c r="I1298" i="961" s="1"/>
  <c r="P1294" i="961"/>
  <c r="I1294" i="961" s="1"/>
  <c r="P1290" i="961"/>
  <c r="I1290" i="961" s="1"/>
  <c r="P1286" i="961"/>
  <c r="I1286" i="961" s="1"/>
  <c r="P1282" i="961"/>
  <c r="I1282" i="961" s="1"/>
  <c r="P1278" i="961"/>
  <c r="I1278" i="961" s="1"/>
  <c r="P1274" i="961"/>
  <c r="I1274" i="961" s="1"/>
  <c r="P1270" i="961"/>
  <c r="I1270" i="961" s="1"/>
  <c r="I1263" i="961"/>
  <c r="I1255" i="961"/>
  <c r="I1247" i="961"/>
  <c r="I1239" i="961"/>
  <c r="I1231" i="961"/>
  <c r="I1223" i="961"/>
  <c r="I1215" i="961"/>
  <c r="I1207" i="961"/>
  <c r="I1199" i="961"/>
  <c r="I1191" i="961"/>
  <c r="I1331" i="961"/>
  <c r="I1262" i="961"/>
  <c r="I1254" i="961"/>
  <c r="I1246" i="961"/>
  <c r="I1238" i="961"/>
  <c r="I1230" i="961"/>
  <c r="I1222" i="961"/>
  <c r="I1214" i="961"/>
  <c r="I1206" i="961"/>
  <c r="I1198" i="961"/>
  <c r="I1190" i="961"/>
  <c r="I1182" i="961"/>
  <c r="I1174" i="961"/>
  <c r="I1166" i="961"/>
  <c r="I1330" i="961"/>
  <c r="P1317" i="961"/>
  <c r="I1317" i="961" s="1"/>
  <c r="I1322" i="961" s="1"/>
  <c r="P1313" i="961"/>
  <c r="I1313" i="961" s="1"/>
  <c r="P1309" i="961"/>
  <c r="I1309" i="961" s="1"/>
  <c r="P1305" i="961"/>
  <c r="I1305" i="961" s="1"/>
  <c r="P1301" i="961"/>
  <c r="I1301" i="961" s="1"/>
  <c r="P1297" i="961"/>
  <c r="I1297" i="961" s="1"/>
  <c r="P1293" i="961"/>
  <c r="I1293" i="961" s="1"/>
  <c r="P1289" i="961"/>
  <c r="I1289" i="961" s="1"/>
  <c r="P1285" i="961"/>
  <c r="I1285" i="961" s="1"/>
  <c r="P1281" i="961"/>
  <c r="I1281" i="961" s="1"/>
  <c r="P1277" i="961"/>
  <c r="I1277" i="961" s="1"/>
  <c r="P1273" i="961"/>
  <c r="I1273" i="961" s="1"/>
  <c r="I1269" i="961"/>
  <c r="I1261" i="961"/>
  <c r="I1253" i="961"/>
  <c r="I1245" i="961"/>
  <c r="I1237" i="961"/>
  <c r="I1229" i="961"/>
  <c r="I1221" i="961"/>
  <c r="I1213" i="961"/>
  <c r="I1205" i="961"/>
  <c r="I1197" i="961"/>
  <c r="I1189" i="961"/>
  <c r="I1329" i="961"/>
  <c r="I1268" i="961"/>
  <c r="I1260" i="961"/>
  <c r="I1252" i="961"/>
  <c r="I1244" i="961"/>
  <c r="I1236" i="961"/>
  <c r="I1228" i="961"/>
  <c r="I1220" i="961"/>
  <c r="I1212" i="961"/>
  <c r="I1204" i="961"/>
  <c r="I1196" i="961"/>
  <c r="I1188" i="961"/>
  <c r="I1180" i="961"/>
  <c r="I1172" i="961"/>
  <c r="I1164" i="961"/>
  <c r="I1328" i="961"/>
  <c r="P1316" i="961"/>
  <c r="I1316" i="961" s="1"/>
  <c r="P1312" i="961"/>
  <c r="I1312" i="961" s="1"/>
  <c r="P1308" i="961"/>
  <c r="I1308" i="961" s="1"/>
  <c r="P1304" i="961"/>
  <c r="I1304" i="961" s="1"/>
  <c r="P1300" i="961"/>
  <c r="I1300" i="961" s="1"/>
  <c r="P1296" i="961"/>
  <c r="I1296" i="961" s="1"/>
  <c r="P1292" i="961"/>
  <c r="I1292" i="961" s="1"/>
  <c r="P1288" i="961"/>
  <c r="I1288" i="961" s="1"/>
  <c r="P1284" i="961"/>
  <c r="I1284" i="961" s="1"/>
  <c r="P1280" i="961"/>
  <c r="I1280" i="961" s="1"/>
  <c r="P1276" i="961"/>
  <c r="I1276" i="961" s="1"/>
  <c r="P1272" i="961"/>
  <c r="I1272" i="961" s="1"/>
  <c r="I1267" i="961"/>
  <c r="I1259" i="961"/>
  <c r="I1251" i="961"/>
  <c r="I1243" i="961"/>
  <c r="I1235" i="961"/>
  <c r="I1227" i="961"/>
  <c r="I1219" i="961"/>
  <c r="I1211" i="961"/>
  <c r="I1203" i="961"/>
  <c r="I1195" i="961"/>
  <c r="I1187" i="961"/>
  <c r="I1327" i="961"/>
  <c r="I1266" i="961"/>
  <c r="I1258" i="961"/>
  <c r="I1250" i="961"/>
  <c r="I1242" i="961"/>
  <c r="I1234" i="961"/>
  <c r="I1226" i="961"/>
  <c r="I1218" i="961"/>
  <c r="I1210" i="961"/>
  <c r="I1202" i="961"/>
  <c r="I1194" i="961"/>
  <c r="I1186" i="961"/>
  <c r="I1178" i="961"/>
  <c r="I1170" i="961"/>
  <c r="I1326" i="961"/>
  <c r="P1315" i="961"/>
  <c r="I1315" i="961" s="1"/>
  <c r="P1311" i="961"/>
  <c r="I1311" i="961" s="1"/>
  <c r="P1307" i="961"/>
  <c r="I1307" i="961" s="1"/>
  <c r="P1303" i="961"/>
  <c r="I1303" i="961" s="1"/>
  <c r="P1299" i="961"/>
  <c r="I1299" i="961" s="1"/>
  <c r="P1295" i="961"/>
  <c r="I1295" i="961" s="1"/>
  <c r="P1291" i="961"/>
  <c r="I1291" i="961" s="1"/>
  <c r="P1287" i="961"/>
  <c r="I1287" i="961" s="1"/>
  <c r="P1283" i="961"/>
  <c r="I1283" i="961" s="1"/>
  <c r="P1279" i="961"/>
  <c r="I1279" i="961" s="1"/>
  <c r="P1275" i="961"/>
  <c r="I1275" i="961" s="1"/>
  <c r="P1271" i="961"/>
  <c r="I1271" i="961" s="1"/>
  <c r="I1265" i="961"/>
  <c r="I1257" i="961"/>
  <c r="I1249" i="961"/>
  <c r="I1241" i="961"/>
  <c r="I1233" i="961"/>
  <c r="I1225" i="961"/>
  <c r="I1217" i="961"/>
  <c r="I1209" i="961"/>
  <c r="I1201" i="961"/>
  <c r="I1193" i="961"/>
  <c r="I1185" i="961"/>
  <c r="I1177" i="961"/>
  <c r="I1169" i="961"/>
  <c r="I1171" i="961"/>
  <c r="I1167" i="961"/>
  <c r="I1165" i="961"/>
  <c r="I1183" i="961"/>
  <c r="I1181" i="961"/>
  <c r="I1179" i="961"/>
  <c r="I1175" i="961"/>
  <c r="I1173" i="961"/>
  <c r="N744" i="961"/>
  <c r="L746" i="961"/>
  <c r="N746" i="961"/>
  <c r="N442" i="961"/>
  <c r="L442" i="961"/>
  <c r="N713" i="961"/>
  <c r="L713" i="961"/>
  <c r="C499" i="961"/>
  <c r="C544" i="961"/>
  <c r="C529" i="961"/>
  <c r="C484" i="961"/>
  <c r="C514" i="961"/>
  <c r="C454" i="961"/>
  <c r="C394" i="961"/>
  <c r="C334" i="961"/>
  <c r="C439" i="961"/>
  <c r="C349" i="961"/>
  <c r="C364" i="961"/>
  <c r="C424" i="961"/>
  <c r="C469" i="961"/>
  <c r="C379" i="961"/>
  <c r="C319" i="961"/>
  <c r="C409" i="961"/>
  <c r="AJ243" i="961"/>
  <c r="I241" i="961" s="1"/>
  <c r="N241" i="961" s="1"/>
  <c r="AJ242" i="961"/>
  <c r="I240" i="961" s="1"/>
  <c r="N240" i="961" s="1"/>
  <c r="AJ236" i="961"/>
  <c r="I234" i="961" s="1"/>
  <c r="N234" i="961" s="1"/>
  <c r="AJ282" i="961"/>
  <c r="I280" i="961" s="1"/>
  <c r="N280" i="961" s="1"/>
  <c r="AJ256" i="961"/>
  <c r="I254" i="961" s="1"/>
  <c r="N254" i="961" s="1"/>
  <c r="AJ270" i="961"/>
  <c r="I268" i="961" s="1"/>
  <c r="N268" i="961" s="1"/>
  <c r="AJ235" i="961"/>
  <c r="I233" i="961" s="1"/>
  <c r="N233" i="961" s="1"/>
  <c r="AJ239" i="961"/>
  <c r="I237" i="961" s="1"/>
  <c r="N237" i="961" s="1"/>
  <c r="N502" i="961"/>
  <c r="L502" i="961"/>
  <c r="B329" i="961"/>
  <c r="L519" i="961"/>
  <c r="N698" i="961"/>
  <c r="L698" i="961"/>
  <c r="L684" i="961" s="1"/>
  <c r="I485" i="961"/>
  <c r="AJ96" i="961"/>
  <c r="I487" i="961" s="1"/>
  <c r="N609" i="961"/>
  <c r="N752" i="961"/>
  <c r="L752" i="961"/>
  <c r="L556" i="961"/>
  <c r="N556" i="961"/>
  <c r="N728" i="961"/>
  <c r="L728" i="961"/>
  <c r="N473" i="961"/>
  <c r="L473" i="961"/>
  <c r="AJ276" i="961"/>
  <c r="I274" i="961" s="1"/>
  <c r="N274" i="961" s="1"/>
  <c r="AJ288" i="961"/>
  <c r="I286" i="961" s="1"/>
  <c r="N286" i="961" s="1"/>
  <c r="AJ278" i="961"/>
  <c r="I276" i="961" s="1"/>
  <c r="N276" i="961" s="1"/>
  <c r="AD286" i="961"/>
  <c r="AD230" i="961"/>
  <c r="AI227" i="961"/>
  <c r="AJ237" i="961"/>
  <c r="I235" i="961" s="1"/>
  <c r="N235" i="961" s="1"/>
  <c r="AJ247" i="961"/>
  <c r="I245" i="961" s="1"/>
  <c r="N245" i="961" s="1"/>
  <c r="N322" i="961"/>
  <c r="L322" i="961"/>
  <c r="L716" i="961"/>
  <c r="N714" i="961"/>
  <c r="N716" i="961"/>
  <c r="B330" i="961"/>
  <c r="B325" i="961"/>
  <c r="B331" i="961"/>
  <c r="L428" i="961"/>
  <c r="N428" i="961"/>
  <c r="N559" i="961"/>
  <c r="L559" i="961"/>
  <c r="L743" i="961"/>
  <c r="N743" i="961"/>
  <c r="N488" i="961"/>
  <c r="L488" i="961"/>
  <c r="AJ259" i="961"/>
  <c r="I257" i="961" s="1"/>
  <c r="N257" i="961" s="1"/>
  <c r="AJ292" i="961"/>
  <c r="I290" i="961" s="1"/>
  <c r="N290" i="961" s="1"/>
  <c r="AJ258" i="961"/>
  <c r="I256" i="961" s="1"/>
  <c r="N256" i="961" s="1"/>
  <c r="AJ249" i="961"/>
  <c r="I247" i="961" s="1"/>
  <c r="N247" i="961" s="1"/>
  <c r="AJ283" i="961"/>
  <c r="I281" i="961" s="1"/>
  <c r="N281" i="961" s="1"/>
  <c r="AJ272" i="961"/>
  <c r="I270" i="961" s="1"/>
  <c r="N270" i="961" s="1"/>
  <c r="AB286" i="961"/>
  <c r="AB230" i="961"/>
  <c r="AJ231" i="961"/>
  <c r="I229" i="961" s="1"/>
  <c r="N229" i="961" s="1"/>
  <c r="AJ255" i="961"/>
  <c r="I253" i="961" s="1"/>
  <c r="N253" i="961" s="1"/>
  <c r="N646" i="961"/>
  <c r="N639" i="961"/>
  <c r="L646" i="961"/>
  <c r="AJ263" i="961"/>
  <c r="I261" i="961" s="1"/>
  <c r="N261" i="961" s="1"/>
  <c r="N351" i="961"/>
  <c r="L351" i="961"/>
  <c r="N722" i="961"/>
  <c r="L722" i="961"/>
  <c r="N309" i="961"/>
  <c r="B328" i="961"/>
  <c r="N458" i="961"/>
  <c r="L458" i="961"/>
  <c r="I100" i="961"/>
  <c r="I95" i="961"/>
  <c r="I89" i="961"/>
  <c r="I88" i="961"/>
  <c r="I87" i="961"/>
  <c r="I85" i="961"/>
  <c r="I93" i="961"/>
  <c r="I92" i="961"/>
  <c r="I99" i="961"/>
  <c r="I98" i="961"/>
  <c r="I91" i="961"/>
  <c r="I84" i="961"/>
  <c r="I97" i="961"/>
  <c r="I96" i="961"/>
  <c r="I94" i="961"/>
  <c r="B118" i="961"/>
  <c r="I90" i="961"/>
  <c r="I86" i="961"/>
  <c r="I410" i="961"/>
  <c r="AJ89" i="961"/>
  <c r="I412" i="961" s="1"/>
  <c r="N736" i="961"/>
  <c r="L736" i="961"/>
  <c r="C753" i="961"/>
  <c r="C648" i="961"/>
  <c r="C783" i="961"/>
  <c r="C723" i="961"/>
  <c r="C603" i="961"/>
  <c r="C663" i="961"/>
  <c r="C738" i="961"/>
  <c r="C678" i="961"/>
  <c r="C708" i="961"/>
  <c r="C618" i="961"/>
  <c r="C573" i="961"/>
  <c r="C588" i="961"/>
  <c r="C768" i="961"/>
  <c r="C633" i="961"/>
  <c r="C558" i="961"/>
  <c r="C693" i="961"/>
  <c r="N623" i="961"/>
  <c r="L623" i="961"/>
  <c r="N758" i="961"/>
  <c r="L758" i="961"/>
  <c r="N503" i="961"/>
  <c r="L503" i="961"/>
  <c r="AJ245" i="961"/>
  <c r="I243" i="961" s="1"/>
  <c r="N243" i="961" s="1"/>
  <c r="AJ262" i="961"/>
  <c r="I260" i="961" s="1"/>
  <c r="N260" i="961" s="1"/>
  <c r="AJ271" i="961"/>
  <c r="I269" i="961" s="1"/>
  <c r="N269" i="961" s="1"/>
  <c r="N707" i="961"/>
  <c r="L707" i="961"/>
  <c r="B334" i="961"/>
  <c r="N107" i="961"/>
  <c r="N467" i="961"/>
  <c r="L467" i="961"/>
  <c r="L737" i="961"/>
  <c r="N737" i="961"/>
  <c r="I113" i="961"/>
  <c r="I109" i="961"/>
  <c r="I112" i="961"/>
  <c r="I111" i="961"/>
  <c r="I110" i="961"/>
  <c r="N366" i="961"/>
  <c r="L366" i="961"/>
  <c r="I104" i="961"/>
  <c r="L739" i="961"/>
  <c r="N739" i="961"/>
  <c r="N563" i="961"/>
  <c r="L563" i="961"/>
  <c r="L518" i="961"/>
  <c r="N518" i="961"/>
  <c r="N103" i="960"/>
  <c r="L103" i="960"/>
  <c r="B226" i="960"/>
  <c r="N226" i="960"/>
  <c r="AJ256" i="960"/>
  <c r="I254" i="960" s="1"/>
  <c r="N254" i="960" s="1"/>
  <c r="AJ248" i="960"/>
  <c r="I246" i="960" s="1"/>
  <c r="N246" i="960" s="1"/>
  <c r="AJ288" i="960"/>
  <c r="I286" i="960" s="1"/>
  <c r="N286" i="960" s="1"/>
  <c r="AJ261" i="960"/>
  <c r="I259" i="960" s="1"/>
  <c r="N259" i="960" s="1"/>
  <c r="AJ270" i="960"/>
  <c r="I268" i="960" s="1"/>
  <c r="N268" i="960" s="1"/>
  <c r="AJ294" i="960"/>
  <c r="I292" i="960" s="1"/>
  <c r="N292" i="960" s="1"/>
  <c r="AJ255" i="960"/>
  <c r="I253" i="960" s="1"/>
  <c r="N253" i="960" s="1"/>
  <c r="AJ237" i="960"/>
  <c r="I235" i="960" s="1"/>
  <c r="N235" i="960" s="1"/>
  <c r="AD183" i="960"/>
  <c r="AC183" i="960"/>
  <c r="L467" i="960"/>
  <c r="N467" i="960"/>
  <c r="N638" i="960"/>
  <c r="L638" i="960"/>
  <c r="L624" i="960" s="1"/>
  <c r="N624" i="960"/>
  <c r="I515" i="960"/>
  <c r="AJ98" i="960"/>
  <c r="I517" i="960" s="1"/>
  <c r="N491" i="960"/>
  <c r="N489" i="960"/>
  <c r="L491" i="960"/>
  <c r="N683" i="960"/>
  <c r="L683" i="960"/>
  <c r="AJ289" i="960"/>
  <c r="I287" i="960" s="1"/>
  <c r="N287" i="960" s="1"/>
  <c r="AJ269" i="960"/>
  <c r="I267" i="960" s="1"/>
  <c r="N267" i="960" s="1"/>
  <c r="AJ278" i="960"/>
  <c r="I276" i="960" s="1"/>
  <c r="N276" i="960" s="1"/>
  <c r="AJ297" i="960"/>
  <c r="I295" i="960" s="1"/>
  <c r="N295" i="960" s="1"/>
  <c r="AJ244" i="960"/>
  <c r="I242" i="960" s="1"/>
  <c r="N242" i="960" s="1"/>
  <c r="AJ275" i="960"/>
  <c r="I273" i="960" s="1"/>
  <c r="N273" i="960" s="1"/>
  <c r="L737" i="960"/>
  <c r="N737" i="960"/>
  <c r="AJ267" i="960"/>
  <c r="I265" i="960" s="1"/>
  <c r="N265" i="960" s="1"/>
  <c r="L519" i="960"/>
  <c r="N461" i="960"/>
  <c r="L461" i="960"/>
  <c r="L62" i="960"/>
  <c r="L506" i="960"/>
  <c r="N506" i="960"/>
  <c r="N497" i="960"/>
  <c r="L497" i="960"/>
  <c r="N668" i="960"/>
  <c r="L668" i="960"/>
  <c r="I1333" i="960"/>
  <c r="I1325" i="960"/>
  <c r="I1264" i="960"/>
  <c r="I1256" i="960"/>
  <c r="I1248" i="960"/>
  <c r="I1240" i="960"/>
  <c r="I1232" i="960"/>
  <c r="I1224" i="960"/>
  <c r="I1216" i="960"/>
  <c r="I1208" i="960"/>
  <c r="I1200" i="960"/>
  <c r="I1192" i="960"/>
  <c r="I1184" i="960"/>
  <c r="I1176" i="960"/>
  <c r="I1168" i="960"/>
  <c r="I1332" i="960"/>
  <c r="I1324" i="960"/>
  <c r="P1314" i="960"/>
  <c r="I1314" i="960" s="1"/>
  <c r="P1310" i="960"/>
  <c r="I1310" i="960" s="1"/>
  <c r="P1306" i="960"/>
  <c r="I1306" i="960" s="1"/>
  <c r="P1302" i="960"/>
  <c r="I1302" i="960" s="1"/>
  <c r="P1298" i="960"/>
  <c r="I1298" i="960" s="1"/>
  <c r="P1294" i="960"/>
  <c r="I1294" i="960" s="1"/>
  <c r="P1290" i="960"/>
  <c r="I1290" i="960" s="1"/>
  <c r="P1286" i="960"/>
  <c r="I1286" i="960" s="1"/>
  <c r="P1282" i="960"/>
  <c r="I1282" i="960" s="1"/>
  <c r="P1278" i="960"/>
  <c r="I1278" i="960" s="1"/>
  <c r="P1274" i="960"/>
  <c r="I1274" i="960" s="1"/>
  <c r="P1270" i="960"/>
  <c r="I1270" i="960" s="1"/>
  <c r="I1263" i="960"/>
  <c r="I1255" i="960"/>
  <c r="I1247" i="960"/>
  <c r="I1239" i="960"/>
  <c r="I1231" i="960"/>
  <c r="I1223" i="960"/>
  <c r="I1215" i="960"/>
  <c r="I1207" i="960"/>
  <c r="I1199" i="960"/>
  <c r="I1191" i="960"/>
  <c r="I1183" i="960"/>
  <c r="I1175" i="960"/>
  <c r="I1331" i="960"/>
  <c r="I1262" i="960"/>
  <c r="I1254" i="960"/>
  <c r="I1246" i="960"/>
  <c r="I1238" i="960"/>
  <c r="I1230" i="960"/>
  <c r="I1222" i="960"/>
  <c r="I1214" i="960"/>
  <c r="I1206" i="960"/>
  <c r="I1198" i="960"/>
  <c r="I1190" i="960"/>
  <c r="I1182" i="960"/>
  <c r="I1174" i="960"/>
  <c r="I1166" i="960"/>
  <c r="I1330" i="960"/>
  <c r="P1317" i="960"/>
  <c r="I1317" i="960" s="1"/>
  <c r="I1322" i="960" s="1"/>
  <c r="P1313" i="960"/>
  <c r="I1313" i="960" s="1"/>
  <c r="P1309" i="960"/>
  <c r="I1309" i="960" s="1"/>
  <c r="P1305" i="960"/>
  <c r="I1305" i="960" s="1"/>
  <c r="P1301" i="960"/>
  <c r="I1301" i="960" s="1"/>
  <c r="P1297" i="960"/>
  <c r="I1297" i="960" s="1"/>
  <c r="P1293" i="960"/>
  <c r="I1293" i="960" s="1"/>
  <c r="P1289" i="960"/>
  <c r="I1289" i="960" s="1"/>
  <c r="P1285" i="960"/>
  <c r="I1285" i="960" s="1"/>
  <c r="P1281" i="960"/>
  <c r="I1281" i="960" s="1"/>
  <c r="P1277" i="960"/>
  <c r="I1277" i="960" s="1"/>
  <c r="P1273" i="960"/>
  <c r="I1273" i="960" s="1"/>
  <c r="I1269" i="960"/>
  <c r="I1261" i="960"/>
  <c r="I1253" i="960"/>
  <c r="I1245" i="960"/>
  <c r="I1237" i="960"/>
  <c r="I1229" i="960"/>
  <c r="I1221" i="960"/>
  <c r="I1213" i="960"/>
  <c r="I1205" i="960"/>
  <c r="I1197" i="960"/>
  <c r="I1189" i="960"/>
  <c r="I1329" i="960"/>
  <c r="I1268" i="960"/>
  <c r="I1260" i="960"/>
  <c r="I1252" i="960"/>
  <c r="I1244" i="960"/>
  <c r="I1236" i="960"/>
  <c r="I1228" i="960"/>
  <c r="I1220" i="960"/>
  <c r="I1212" i="960"/>
  <c r="I1204" i="960"/>
  <c r="I1196" i="960"/>
  <c r="I1188" i="960"/>
  <c r="I1180" i="960"/>
  <c r="I1172" i="960"/>
  <c r="I1164" i="960"/>
  <c r="I1328" i="960"/>
  <c r="P1316" i="960"/>
  <c r="I1316" i="960" s="1"/>
  <c r="P1312" i="960"/>
  <c r="I1312" i="960" s="1"/>
  <c r="P1308" i="960"/>
  <c r="I1308" i="960" s="1"/>
  <c r="P1304" i="960"/>
  <c r="I1304" i="960" s="1"/>
  <c r="P1300" i="960"/>
  <c r="I1300" i="960" s="1"/>
  <c r="P1296" i="960"/>
  <c r="I1296" i="960" s="1"/>
  <c r="P1292" i="960"/>
  <c r="I1292" i="960" s="1"/>
  <c r="P1288" i="960"/>
  <c r="I1288" i="960" s="1"/>
  <c r="P1284" i="960"/>
  <c r="I1284" i="960" s="1"/>
  <c r="P1280" i="960"/>
  <c r="I1280" i="960" s="1"/>
  <c r="P1276" i="960"/>
  <c r="I1276" i="960" s="1"/>
  <c r="P1272" i="960"/>
  <c r="I1272" i="960" s="1"/>
  <c r="I1267" i="960"/>
  <c r="I1259" i="960"/>
  <c r="I1251" i="960"/>
  <c r="I1243" i="960"/>
  <c r="I1235" i="960"/>
  <c r="I1227" i="960"/>
  <c r="I1219" i="960"/>
  <c r="I1211" i="960"/>
  <c r="I1203" i="960"/>
  <c r="I1195" i="960"/>
  <c r="I1187" i="960"/>
  <c r="I1179" i="960"/>
  <c r="I1171" i="960"/>
  <c r="I1327" i="960"/>
  <c r="I1266" i="960"/>
  <c r="I1258" i="960"/>
  <c r="I1250" i="960"/>
  <c r="I1242" i="960"/>
  <c r="I1234" i="960"/>
  <c r="I1226" i="960"/>
  <c r="I1218" i="960"/>
  <c r="I1210" i="960"/>
  <c r="I1202" i="960"/>
  <c r="I1194" i="960"/>
  <c r="I1186" i="960"/>
  <c r="I1178" i="960"/>
  <c r="I1170" i="960"/>
  <c r="I1326" i="960"/>
  <c r="P1315" i="960"/>
  <c r="I1315" i="960" s="1"/>
  <c r="P1311" i="960"/>
  <c r="I1311" i="960" s="1"/>
  <c r="P1307" i="960"/>
  <c r="I1307" i="960" s="1"/>
  <c r="P1303" i="960"/>
  <c r="I1303" i="960" s="1"/>
  <c r="P1299" i="960"/>
  <c r="I1299" i="960" s="1"/>
  <c r="P1295" i="960"/>
  <c r="I1295" i="960" s="1"/>
  <c r="P1291" i="960"/>
  <c r="I1291" i="960" s="1"/>
  <c r="P1287" i="960"/>
  <c r="I1287" i="960" s="1"/>
  <c r="P1283" i="960"/>
  <c r="I1283" i="960" s="1"/>
  <c r="P1279" i="960"/>
  <c r="I1279" i="960" s="1"/>
  <c r="P1275" i="960"/>
  <c r="I1275" i="960" s="1"/>
  <c r="P1271" i="960"/>
  <c r="I1271" i="960" s="1"/>
  <c r="I1265" i="960"/>
  <c r="I1257" i="960"/>
  <c r="I1249" i="960"/>
  <c r="I1241" i="960"/>
  <c r="I1233" i="960"/>
  <c r="I1225" i="960"/>
  <c r="I1181" i="960"/>
  <c r="I1177" i="960"/>
  <c r="I1173" i="960"/>
  <c r="I1217" i="960"/>
  <c r="I1169" i="960"/>
  <c r="I1209" i="960"/>
  <c r="I1167" i="960"/>
  <c r="I1201" i="960"/>
  <c r="I1165" i="960"/>
  <c r="I1185" i="960"/>
  <c r="I1193" i="960"/>
  <c r="C649" i="960"/>
  <c r="C724" i="960"/>
  <c r="C679" i="960"/>
  <c r="C664" i="960"/>
  <c r="C754" i="960"/>
  <c r="C739" i="960"/>
  <c r="C694" i="960"/>
  <c r="C709" i="960"/>
  <c r="C784" i="960"/>
  <c r="C619" i="960"/>
  <c r="C634" i="960"/>
  <c r="C574" i="960"/>
  <c r="C559" i="960"/>
  <c r="C604" i="960"/>
  <c r="C589" i="960"/>
  <c r="N752" i="960"/>
  <c r="L752" i="960"/>
  <c r="AJ283" i="960"/>
  <c r="I281" i="960" s="1"/>
  <c r="N281" i="960" s="1"/>
  <c r="AJ234" i="960"/>
  <c r="I232" i="960" s="1"/>
  <c r="N232" i="960" s="1"/>
  <c r="AJ252" i="960"/>
  <c r="I250" i="960" s="1"/>
  <c r="N250" i="960" s="1"/>
  <c r="AJ292" i="960"/>
  <c r="I290" i="960" s="1"/>
  <c r="N290" i="960" s="1"/>
  <c r="N736" i="960"/>
  <c r="L736" i="960"/>
  <c r="N729" i="960"/>
  <c r="N731" i="960"/>
  <c r="L731" i="960"/>
  <c r="AD286" i="960"/>
  <c r="AI227" i="960"/>
  <c r="AD230" i="960"/>
  <c r="B118" i="960"/>
  <c r="I98" i="960"/>
  <c r="I90" i="960"/>
  <c r="I100" i="960"/>
  <c r="I86" i="960"/>
  <c r="I97" i="960"/>
  <c r="I93" i="960"/>
  <c r="I89" i="960"/>
  <c r="I99" i="960"/>
  <c r="I96" i="960"/>
  <c r="I92" i="960"/>
  <c r="I88" i="960"/>
  <c r="I87" i="960"/>
  <c r="I85" i="960"/>
  <c r="I95" i="960"/>
  <c r="I94" i="960"/>
  <c r="I91" i="960"/>
  <c r="I84" i="960"/>
  <c r="N367" i="960"/>
  <c r="L367" i="960"/>
  <c r="N354" i="960"/>
  <c r="N512" i="960"/>
  <c r="L512" i="960"/>
  <c r="N443" i="960"/>
  <c r="L443" i="960"/>
  <c r="L518" i="960"/>
  <c r="N518" i="960"/>
  <c r="L563" i="960"/>
  <c r="L549" i="960" s="1"/>
  <c r="N563" i="960"/>
  <c r="AJ250" i="960"/>
  <c r="I248" i="960" s="1"/>
  <c r="N248" i="960" s="1"/>
  <c r="AJ260" i="960"/>
  <c r="I258" i="960" s="1"/>
  <c r="N258" i="960" s="1"/>
  <c r="AJ293" i="960"/>
  <c r="I291" i="960" s="1"/>
  <c r="N291" i="960" s="1"/>
  <c r="AB286" i="960"/>
  <c r="AH227" i="960"/>
  <c r="AB230" i="960"/>
  <c r="AJ251" i="960"/>
  <c r="I249" i="960" s="1"/>
  <c r="N249" i="960" s="1"/>
  <c r="AD182" i="960"/>
  <c r="AC182" i="960"/>
  <c r="AJ238" i="960"/>
  <c r="I236" i="960" s="1"/>
  <c r="N236" i="960" s="1"/>
  <c r="L751" i="960"/>
  <c r="N751" i="960"/>
  <c r="I470" i="960"/>
  <c r="AJ95" i="960"/>
  <c r="I472" i="960" s="1"/>
  <c r="N351" i="960"/>
  <c r="L351" i="960"/>
  <c r="N502" i="960"/>
  <c r="L502" i="960"/>
  <c r="I425" i="960"/>
  <c r="AJ90" i="960"/>
  <c r="I427" i="960" s="1"/>
  <c r="N381" i="960"/>
  <c r="L381" i="960"/>
  <c r="N338" i="960"/>
  <c r="L338" i="960"/>
  <c r="N698" i="960"/>
  <c r="L698" i="960"/>
  <c r="L684" i="960" s="1"/>
  <c r="L368" i="960"/>
  <c r="N368" i="960"/>
  <c r="N571" i="960"/>
  <c r="L571" i="960"/>
  <c r="N473" i="960"/>
  <c r="L473" i="960"/>
  <c r="L578" i="960"/>
  <c r="N578" i="960"/>
  <c r="C514" i="960"/>
  <c r="C529" i="960"/>
  <c r="C439" i="960"/>
  <c r="C394" i="960"/>
  <c r="C349" i="960"/>
  <c r="C499" i="960"/>
  <c r="C469" i="960"/>
  <c r="C364" i="960"/>
  <c r="C424" i="960"/>
  <c r="C409" i="960"/>
  <c r="C544" i="960"/>
  <c r="C454" i="960"/>
  <c r="C379" i="960"/>
  <c r="C319" i="960"/>
  <c r="C484" i="960"/>
  <c r="C334" i="960"/>
  <c r="AJ291" i="960"/>
  <c r="I289" i="960" s="1"/>
  <c r="N289" i="960" s="1"/>
  <c r="N744" i="960"/>
  <c r="L746" i="960"/>
  <c r="N746" i="960"/>
  <c r="I320" i="960"/>
  <c r="AJ81" i="960"/>
  <c r="I322" i="960" s="1"/>
  <c r="L476" i="960"/>
  <c r="N476" i="960"/>
  <c r="N474" i="960"/>
  <c r="N488" i="960"/>
  <c r="L488" i="960"/>
  <c r="L593" i="960"/>
  <c r="L579" i="960" s="1"/>
  <c r="N593" i="960"/>
  <c r="N758" i="960"/>
  <c r="L758" i="960"/>
  <c r="N104" i="960"/>
  <c r="L104" i="960"/>
  <c r="L115" i="960"/>
  <c r="L114" i="960" s="1"/>
  <c r="N114" i="960"/>
  <c r="N115" i="960"/>
  <c r="N482" i="960"/>
  <c r="L482" i="960"/>
  <c r="N503" i="960"/>
  <c r="L503" i="960"/>
  <c r="L608" i="960"/>
  <c r="L594" i="960" s="1"/>
  <c r="N608" i="960"/>
  <c r="N728" i="960"/>
  <c r="L728" i="960"/>
  <c r="AJ287" i="960"/>
  <c r="I285" i="960" s="1"/>
  <c r="N285" i="960" s="1"/>
  <c r="AJ281" i="960"/>
  <c r="I279" i="960" s="1"/>
  <c r="N279" i="960" s="1"/>
  <c r="N707" i="960"/>
  <c r="L707" i="960"/>
  <c r="AJ286" i="960"/>
  <c r="I284" i="960" s="1"/>
  <c r="N284" i="960" s="1"/>
  <c r="Z286" i="960"/>
  <c r="Z230" i="960"/>
  <c r="AG227" i="960"/>
  <c r="L716" i="960"/>
  <c r="N714" i="960"/>
  <c r="N716" i="960"/>
  <c r="N653" i="960"/>
  <c r="L653" i="960"/>
  <c r="L646" i="960"/>
  <c r="N646" i="960"/>
  <c r="N639" i="960"/>
  <c r="L458" i="960"/>
  <c r="N458" i="960"/>
  <c r="N398" i="960"/>
  <c r="L398" i="960"/>
  <c r="N676" i="960"/>
  <c r="N669" i="960"/>
  <c r="L676" i="960"/>
  <c r="N412" i="960"/>
  <c r="L412" i="960"/>
  <c r="L399" i="960" s="1"/>
  <c r="N399" i="960"/>
  <c r="I111" i="960"/>
  <c r="I112" i="960"/>
  <c r="I110" i="960"/>
  <c r="I113" i="960"/>
  <c r="I109" i="960"/>
  <c r="I107" i="960"/>
  <c r="K302" i="960"/>
  <c r="K218" i="960"/>
  <c r="K130" i="960"/>
  <c r="K75" i="960"/>
  <c r="I108" i="960"/>
  <c r="N623" i="960"/>
  <c r="L623" i="960"/>
  <c r="L609" i="960" s="1"/>
  <c r="N713" i="960"/>
  <c r="L713" i="960"/>
  <c r="AJ242" i="960"/>
  <c r="I240" i="960" s="1"/>
  <c r="N240" i="960" s="1"/>
  <c r="AJ253" i="960"/>
  <c r="I251" i="960" s="1"/>
  <c r="N251" i="960" s="1"/>
  <c r="AJ262" i="960"/>
  <c r="I260" i="960" s="1"/>
  <c r="N260" i="960" s="1"/>
  <c r="N701" i="960"/>
  <c r="N699" i="960"/>
  <c r="L701" i="960"/>
  <c r="N722" i="960"/>
  <c r="L722" i="960"/>
  <c r="N649" i="960"/>
  <c r="L649" i="960"/>
  <c r="I440" i="960"/>
  <c r="AJ91" i="960"/>
  <c r="I442" i="960" s="1"/>
  <c r="N383" i="960"/>
  <c r="L383" i="960"/>
  <c r="I335" i="960"/>
  <c r="AJ82" i="960"/>
  <c r="I337" i="960" s="1"/>
  <c r="N679" i="960"/>
  <c r="L679" i="960"/>
  <c r="N366" i="960"/>
  <c r="L366" i="960"/>
  <c r="C753" i="960"/>
  <c r="C693" i="960"/>
  <c r="C633" i="960"/>
  <c r="C663" i="960"/>
  <c r="C648" i="960"/>
  <c r="C738" i="960"/>
  <c r="C708" i="960"/>
  <c r="C768" i="960"/>
  <c r="C783" i="960"/>
  <c r="C588" i="960"/>
  <c r="C678" i="960"/>
  <c r="C618" i="960"/>
  <c r="C723" i="960"/>
  <c r="C603" i="960"/>
  <c r="C573" i="960"/>
  <c r="C558" i="960"/>
  <c r="L743" i="960"/>
  <c r="N743" i="960"/>
  <c r="N102" i="959"/>
  <c r="L102" i="959"/>
  <c r="N83" i="959"/>
  <c r="L83" i="959"/>
  <c r="B83" i="959"/>
  <c r="AJ278" i="959"/>
  <c r="I276" i="959" s="1"/>
  <c r="N276" i="959" s="1"/>
  <c r="AJ272" i="959"/>
  <c r="I270" i="959" s="1"/>
  <c r="N270" i="959" s="1"/>
  <c r="AJ274" i="959"/>
  <c r="I272" i="959" s="1"/>
  <c r="N272" i="959" s="1"/>
  <c r="AJ291" i="959"/>
  <c r="I289" i="959" s="1"/>
  <c r="N289" i="959" s="1"/>
  <c r="AJ285" i="959"/>
  <c r="I283" i="959" s="1"/>
  <c r="N283" i="959" s="1"/>
  <c r="L661" i="959"/>
  <c r="N654" i="959"/>
  <c r="N661" i="959"/>
  <c r="N497" i="959"/>
  <c r="L497" i="959"/>
  <c r="N467" i="959"/>
  <c r="L467" i="959"/>
  <c r="B323" i="959"/>
  <c r="B345" i="959"/>
  <c r="N395" i="959"/>
  <c r="L395" i="959"/>
  <c r="N593" i="959"/>
  <c r="L593" i="959"/>
  <c r="N413" i="959"/>
  <c r="L413" i="959"/>
  <c r="N676" i="959"/>
  <c r="L676" i="959"/>
  <c r="N669" i="959"/>
  <c r="N631" i="959"/>
  <c r="N624" i="959"/>
  <c r="L631" i="959"/>
  <c r="AJ256" i="959"/>
  <c r="I254" i="959" s="1"/>
  <c r="N254" i="959" s="1"/>
  <c r="L751" i="959"/>
  <c r="N751" i="959"/>
  <c r="AJ292" i="959"/>
  <c r="I290" i="959" s="1"/>
  <c r="N290" i="959" s="1"/>
  <c r="AJ280" i="959"/>
  <c r="I278" i="959" s="1"/>
  <c r="N278" i="959" s="1"/>
  <c r="AJ282" i="959"/>
  <c r="I280" i="959" s="1"/>
  <c r="N280" i="959" s="1"/>
  <c r="AJ296" i="959"/>
  <c r="I294" i="959" s="1"/>
  <c r="N294" i="959" s="1"/>
  <c r="AJ289" i="959"/>
  <c r="I287" i="959" s="1"/>
  <c r="N287" i="959" s="1"/>
  <c r="AB286" i="959"/>
  <c r="AB230" i="959"/>
  <c r="AH227" i="959"/>
  <c r="N491" i="959"/>
  <c r="L491" i="959"/>
  <c r="AJ239" i="959"/>
  <c r="I237" i="959" s="1"/>
  <c r="N237" i="959" s="1"/>
  <c r="I455" i="959"/>
  <c r="AJ92" i="959"/>
  <c r="I457" i="959" s="1"/>
  <c r="N506" i="959"/>
  <c r="L506" i="959"/>
  <c r="N336" i="959"/>
  <c r="L336" i="959"/>
  <c r="B329" i="959"/>
  <c r="B321" i="959"/>
  <c r="N683" i="959"/>
  <c r="L683" i="959"/>
  <c r="L623" i="959"/>
  <c r="N623" i="959"/>
  <c r="N458" i="959"/>
  <c r="L458" i="959"/>
  <c r="AJ294" i="959"/>
  <c r="I292" i="959" s="1"/>
  <c r="N292" i="959" s="1"/>
  <c r="AJ290" i="959"/>
  <c r="I288" i="959" s="1"/>
  <c r="N288" i="959" s="1"/>
  <c r="AJ288" i="959"/>
  <c r="I286" i="959" s="1"/>
  <c r="N286" i="959" s="1"/>
  <c r="AJ268" i="959"/>
  <c r="I266" i="959" s="1"/>
  <c r="N266" i="959" s="1"/>
  <c r="AJ293" i="959"/>
  <c r="I291" i="959" s="1"/>
  <c r="N291" i="959" s="1"/>
  <c r="L707" i="959"/>
  <c r="N707" i="959"/>
  <c r="AJ240" i="959"/>
  <c r="I238" i="959" s="1"/>
  <c r="N238" i="959" s="1"/>
  <c r="AJ230" i="959"/>
  <c r="I228" i="959" s="1"/>
  <c r="AJ247" i="959"/>
  <c r="I245" i="959" s="1"/>
  <c r="N245" i="959" s="1"/>
  <c r="Z230" i="959"/>
  <c r="N744" i="959"/>
  <c r="L746" i="959"/>
  <c r="N746" i="959"/>
  <c r="N638" i="959"/>
  <c r="L638" i="959"/>
  <c r="N512" i="959"/>
  <c r="L512" i="959"/>
  <c r="I485" i="959"/>
  <c r="AJ96" i="959"/>
  <c r="I487" i="959" s="1"/>
  <c r="N383" i="959"/>
  <c r="L383" i="959"/>
  <c r="N337" i="959"/>
  <c r="L337" i="959"/>
  <c r="B342" i="959"/>
  <c r="N324" i="959"/>
  <c r="I112" i="959"/>
  <c r="I113" i="959"/>
  <c r="I111" i="959"/>
  <c r="I109" i="959"/>
  <c r="I110" i="959"/>
  <c r="N668" i="959"/>
  <c r="L668" i="959"/>
  <c r="N488" i="959"/>
  <c r="L488" i="959"/>
  <c r="N578" i="959"/>
  <c r="L578" i="959"/>
  <c r="L564" i="959" s="1"/>
  <c r="N428" i="959"/>
  <c r="L428" i="959"/>
  <c r="L414" i="959" s="1"/>
  <c r="K302" i="959"/>
  <c r="K130" i="959"/>
  <c r="K218" i="959"/>
  <c r="K75" i="959"/>
  <c r="L534" i="959"/>
  <c r="AJ238" i="959"/>
  <c r="I236" i="959" s="1"/>
  <c r="N236" i="959" s="1"/>
  <c r="AJ233" i="959"/>
  <c r="I231" i="959" s="1"/>
  <c r="N231" i="959" s="1"/>
  <c r="AJ249" i="959"/>
  <c r="I247" i="959" s="1"/>
  <c r="N247" i="959" s="1"/>
  <c r="AJ236" i="959"/>
  <c r="I234" i="959" s="1"/>
  <c r="N234" i="959" s="1"/>
  <c r="AJ265" i="959"/>
  <c r="I263" i="959" s="1"/>
  <c r="N263" i="959" s="1"/>
  <c r="AJ276" i="959"/>
  <c r="I274" i="959" s="1"/>
  <c r="N274" i="959" s="1"/>
  <c r="AJ295" i="959"/>
  <c r="I293" i="959" s="1"/>
  <c r="N293" i="959" s="1"/>
  <c r="N699" i="959"/>
  <c r="N701" i="959"/>
  <c r="L701" i="959"/>
  <c r="AJ248" i="959"/>
  <c r="I246" i="959" s="1"/>
  <c r="N246" i="959" s="1"/>
  <c r="L752" i="959"/>
  <c r="N752" i="959"/>
  <c r="N321" i="959"/>
  <c r="L321" i="959"/>
  <c r="N103" i="959"/>
  <c r="N482" i="959"/>
  <c r="L482" i="959"/>
  <c r="I365" i="959"/>
  <c r="AJ84" i="959"/>
  <c r="I367" i="959" s="1"/>
  <c r="B346" i="959"/>
  <c r="N309" i="959"/>
  <c r="L62" i="959"/>
  <c r="N114" i="959"/>
  <c r="N115" i="959"/>
  <c r="L115" i="959"/>
  <c r="L114" i="959" s="1"/>
  <c r="N384" i="959"/>
  <c r="I410" i="959"/>
  <c r="AJ89" i="959"/>
  <c r="I412" i="959" s="1"/>
  <c r="N653" i="959"/>
  <c r="L653" i="959"/>
  <c r="L639" i="959" s="1"/>
  <c r="N503" i="959"/>
  <c r="L503" i="959"/>
  <c r="N608" i="959"/>
  <c r="L608" i="959"/>
  <c r="L594" i="959" s="1"/>
  <c r="N443" i="959"/>
  <c r="L443" i="959"/>
  <c r="L716" i="959"/>
  <c r="N714" i="959"/>
  <c r="N716" i="959"/>
  <c r="AJ234" i="959"/>
  <c r="I232" i="959" s="1"/>
  <c r="N232" i="959" s="1"/>
  <c r="AJ263" i="959"/>
  <c r="I261" i="959" s="1"/>
  <c r="N261" i="959" s="1"/>
  <c r="AJ273" i="959"/>
  <c r="I271" i="959" s="1"/>
  <c r="N271" i="959" s="1"/>
  <c r="AJ267" i="959"/>
  <c r="I265" i="959" s="1"/>
  <c r="N265" i="959" s="1"/>
  <c r="AJ284" i="959"/>
  <c r="I282" i="959" s="1"/>
  <c r="N282" i="959" s="1"/>
  <c r="AJ297" i="959"/>
  <c r="I295" i="959" s="1"/>
  <c r="N295" i="959" s="1"/>
  <c r="I440" i="959"/>
  <c r="AJ91" i="959"/>
  <c r="I442" i="959" s="1"/>
  <c r="N476" i="959"/>
  <c r="L476" i="959"/>
  <c r="B331" i="959"/>
  <c r="B338" i="959"/>
  <c r="N323" i="959"/>
  <c r="L323" i="959"/>
  <c r="N698" i="959"/>
  <c r="L698" i="959"/>
  <c r="L518" i="959"/>
  <c r="N518" i="959"/>
  <c r="I108" i="959"/>
  <c r="N728" i="959"/>
  <c r="L728" i="959"/>
  <c r="I1333" i="959"/>
  <c r="I1325" i="959"/>
  <c r="I1264" i="959"/>
  <c r="I1256" i="959"/>
  <c r="I1248" i="959"/>
  <c r="I1240" i="959"/>
  <c r="I1232" i="959"/>
  <c r="I1224" i="959"/>
  <c r="I1216" i="959"/>
  <c r="I1208" i="959"/>
  <c r="I1200" i="959"/>
  <c r="I1192" i="959"/>
  <c r="I1184" i="959"/>
  <c r="I1176" i="959"/>
  <c r="I1168" i="959"/>
  <c r="I1332" i="959"/>
  <c r="I1324" i="959"/>
  <c r="P1314" i="959"/>
  <c r="I1314" i="959" s="1"/>
  <c r="P1310" i="959"/>
  <c r="I1310" i="959" s="1"/>
  <c r="P1306" i="959"/>
  <c r="I1306" i="959" s="1"/>
  <c r="P1302" i="959"/>
  <c r="I1302" i="959" s="1"/>
  <c r="P1298" i="959"/>
  <c r="I1298" i="959" s="1"/>
  <c r="P1294" i="959"/>
  <c r="I1294" i="959" s="1"/>
  <c r="P1290" i="959"/>
  <c r="I1290" i="959" s="1"/>
  <c r="P1286" i="959"/>
  <c r="I1286" i="959" s="1"/>
  <c r="P1282" i="959"/>
  <c r="I1282" i="959" s="1"/>
  <c r="P1278" i="959"/>
  <c r="I1278" i="959" s="1"/>
  <c r="P1274" i="959"/>
  <c r="I1274" i="959" s="1"/>
  <c r="P1270" i="959"/>
  <c r="I1270" i="959" s="1"/>
  <c r="I1263" i="959"/>
  <c r="I1255" i="959"/>
  <c r="I1247" i="959"/>
  <c r="I1239" i="959"/>
  <c r="I1231" i="959"/>
  <c r="I1223" i="959"/>
  <c r="I1215" i="959"/>
  <c r="I1207" i="959"/>
  <c r="I1199" i="959"/>
  <c r="I1191" i="959"/>
  <c r="I1331" i="959"/>
  <c r="I1262" i="959"/>
  <c r="I1254" i="959"/>
  <c r="I1246" i="959"/>
  <c r="I1238" i="959"/>
  <c r="I1230" i="959"/>
  <c r="I1222" i="959"/>
  <c r="I1214" i="959"/>
  <c r="I1206" i="959"/>
  <c r="I1198" i="959"/>
  <c r="I1190" i="959"/>
  <c r="I1182" i="959"/>
  <c r="I1174" i="959"/>
  <c r="I1166" i="959"/>
  <c r="I1330" i="959"/>
  <c r="P1317" i="959"/>
  <c r="I1317" i="959" s="1"/>
  <c r="I1322" i="959" s="1"/>
  <c r="P1313" i="959"/>
  <c r="I1313" i="959" s="1"/>
  <c r="P1309" i="959"/>
  <c r="I1309" i="959" s="1"/>
  <c r="P1305" i="959"/>
  <c r="I1305" i="959" s="1"/>
  <c r="P1301" i="959"/>
  <c r="I1301" i="959" s="1"/>
  <c r="P1297" i="959"/>
  <c r="I1297" i="959" s="1"/>
  <c r="P1293" i="959"/>
  <c r="I1293" i="959" s="1"/>
  <c r="P1289" i="959"/>
  <c r="I1289" i="959" s="1"/>
  <c r="P1285" i="959"/>
  <c r="I1285" i="959" s="1"/>
  <c r="P1281" i="959"/>
  <c r="I1281" i="959" s="1"/>
  <c r="P1277" i="959"/>
  <c r="I1277" i="959" s="1"/>
  <c r="P1273" i="959"/>
  <c r="I1273" i="959" s="1"/>
  <c r="I1269" i="959"/>
  <c r="I1261" i="959"/>
  <c r="I1253" i="959"/>
  <c r="I1245" i="959"/>
  <c r="I1237" i="959"/>
  <c r="I1229" i="959"/>
  <c r="I1221" i="959"/>
  <c r="I1213" i="959"/>
  <c r="I1205" i="959"/>
  <c r="I1197" i="959"/>
  <c r="I1189" i="959"/>
  <c r="I1181" i="959"/>
  <c r="I1329" i="959"/>
  <c r="I1268" i="959"/>
  <c r="I1260" i="959"/>
  <c r="I1252" i="959"/>
  <c r="I1244" i="959"/>
  <c r="I1236" i="959"/>
  <c r="I1228" i="959"/>
  <c r="I1220" i="959"/>
  <c r="I1212" i="959"/>
  <c r="I1204" i="959"/>
  <c r="I1196" i="959"/>
  <c r="I1188" i="959"/>
  <c r="I1180" i="959"/>
  <c r="I1172" i="959"/>
  <c r="I1164" i="959"/>
  <c r="I1328" i="959"/>
  <c r="P1316" i="959"/>
  <c r="I1316" i="959" s="1"/>
  <c r="P1312" i="959"/>
  <c r="I1312" i="959" s="1"/>
  <c r="P1308" i="959"/>
  <c r="I1308" i="959" s="1"/>
  <c r="P1304" i="959"/>
  <c r="I1304" i="959" s="1"/>
  <c r="P1300" i="959"/>
  <c r="I1300" i="959" s="1"/>
  <c r="P1296" i="959"/>
  <c r="I1296" i="959" s="1"/>
  <c r="P1292" i="959"/>
  <c r="I1292" i="959" s="1"/>
  <c r="P1288" i="959"/>
  <c r="I1288" i="959" s="1"/>
  <c r="P1284" i="959"/>
  <c r="I1284" i="959" s="1"/>
  <c r="P1280" i="959"/>
  <c r="I1280" i="959" s="1"/>
  <c r="P1276" i="959"/>
  <c r="I1276" i="959" s="1"/>
  <c r="P1272" i="959"/>
  <c r="I1272" i="959" s="1"/>
  <c r="I1267" i="959"/>
  <c r="I1259" i="959"/>
  <c r="I1251" i="959"/>
  <c r="I1243" i="959"/>
  <c r="I1235" i="959"/>
  <c r="I1227" i="959"/>
  <c r="I1219" i="959"/>
  <c r="I1211" i="959"/>
  <c r="I1203" i="959"/>
  <c r="I1195" i="959"/>
  <c r="I1187" i="959"/>
  <c r="I1327" i="959"/>
  <c r="I1266" i="959"/>
  <c r="I1258" i="959"/>
  <c r="I1250" i="959"/>
  <c r="I1242" i="959"/>
  <c r="I1234" i="959"/>
  <c r="I1226" i="959"/>
  <c r="I1218" i="959"/>
  <c r="I1210" i="959"/>
  <c r="I1202" i="959"/>
  <c r="I1194" i="959"/>
  <c r="I1186" i="959"/>
  <c r="I1178" i="959"/>
  <c r="I1170" i="959"/>
  <c r="I1326" i="959"/>
  <c r="P1315" i="959"/>
  <c r="I1315" i="959" s="1"/>
  <c r="P1311" i="959"/>
  <c r="I1311" i="959" s="1"/>
  <c r="P1307" i="959"/>
  <c r="I1307" i="959" s="1"/>
  <c r="P1303" i="959"/>
  <c r="I1303" i="959" s="1"/>
  <c r="P1299" i="959"/>
  <c r="I1299" i="959" s="1"/>
  <c r="P1295" i="959"/>
  <c r="I1295" i="959" s="1"/>
  <c r="P1291" i="959"/>
  <c r="I1291" i="959" s="1"/>
  <c r="P1287" i="959"/>
  <c r="I1287" i="959" s="1"/>
  <c r="P1283" i="959"/>
  <c r="I1283" i="959" s="1"/>
  <c r="P1279" i="959"/>
  <c r="I1279" i="959" s="1"/>
  <c r="P1275" i="959"/>
  <c r="I1275" i="959" s="1"/>
  <c r="P1271" i="959"/>
  <c r="I1271" i="959" s="1"/>
  <c r="I1265" i="959"/>
  <c r="I1257" i="959"/>
  <c r="I1249" i="959"/>
  <c r="I1241" i="959"/>
  <c r="I1233" i="959"/>
  <c r="I1225" i="959"/>
  <c r="I1217" i="959"/>
  <c r="I1209" i="959"/>
  <c r="I1201" i="959"/>
  <c r="I1193" i="959"/>
  <c r="I1185" i="959"/>
  <c r="I1177" i="959"/>
  <c r="I1169" i="959"/>
  <c r="I1167" i="959"/>
  <c r="I1165" i="959"/>
  <c r="I1183" i="959"/>
  <c r="I1179" i="959"/>
  <c r="I1175" i="959"/>
  <c r="I1173" i="959"/>
  <c r="I1171" i="959"/>
  <c r="AD230" i="959"/>
  <c r="AI227" i="959"/>
  <c r="L737" i="959"/>
  <c r="N737" i="959"/>
  <c r="AJ264" i="959"/>
  <c r="I262" i="959" s="1"/>
  <c r="N262" i="959" s="1"/>
  <c r="N722" i="959"/>
  <c r="L722" i="959"/>
  <c r="AD286" i="959"/>
  <c r="AJ254" i="959"/>
  <c r="I252" i="959" s="1"/>
  <c r="N252" i="959" s="1"/>
  <c r="AJ271" i="959"/>
  <c r="I269" i="959" s="1"/>
  <c r="N269" i="959" s="1"/>
  <c r="AJ281" i="959"/>
  <c r="I279" i="959" s="1"/>
  <c r="N279" i="959" s="1"/>
  <c r="AJ275" i="959"/>
  <c r="I273" i="959" s="1"/>
  <c r="N273" i="959" s="1"/>
  <c r="AJ261" i="959"/>
  <c r="I259" i="959" s="1"/>
  <c r="N259" i="959" s="1"/>
  <c r="AD182" i="959"/>
  <c r="AC182" i="959"/>
  <c r="I380" i="959"/>
  <c r="AJ85" i="959"/>
  <c r="I382" i="959" s="1"/>
  <c r="N556" i="959"/>
  <c r="L556" i="959"/>
  <c r="I470" i="959"/>
  <c r="AJ95" i="959"/>
  <c r="I472" i="959" s="1"/>
  <c r="L322" i="959"/>
  <c r="N322" i="959"/>
  <c r="B334" i="959"/>
  <c r="B343" i="959"/>
  <c r="B328" i="959"/>
  <c r="B325" i="959"/>
  <c r="N368" i="959"/>
  <c r="L368" i="959"/>
  <c r="B118" i="959"/>
  <c r="I96" i="959"/>
  <c r="I92" i="959"/>
  <c r="I88" i="959"/>
  <c r="I87" i="959"/>
  <c r="I94" i="959"/>
  <c r="I99" i="959"/>
  <c r="I95" i="959"/>
  <c r="I91" i="959"/>
  <c r="I90" i="959"/>
  <c r="I89" i="959"/>
  <c r="I86" i="959"/>
  <c r="I100" i="959"/>
  <c r="I93" i="959"/>
  <c r="I84" i="959"/>
  <c r="I85" i="959"/>
  <c r="I98" i="959"/>
  <c r="I97" i="959"/>
  <c r="L473" i="959"/>
  <c r="N473" i="959"/>
  <c r="L743" i="959"/>
  <c r="N743" i="959"/>
  <c r="L731" i="959"/>
  <c r="N729" i="959"/>
  <c r="N731" i="959"/>
  <c r="N691" i="959"/>
  <c r="N684" i="959"/>
  <c r="L691" i="959"/>
  <c r="L721" i="959"/>
  <c r="N721" i="959"/>
  <c r="L559" i="959"/>
  <c r="N559" i="959"/>
  <c r="I500" i="959"/>
  <c r="AJ97" i="959"/>
  <c r="I502" i="959" s="1"/>
  <c r="I350" i="959"/>
  <c r="AJ83" i="959"/>
  <c r="I352" i="959" s="1"/>
  <c r="L338" i="959"/>
  <c r="N338" i="959"/>
  <c r="C544" i="959"/>
  <c r="C529" i="959"/>
  <c r="C499" i="959"/>
  <c r="C439" i="959"/>
  <c r="C409" i="959"/>
  <c r="C484" i="959"/>
  <c r="C469" i="959"/>
  <c r="C454" i="959"/>
  <c r="C514" i="959"/>
  <c r="C424" i="959"/>
  <c r="C379" i="959"/>
  <c r="C319" i="959"/>
  <c r="C394" i="959"/>
  <c r="C364" i="959"/>
  <c r="C349" i="959"/>
  <c r="C334" i="959"/>
  <c r="L758" i="959"/>
  <c r="N758" i="959"/>
  <c r="AJ257" i="959"/>
  <c r="I255" i="959" s="1"/>
  <c r="N255" i="959" s="1"/>
  <c r="AJ270" i="959"/>
  <c r="I268" i="959" s="1"/>
  <c r="N268" i="959" s="1"/>
  <c r="AJ287" i="959"/>
  <c r="I285" i="959" s="1"/>
  <c r="N285" i="959" s="1"/>
  <c r="AJ266" i="959"/>
  <c r="I264" i="959" s="1"/>
  <c r="N264" i="959" s="1"/>
  <c r="AJ286" i="959"/>
  <c r="I284" i="959" s="1"/>
  <c r="N284" i="959" s="1"/>
  <c r="AJ277" i="959"/>
  <c r="I275" i="959" s="1"/>
  <c r="N275" i="959" s="1"/>
  <c r="N736" i="959"/>
  <c r="L736" i="959"/>
  <c r="N461" i="959"/>
  <c r="L461" i="959"/>
  <c r="B337" i="959"/>
  <c r="B335" i="959"/>
  <c r="B336" i="959"/>
  <c r="L519" i="959"/>
  <c r="N397" i="959"/>
  <c r="L397" i="959"/>
  <c r="C753" i="959"/>
  <c r="C648" i="959"/>
  <c r="C783" i="959"/>
  <c r="C693" i="959"/>
  <c r="C738" i="959"/>
  <c r="C768" i="959"/>
  <c r="C708" i="959"/>
  <c r="C663" i="959"/>
  <c r="C558" i="959"/>
  <c r="C618" i="959"/>
  <c r="C573" i="959"/>
  <c r="C723" i="959"/>
  <c r="C678" i="959"/>
  <c r="C633" i="959"/>
  <c r="C603" i="959"/>
  <c r="C588" i="959"/>
  <c r="L563" i="959"/>
  <c r="N563" i="959"/>
  <c r="N398" i="959"/>
  <c r="L398" i="959"/>
  <c r="N713" i="959"/>
  <c r="L713" i="959"/>
  <c r="I1159" i="958"/>
  <c r="N228" i="958"/>
  <c r="I1141" i="958"/>
  <c r="I1151" i="958"/>
  <c r="I1149" i="958"/>
  <c r="AD230" i="958"/>
  <c r="AJ245" i="958"/>
  <c r="I243" i="958" s="1"/>
  <c r="N243" i="958" s="1"/>
  <c r="AJ236" i="958"/>
  <c r="I234" i="958" s="1"/>
  <c r="N234" i="958" s="1"/>
  <c r="AJ286" i="958"/>
  <c r="I284" i="958" s="1"/>
  <c r="N284" i="958" s="1"/>
  <c r="AJ261" i="958"/>
  <c r="I259" i="958" s="1"/>
  <c r="N259" i="958" s="1"/>
  <c r="AJ254" i="958"/>
  <c r="I252" i="958" s="1"/>
  <c r="N252" i="958" s="1"/>
  <c r="AJ279" i="958"/>
  <c r="I277" i="958" s="1"/>
  <c r="N277" i="958" s="1"/>
  <c r="AJ265" i="958"/>
  <c r="I263" i="958" s="1"/>
  <c r="N263" i="958" s="1"/>
  <c r="AJ282" i="958"/>
  <c r="I280" i="958" s="1"/>
  <c r="N280" i="958" s="1"/>
  <c r="N338" i="958"/>
  <c r="L338" i="958"/>
  <c r="N472" i="958"/>
  <c r="L713" i="958"/>
  <c r="N713" i="958"/>
  <c r="B118" i="958"/>
  <c r="I96" i="958"/>
  <c r="I92" i="958"/>
  <c r="I88" i="958"/>
  <c r="I94" i="958"/>
  <c r="I99" i="958"/>
  <c r="I95" i="958"/>
  <c r="I91" i="958"/>
  <c r="I87" i="958"/>
  <c r="I90" i="958"/>
  <c r="I89" i="958"/>
  <c r="I100" i="958"/>
  <c r="I93" i="958"/>
  <c r="I86" i="958"/>
  <c r="I84" i="958"/>
  <c r="I98" i="958"/>
  <c r="I97" i="958"/>
  <c r="I85" i="958"/>
  <c r="L104" i="958"/>
  <c r="N104" i="958"/>
  <c r="B334" i="958"/>
  <c r="B323" i="958"/>
  <c r="I410" i="958"/>
  <c r="AJ89" i="958"/>
  <c r="I412" i="958" s="1"/>
  <c r="N113" i="958"/>
  <c r="L113" i="958"/>
  <c r="N698" i="958"/>
  <c r="L698" i="958"/>
  <c r="AJ234" i="958"/>
  <c r="I232" i="958" s="1"/>
  <c r="N232" i="958" s="1"/>
  <c r="AJ252" i="958"/>
  <c r="I250" i="958" s="1"/>
  <c r="N250" i="958" s="1"/>
  <c r="AJ269" i="958"/>
  <c r="I267" i="958" s="1"/>
  <c r="N267" i="958" s="1"/>
  <c r="AJ262" i="958"/>
  <c r="I260" i="958" s="1"/>
  <c r="N260" i="958" s="1"/>
  <c r="AJ287" i="958"/>
  <c r="I285" i="958" s="1"/>
  <c r="N285" i="958" s="1"/>
  <c r="AJ273" i="958"/>
  <c r="I271" i="958" s="1"/>
  <c r="N271" i="958" s="1"/>
  <c r="AJ288" i="958"/>
  <c r="I286" i="958" s="1"/>
  <c r="N286" i="958" s="1"/>
  <c r="AJ239" i="958"/>
  <c r="I237" i="958" s="1"/>
  <c r="N237" i="958" s="1"/>
  <c r="N744" i="958"/>
  <c r="L746" i="958"/>
  <c r="N746" i="958"/>
  <c r="N461" i="958"/>
  <c r="L461" i="958"/>
  <c r="N691" i="958"/>
  <c r="N684" i="958"/>
  <c r="L691" i="958"/>
  <c r="Z230" i="958"/>
  <c r="N336" i="958"/>
  <c r="L336" i="958"/>
  <c r="L105" i="958"/>
  <c r="N105" i="958"/>
  <c r="N383" i="958"/>
  <c r="L383" i="958"/>
  <c r="B327" i="958"/>
  <c r="L109" i="958"/>
  <c r="N109" i="958"/>
  <c r="N413" i="958"/>
  <c r="L413" i="958"/>
  <c r="AJ260" i="958"/>
  <c r="I258" i="958" s="1"/>
  <c r="N258" i="958" s="1"/>
  <c r="AJ277" i="958"/>
  <c r="I275" i="958" s="1"/>
  <c r="N275" i="958" s="1"/>
  <c r="AJ292" i="958"/>
  <c r="I290" i="958" s="1"/>
  <c r="N290" i="958" s="1"/>
  <c r="L707" i="958"/>
  <c r="N707" i="958"/>
  <c r="N752" i="958"/>
  <c r="L752" i="958"/>
  <c r="N366" i="958"/>
  <c r="L366" i="958"/>
  <c r="N467" i="958"/>
  <c r="L467" i="958"/>
  <c r="N694" i="958"/>
  <c r="L694" i="958"/>
  <c r="L106" i="958"/>
  <c r="N106" i="958"/>
  <c r="I365" i="958"/>
  <c r="AJ84" i="958"/>
  <c r="I367" i="958" s="1"/>
  <c r="B336" i="958"/>
  <c r="N593" i="958"/>
  <c r="L593" i="958"/>
  <c r="L579" i="958" s="1"/>
  <c r="N111" i="958"/>
  <c r="L111" i="958"/>
  <c r="N458" i="958"/>
  <c r="L458" i="958"/>
  <c r="AJ248" i="958"/>
  <c r="I246" i="958" s="1"/>
  <c r="N246" i="958" s="1"/>
  <c r="L737" i="958"/>
  <c r="N737" i="958"/>
  <c r="L751" i="958"/>
  <c r="N751" i="958"/>
  <c r="AJ251" i="958"/>
  <c r="I249" i="958" s="1"/>
  <c r="N249" i="958" s="1"/>
  <c r="AJ268" i="958"/>
  <c r="I266" i="958" s="1"/>
  <c r="N266" i="958" s="1"/>
  <c r="AJ285" i="958"/>
  <c r="I283" i="958" s="1"/>
  <c r="N283" i="958" s="1"/>
  <c r="AJ278" i="958"/>
  <c r="I276" i="958" s="1"/>
  <c r="N276" i="958" s="1"/>
  <c r="AJ256" i="958"/>
  <c r="I254" i="958" s="1"/>
  <c r="N254" i="958" s="1"/>
  <c r="AJ294" i="958"/>
  <c r="I292" i="958" s="1"/>
  <c r="N292" i="958" s="1"/>
  <c r="AJ295" i="958"/>
  <c r="I293" i="958" s="1"/>
  <c r="N293" i="958" s="1"/>
  <c r="N701" i="958"/>
  <c r="L701" i="958"/>
  <c r="N699" i="958"/>
  <c r="L115" i="958"/>
  <c r="L114" i="958" s="1"/>
  <c r="N115" i="958"/>
  <c r="N114" i="958"/>
  <c r="N457" i="958"/>
  <c r="L457" i="958"/>
  <c r="L512" i="958"/>
  <c r="N512" i="958"/>
  <c r="L487" i="958"/>
  <c r="N487" i="958"/>
  <c r="N518" i="958"/>
  <c r="L518" i="958"/>
  <c r="B328" i="958"/>
  <c r="B329" i="958"/>
  <c r="B335" i="958"/>
  <c r="L519" i="958"/>
  <c r="C754" i="958"/>
  <c r="C694" i="958"/>
  <c r="C634" i="958"/>
  <c r="C724" i="958"/>
  <c r="C679" i="958"/>
  <c r="C664" i="958"/>
  <c r="C739" i="958"/>
  <c r="C589" i="958"/>
  <c r="C604" i="958"/>
  <c r="C619" i="958"/>
  <c r="C784" i="958"/>
  <c r="C709" i="958"/>
  <c r="C559" i="958"/>
  <c r="C574" i="958"/>
  <c r="C649" i="958"/>
  <c r="L398" i="958"/>
  <c r="N398" i="958"/>
  <c r="N731" i="958"/>
  <c r="N729" i="958"/>
  <c r="L731" i="958"/>
  <c r="B229" i="958"/>
  <c r="B228" i="958"/>
  <c r="B226" i="958"/>
  <c r="B227" i="958"/>
  <c r="N226" i="958"/>
  <c r="AJ276" i="958"/>
  <c r="I274" i="958" s="1"/>
  <c r="N274" i="958" s="1"/>
  <c r="AJ289" i="958"/>
  <c r="I287" i="958" s="1"/>
  <c r="N287" i="958" s="1"/>
  <c r="AJ264" i="958"/>
  <c r="I262" i="958" s="1"/>
  <c r="N262" i="958" s="1"/>
  <c r="AJ297" i="958"/>
  <c r="I295" i="958" s="1"/>
  <c r="N295" i="958" s="1"/>
  <c r="AD182" i="958"/>
  <c r="AC182" i="958"/>
  <c r="L108" i="958"/>
  <c r="N108" i="958"/>
  <c r="L455" i="958"/>
  <c r="N455" i="958"/>
  <c r="N506" i="958"/>
  <c r="L506" i="958"/>
  <c r="N485" i="958"/>
  <c r="L485" i="958"/>
  <c r="N473" i="958"/>
  <c r="L473" i="958"/>
  <c r="N322" i="958"/>
  <c r="L322" i="958"/>
  <c r="B331" i="958"/>
  <c r="L397" i="958"/>
  <c r="N397" i="958"/>
  <c r="N323" i="958"/>
  <c r="L323" i="958"/>
  <c r="K302" i="958"/>
  <c r="K218" i="958"/>
  <c r="K130" i="958"/>
  <c r="K75" i="958"/>
  <c r="N638" i="958"/>
  <c r="L638" i="958"/>
  <c r="N428" i="958"/>
  <c r="L428" i="958"/>
  <c r="L609" i="958"/>
  <c r="AJ235" i="958"/>
  <c r="I233" i="958" s="1"/>
  <c r="N233" i="958" s="1"/>
  <c r="AJ267" i="958"/>
  <c r="I265" i="958" s="1"/>
  <c r="N265" i="958" s="1"/>
  <c r="AJ284" i="958"/>
  <c r="I282" i="958" s="1"/>
  <c r="N282" i="958" s="1"/>
  <c r="AJ291" i="958"/>
  <c r="I289" i="958" s="1"/>
  <c r="N289" i="958" s="1"/>
  <c r="AJ255" i="958"/>
  <c r="I253" i="958" s="1"/>
  <c r="N253" i="958" s="1"/>
  <c r="AJ272" i="958"/>
  <c r="I270" i="958" s="1"/>
  <c r="N270" i="958" s="1"/>
  <c r="AJ258" i="958"/>
  <c r="I256" i="958" s="1"/>
  <c r="N256" i="958" s="1"/>
  <c r="AB286" i="958"/>
  <c r="AB230" i="958"/>
  <c r="AH227" i="958"/>
  <c r="AJ249" i="958"/>
  <c r="I247" i="958" s="1"/>
  <c r="N247" i="958" s="1"/>
  <c r="L721" i="958"/>
  <c r="N721" i="958"/>
  <c r="N571" i="958"/>
  <c r="L571" i="958"/>
  <c r="N351" i="958"/>
  <c r="L351" i="958"/>
  <c r="L631" i="958"/>
  <c r="N624" i="958"/>
  <c r="N631" i="958"/>
  <c r="L103" i="958"/>
  <c r="N103" i="958"/>
  <c r="N728" i="958"/>
  <c r="L728" i="958"/>
  <c r="N482" i="958"/>
  <c r="L482" i="958"/>
  <c r="N321" i="958"/>
  <c r="L321" i="958"/>
  <c r="I350" i="958"/>
  <c r="AJ83" i="958"/>
  <c r="I352" i="958" s="1"/>
  <c r="N608" i="958"/>
  <c r="L608" i="958"/>
  <c r="L594" i="958" s="1"/>
  <c r="N102" i="958"/>
  <c r="L102" i="958"/>
  <c r="N101" i="958"/>
  <c r="N395" i="958"/>
  <c r="L395" i="958"/>
  <c r="N442" i="958"/>
  <c r="L442" i="958"/>
  <c r="N368" i="958"/>
  <c r="L368" i="958"/>
  <c r="I1333" i="958"/>
  <c r="I1325" i="958"/>
  <c r="I1264" i="958"/>
  <c r="I1256" i="958"/>
  <c r="I1248" i="958"/>
  <c r="I1240" i="958"/>
  <c r="I1232" i="958"/>
  <c r="I1224" i="958"/>
  <c r="I1216" i="958"/>
  <c r="I1208" i="958"/>
  <c r="I1200" i="958"/>
  <c r="I1192" i="958"/>
  <c r="I1184" i="958"/>
  <c r="I1176" i="958"/>
  <c r="I1168" i="958"/>
  <c r="I1332" i="958"/>
  <c r="I1324" i="958"/>
  <c r="P1314" i="958"/>
  <c r="I1314" i="958" s="1"/>
  <c r="P1310" i="958"/>
  <c r="I1310" i="958" s="1"/>
  <c r="P1306" i="958"/>
  <c r="I1306" i="958" s="1"/>
  <c r="P1302" i="958"/>
  <c r="I1302" i="958" s="1"/>
  <c r="P1298" i="958"/>
  <c r="I1298" i="958" s="1"/>
  <c r="P1294" i="958"/>
  <c r="I1294" i="958" s="1"/>
  <c r="P1290" i="958"/>
  <c r="I1290" i="958" s="1"/>
  <c r="P1286" i="958"/>
  <c r="I1286" i="958" s="1"/>
  <c r="P1282" i="958"/>
  <c r="I1282" i="958" s="1"/>
  <c r="P1278" i="958"/>
  <c r="I1278" i="958" s="1"/>
  <c r="P1274" i="958"/>
  <c r="I1274" i="958" s="1"/>
  <c r="P1270" i="958"/>
  <c r="I1270" i="958" s="1"/>
  <c r="I1263" i="958"/>
  <c r="I1255" i="958"/>
  <c r="I1247" i="958"/>
  <c r="I1239" i="958"/>
  <c r="I1231" i="958"/>
  <c r="I1223" i="958"/>
  <c r="I1215" i="958"/>
  <c r="I1207" i="958"/>
  <c r="I1199" i="958"/>
  <c r="I1191" i="958"/>
  <c r="I1183" i="958"/>
  <c r="I1175" i="958"/>
  <c r="I1331" i="958"/>
  <c r="I1262" i="958"/>
  <c r="I1254" i="958"/>
  <c r="I1246" i="958"/>
  <c r="I1238" i="958"/>
  <c r="I1230" i="958"/>
  <c r="I1222" i="958"/>
  <c r="I1214" i="958"/>
  <c r="I1206" i="958"/>
  <c r="I1198" i="958"/>
  <c r="I1190" i="958"/>
  <c r="I1182" i="958"/>
  <c r="I1174" i="958"/>
  <c r="I1166" i="958"/>
  <c r="I1330" i="958"/>
  <c r="P1317" i="958"/>
  <c r="I1317" i="958" s="1"/>
  <c r="I1322" i="958" s="1"/>
  <c r="P1313" i="958"/>
  <c r="I1313" i="958" s="1"/>
  <c r="P1309" i="958"/>
  <c r="I1309" i="958" s="1"/>
  <c r="P1305" i="958"/>
  <c r="I1305" i="958" s="1"/>
  <c r="P1301" i="958"/>
  <c r="I1301" i="958" s="1"/>
  <c r="P1297" i="958"/>
  <c r="I1297" i="958" s="1"/>
  <c r="P1293" i="958"/>
  <c r="I1293" i="958" s="1"/>
  <c r="P1289" i="958"/>
  <c r="I1289" i="958" s="1"/>
  <c r="P1285" i="958"/>
  <c r="I1285" i="958" s="1"/>
  <c r="P1281" i="958"/>
  <c r="I1281" i="958" s="1"/>
  <c r="P1277" i="958"/>
  <c r="I1277" i="958" s="1"/>
  <c r="P1273" i="958"/>
  <c r="I1273" i="958" s="1"/>
  <c r="I1269" i="958"/>
  <c r="I1261" i="958"/>
  <c r="I1253" i="958"/>
  <c r="I1245" i="958"/>
  <c r="I1237" i="958"/>
  <c r="I1229" i="958"/>
  <c r="I1221" i="958"/>
  <c r="I1213" i="958"/>
  <c r="I1205" i="958"/>
  <c r="I1197" i="958"/>
  <c r="I1189" i="958"/>
  <c r="I1181" i="958"/>
  <c r="I1173" i="958"/>
  <c r="I1329" i="958"/>
  <c r="I1268" i="958"/>
  <c r="I1260" i="958"/>
  <c r="I1252" i="958"/>
  <c r="I1244" i="958"/>
  <c r="I1236" i="958"/>
  <c r="I1228" i="958"/>
  <c r="I1220" i="958"/>
  <c r="I1212" i="958"/>
  <c r="I1204" i="958"/>
  <c r="I1196" i="958"/>
  <c r="I1188" i="958"/>
  <c r="I1180" i="958"/>
  <c r="I1172" i="958"/>
  <c r="I1164" i="958"/>
  <c r="I1328" i="958"/>
  <c r="P1316" i="958"/>
  <c r="I1316" i="958" s="1"/>
  <c r="P1312" i="958"/>
  <c r="I1312" i="958" s="1"/>
  <c r="P1308" i="958"/>
  <c r="I1308" i="958" s="1"/>
  <c r="P1304" i="958"/>
  <c r="I1304" i="958" s="1"/>
  <c r="P1300" i="958"/>
  <c r="I1300" i="958" s="1"/>
  <c r="P1296" i="958"/>
  <c r="I1296" i="958" s="1"/>
  <c r="P1292" i="958"/>
  <c r="I1292" i="958" s="1"/>
  <c r="P1288" i="958"/>
  <c r="I1288" i="958" s="1"/>
  <c r="P1284" i="958"/>
  <c r="I1284" i="958" s="1"/>
  <c r="P1280" i="958"/>
  <c r="I1280" i="958" s="1"/>
  <c r="P1276" i="958"/>
  <c r="I1276" i="958" s="1"/>
  <c r="P1272" i="958"/>
  <c r="I1272" i="958" s="1"/>
  <c r="I1267" i="958"/>
  <c r="I1259" i="958"/>
  <c r="I1251" i="958"/>
  <c r="I1243" i="958"/>
  <c r="I1235" i="958"/>
  <c r="I1227" i="958"/>
  <c r="I1219" i="958"/>
  <c r="I1211" i="958"/>
  <c r="I1203" i="958"/>
  <c r="I1195" i="958"/>
  <c r="I1187" i="958"/>
  <c r="I1327" i="958"/>
  <c r="I1266" i="958"/>
  <c r="I1258" i="958"/>
  <c r="I1250" i="958"/>
  <c r="I1242" i="958"/>
  <c r="I1234" i="958"/>
  <c r="I1226" i="958"/>
  <c r="I1218" i="958"/>
  <c r="I1210" i="958"/>
  <c r="I1202" i="958"/>
  <c r="I1194" i="958"/>
  <c r="I1186" i="958"/>
  <c r="I1178" i="958"/>
  <c r="I1170" i="958"/>
  <c r="I1326" i="958"/>
  <c r="P1303" i="958"/>
  <c r="I1303" i="958" s="1"/>
  <c r="P1271" i="958"/>
  <c r="I1271" i="958" s="1"/>
  <c r="I1209" i="958"/>
  <c r="I1167" i="958"/>
  <c r="P1299" i="958"/>
  <c r="I1299" i="958" s="1"/>
  <c r="I1265" i="958"/>
  <c r="I1201" i="958"/>
  <c r="I1165" i="958"/>
  <c r="P1295" i="958"/>
  <c r="I1295" i="958" s="1"/>
  <c r="I1257" i="958"/>
  <c r="I1193" i="958"/>
  <c r="P1291" i="958"/>
  <c r="I1291" i="958" s="1"/>
  <c r="I1249" i="958"/>
  <c r="I1185" i="958"/>
  <c r="P1287" i="958"/>
  <c r="I1287" i="958" s="1"/>
  <c r="I1241" i="958"/>
  <c r="I1179" i="958"/>
  <c r="P1315" i="958"/>
  <c r="I1315" i="958" s="1"/>
  <c r="P1283" i="958"/>
  <c r="I1283" i="958" s="1"/>
  <c r="I1233" i="958"/>
  <c r="I1177" i="958"/>
  <c r="P1311" i="958"/>
  <c r="I1311" i="958" s="1"/>
  <c r="P1279" i="958"/>
  <c r="I1279" i="958" s="1"/>
  <c r="I1225" i="958"/>
  <c r="I1171" i="958"/>
  <c r="P1307" i="958"/>
  <c r="I1307" i="958" s="1"/>
  <c r="P1275" i="958"/>
  <c r="I1275" i="958" s="1"/>
  <c r="I1217" i="958"/>
  <c r="I1169" i="958"/>
  <c r="N683" i="958"/>
  <c r="L683" i="958"/>
  <c r="L669" i="958" s="1"/>
  <c r="N443" i="958"/>
  <c r="L443" i="958"/>
  <c r="AJ244" i="958"/>
  <c r="I242" i="958" s="1"/>
  <c r="N242" i="958" s="1"/>
  <c r="L716" i="958"/>
  <c r="N714" i="958"/>
  <c r="N716" i="958"/>
  <c r="AJ242" i="958"/>
  <c r="I240" i="958" s="1"/>
  <c r="N240" i="958" s="1"/>
  <c r="AJ275" i="958"/>
  <c r="I273" i="958" s="1"/>
  <c r="N273" i="958" s="1"/>
  <c r="AJ290" i="958"/>
  <c r="I288" i="958" s="1"/>
  <c r="N288" i="958" s="1"/>
  <c r="AJ296" i="958"/>
  <c r="I294" i="958" s="1"/>
  <c r="N294" i="958" s="1"/>
  <c r="AJ263" i="958"/>
  <c r="I261" i="958" s="1"/>
  <c r="N261" i="958" s="1"/>
  <c r="AJ280" i="958"/>
  <c r="I278" i="958" s="1"/>
  <c r="N278" i="958" s="1"/>
  <c r="AJ266" i="958"/>
  <c r="I264" i="958" s="1"/>
  <c r="N264" i="958" s="1"/>
  <c r="N497" i="958"/>
  <c r="L497" i="958"/>
  <c r="N563" i="958"/>
  <c r="L563" i="958"/>
  <c r="L549" i="958" s="1"/>
  <c r="N634" i="958"/>
  <c r="L634" i="958"/>
  <c r="L743" i="958"/>
  <c r="N743" i="958"/>
  <c r="L476" i="958"/>
  <c r="N474" i="958"/>
  <c r="N476" i="958"/>
  <c r="N309" i="958"/>
  <c r="B325" i="958"/>
  <c r="L578" i="958"/>
  <c r="N578" i="958"/>
  <c r="N110" i="958"/>
  <c r="L110" i="958"/>
  <c r="N668" i="958"/>
  <c r="L668" i="958"/>
  <c r="N722" i="958"/>
  <c r="L722" i="958"/>
  <c r="AJ283" i="958"/>
  <c r="I281" i="958" s="1"/>
  <c r="N281" i="958" s="1"/>
  <c r="AJ253" i="958"/>
  <c r="I251" i="958" s="1"/>
  <c r="N251" i="958" s="1"/>
  <c r="AJ246" i="958"/>
  <c r="I244" i="958" s="1"/>
  <c r="N244" i="958" s="1"/>
  <c r="AJ271" i="958"/>
  <c r="I269" i="958" s="1"/>
  <c r="N269" i="958" s="1"/>
  <c r="AJ257" i="958"/>
  <c r="I255" i="958" s="1"/>
  <c r="N255" i="958" s="1"/>
  <c r="AJ274" i="958"/>
  <c r="I272" i="958" s="1"/>
  <c r="N272" i="958" s="1"/>
  <c r="N736" i="958"/>
  <c r="L736" i="958"/>
  <c r="L661" i="958"/>
  <c r="N661" i="958"/>
  <c r="N654" i="958"/>
  <c r="N491" i="958"/>
  <c r="L491" i="958"/>
  <c r="N758" i="958"/>
  <c r="L758" i="958"/>
  <c r="I380" i="958"/>
  <c r="AJ85" i="958"/>
  <c r="I382" i="958" s="1"/>
  <c r="I500" i="958"/>
  <c r="AJ97" i="958"/>
  <c r="I502" i="958" s="1"/>
  <c r="N107" i="958"/>
  <c r="L107" i="958"/>
  <c r="N488" i="958"/>
  <c r="L488" i="958"/>
  <c r="N353" i="958"/>
  <c r="L353" i="958"/>
  <c r="N112" i="958"/>
  <c r="L112" i="958"/>
  <c r="L653" i="958"/>
  <c r="L639" i="958" s="1"/>
  <c r="N653" i="958"/>
  <c r="AI227" i="957"/>
  <c r="AJ242" i="957"/>
  <c r="I240" i="957" s="1"/>
  <c r="N240" i="957" s="1"/>
  <c r="AJ290" i="957"/>
  <c r="I288" i="957" s="1"/>
  <c r="N288" i="957" s="1"/>
  <c r="AJ296" i="957"/>
  <c r="I294" i="957" s="1"/>
  <c r="N294" i="957" s="1"/>
  <c r="AJ261" i="957"/>
  <c r="I259" i="957" s="1"/>
  <c r="N259" i="957" s="1"/>
  <c r="L491" i="957"/>
  <c r="N491" i="957"/>
  <c r="N107" i="957"/>
  <c r="L107" i="957"/>
  <c r="I350" i="957"/>
  <c r="B350" i="957" s="1"/>
  <c r="AJ83" i="957"/>
  <c r="I352" i="957" s="1"/>
  <c r="N593" i="957"/>
  <c r="L593" i="957"/>
  <c r="L579" i="957" s="1"/>
  <c r="N722" i="957"/>
  <c r="L722" i="957"/>
  <c r="B335" i="957"/>
  <c r="B327" i="957"/>
  <c r="N398" i="957"/>
  <c r="L398" i="957"/>
  <c r="L353" i="957"/>
  <c r="N353" i="957"/>
  <c r="C649" i="957"/>
  <c r="C754" i="957"/>
  <c r="C694" i="957"/>
  <c r="C724" i="957"/>
  <c r="C679" i="957"/>
  <c r="C664" i="957"/>
  <c r="C619" i="957"/>
  <c r="C634" i="957"/>
  <c r="C574" i="957"/>
  <c r="C709" i="957"/>
  <c r="C784" i="957"/>
  <c r="C739" i="957"/>
  <c r="C604" i="957"/>
  <c r="C589" i="957"/>
  <c r="C559" i="957"/>
  <c r="AJ276" i="957"/>
  <c r="I274" i="957" s="1"/>
  <c r="N274" i="957" s="1"/>
  <c r="AJ273" i="957"/>
  <c r="I271" i="957" s="1"/>
  <c r="N271" i="957" s="1"/>
  <c r="AJ284" i="957"/>
  <c r="I282" i="957" s="1"/>
  <c r="N282" i="957" s="1"/>
  <c r="AJ262" i="957"/>
  <c r="I260" i="957" s="1"/>
  <c r="N260" i="957" s="1"/>
  <c r="Z286" i="957"/>
  <c r="Z230" i="957"/>
  <c r="AG227" i="957"/>
  <c r="AJ269" i="957"/>
  <c r="I267" i="957" s="1"/>
  <c r="N267" i="957" s="1"/>
  <c r="AJ244" i="957"/>
  <c r="I242" i="957" s="1"/>
  <c r="N242" i="957" s="1"/>
  <c r="I515" i="957"/>
  <c r="AJ98" i="957"/>
  <c r="I517" i="957" s="1"/>
  <c r="L381" i="957"/>
  <c r="N381" i="957"/>
  <c r="L497" i="957"/>
  <c r="N497" i="957"/>
  <c r="N608" i="957"/>
  <c r="L608" i="957"/>
  <c r="L594" i="957" s="1"/>
  <c r="N706" i="957"/>
  <c r="L706" i="957"/>
  <c r="L503" i="957"/>
  <c r="N503" i="957"/>
  <c r="I455" i="957"/>
  <c r="AJ92" i="957"/>
  <c r="I457" i="957" s="1"/>
  <c r="AD182" i="957"/>
  <c r="AC182" i="957"/>
  <c r="L571" i="957"/>
  <c r="N571" i="957"/>
  <c r="B343" i="957"/>
  <c r="B330" i="957"/>
  <c r="N458" i="957"/>
  <c r="L458" i="957"/>
  <c r="N323" i="957"/>
  <c r="L323" i="957"/>
  <c r="N653" i="957"/>
  <c r="L653" i="957"/>
  <c r="AJ258" i="957"/>
  <c r="I256" i="957" s="1"/>
  <c r="N256" i="957" s="1"/>
  <c r="AJ278" i="957"/>
  <c r="I276" i="957" s="1"/>
  <c r="N276" i="957" s="1"/>
  <c r="AJ249" i="957"/>
  <c r="I247" i="957" s="1"/>
  <c r="N247" i="957" s="1"/>
  <c r="AJ281" i="957"/>
  <c r="I279" i="957" s="1"/>
  <c r="N279" i="957" s="1"/>
  <c r="AJ294" i="957"/>
  <c r="I292" i="957" s="1"/>
  <c r="N292" i="957" s="1"/>
  <c r="AJ240" i="957"/>
  <c r="I238" i="957" s="1"/>
  <c r="N238" i="957" s="1"/>
  <c r="AJ270" i="957"/>
  <c r="I268" i="957" s="1"/>
  <c r="N268" i="957" s="1"/>
  <c r="AJ252" i="957"/>
  <c r="I250" i="957" s="1"/>
  <c r="N250" i="957" s="1"/>
  <c r="I425" i="957"/>
  <c r="AJ90" i="957"/>
  <c r="I427" i="957" s="1"/>
  <c r="N661" i="957"/>
  <c r="L661" i="957"/>
  <c r="N654" i="957"/>
  <c r="I485" i="957"/>
  <c r="AJ96" i="957"/>
  <c r="I487" i="957" s="1"/>
  <c r="I395" i="957"/>
  <c r="AJ88" i="957"/>
  <c r="I397" i="957" s="1"/>
  <c r="L563" i="957"/>
  <c r="N563" i="957"/>
  <c r="B349" i="957"/>
  <c r="B328" i="957"/>
  <c r="B340" i="957"/>
  <c r="B337" i="957"/>
  <c r="N413" i="957"/>
  <c r="L413" i="957"/>
  <c r="N368" i="957"/>
  <c r="L368" i="957"/>
  <c r="N638" i="957"/>
  <c r="L638" i="957"/>
  <c r="AJ266" i="957"/>
  <c r="I264" i="957" s="1"/>
  <c r="N264" i="957" s="1"/>
  <c r="AJ257" i="957"/>
  <c r="I255" i="957" s="1"/>
  <c r="N255" i="957" s="1"/>
  <c r="AJ293" i="957"/>
  <c r="I291" i="957" s="1"/>
  <c r="N291" i="957" s="1"/>
  <c r="AJ285" i="957"/>
  <c r="I283" i="957" s="1"/>
  <c r="N283" i="957" s="1"/>
  <c r="AJ239" i="957"/>
  <c r="I237" i="957" s="1"/>
  <c r="N237" i="957" s="1"/>
  <c r="AJ260" i="957"/>
  <c r="I258" i="957" s="1"/>
  <c r="N258" i="957" s="1"/>
  <c r="K302" i="957"/>
  <c r="K218" i="957"/>
  <c r="K75" i="957"/>
  <c r="K130" i="957"/>
  <c r="L115" i="957"/>
  <c r="L114" i="957" s="1"/>
  <c r="N114" i="957"/>
  <c r="N115" i="957"/>
  <c r="N744" i="957"/>
  <c r="L746" i="957"/>
  <c r="N746" i="957"/>
  <c r="N518" i="957"/>
  <c r="L518" i="957"/>
  <c r="N336" i="957"/>
  <c r="L336" i="957"/>
  <c r="N578" i="957"/>
  <c r="L578" i="957"/>
  <c r="L609" i="957"/>
  <c r="N488" i="957"/>
  <c r="L488" i="957"/>
  <c r="B118" i="957"/>
  <c r="I96" i="957"/>
  <c r="I92" i="957"/>
  <c r="I88" i="957"/>
  <c r="I87" i="957"/>
  <c r="I85" i="957"/>
  <c r="I94" i="957"/>
  <c r="I99" i="957"/>
  <c r="I95" i="957"/>
  <c r="I91" i="957"/>
  <c r="I84" i="957"/>
  <c r="B84" i="957" s="1"/>
  <c r="I98" i="957"/>
  <c r="I90" i="957"/>
  <c r="I100" i="957"/>
  <c r="I86" i="957"/>
  <c r="I97" i="957"/>
  <c r="I93" i="957"/>
  <c r="I89" i="957"/>
  <c r="N556" i="957"/>
  <c r="L556" i="957"/>
  <c r="L549" i="957" s="1"/>
  <c r="I365" i="957"/>
  <c r="AJ84" i="957"/>
  <c r="I367" i="957" s="1"/>
  <c r="N309" i="957"/>
  <c r="B329" i="957"/>
  <c r="B334" i="957"/>
  <c r="C469" i="957"/>
  <c r="C544" i="957"/>
  <c r="C529" i="957"/>
  <c r="C454" i="957"/>
  <c r="C484" i="957"/>
  <c r="C439" i="957"/>
  <c r="C409" i="957"/>
  <c r="C319" i="957"/>
  <c r="C424" i="957"/>
  <c r="C379" i="957"/>
  <c r="C499" i="957"/>
  <c r="C394" i="957"/>
  <c r="C364" i="957"/>
  <c r="C334" i="957"/>
  <c r="C349" i="957"/>
  <c r="C514" i="957"/>
  <c r="N428" i="957"/>
  <c r="L428" i="957"/>
  <c r="N338" i="957"/>
  <c r="L338" i="957"/>
  <c r="N698" i="957"/>
  <c r="L698" i="957"/>
  <c r="AJ243" i="957"/>
  <c r="I241" i="957" s="1"/>
  <c r="N241" i="957" s="1"/>
  <c r="AJ288" i="957"/>
  <c r="I286" i="957" s="1"/>
  <c r="N286" i="957" s="1"/>
  <c r="B229" i="957"/>
  <c r="AJ232" i="957"/>
  <c r="I230" i="957" s="1"/>
  <c r="B226" i="957"/>
  <c r="B227" i="957"/>
  <c r="N226" i="957"/>
  <c r="AD230" i="957"/>
  <c r="L105" i="957"/>
  <c r="N105" i="957"/>
  <c r="N752" i="957"/>
  <c r="L752" i="957"/>
  <c r="I500" i="957"/>
  <c r="AJ97" i="957"/>
  <c r="I502" i="957" s="1"/>
  <c r="L751" i="957"/>
  <c r="N751" i="957"/>
  <c r="I111" i="957"/>
  <c r="I109" i="957"/>
  <c r="I112" i="957"/>
  <c r="I110" i="957"/>
  <c r="I113" i="957"/>
  <c r="I108" i="957"/>
  <c r="N322" i="957"/>
  <c r="L322" i="957"/>
  <c r="B346" i="957"/>
  <c r="B338" i="957"/>
  <c r="B325" i="957"/>
  <c r="L743" i="957"/>
  <c r="N743" i="957"/>
  <c r="N443" i="957"/>
  <c r="L443" i="957"/>
  <c r="I106" i="957"/>
  <c r="N683" i="957"/>
  <c r="L683" i="957"/>
  <c r="L669" i="957" s="1"/>
  <c r="AJ292" i="957"/>
  <c r="I290" i="957" s="1"/>
  <c r="N290" i="957" s="1"/>
  <c r="AJ279" i="957"/>
  <c r="I277" i="957" s="1"/>
  <c r="N277" i="957" s="1"/>
  <c r="AJ255" i="957"/>
  <c r="I253" i="957" s="1"/>
  <c r="N253" i="957" s="1"/>
  <c r="AJ237" i="957"/>
  <c r="I235" i="957" s="1"/>
  <c r="N235" i="957" s="1"/>
  <c r="L482" i="957"/>
  <c r="N482" i="957"/>
  <c r="L737" i="957"/>
  <c r="N737" i="957"/>
  <c r="I380" i="957"/>
  <c r="AJ85" i="957"/>
  <c r="I382" i="957" s="1"/>
  <c r="N646" i="957"/>
  <c r="L646" i="957"/>
  <c r="N639" i="957"/>
  <c r="I103" i="957"/>
  <c r="B342" i="957"/>
  <c r="B344" i="957"/>
  <c r="L62" i="957"/>
  <c r="N758" i="957"/>
  <c r="L758" i="957"/>
  <c r="C753" i="957"/>
  <c r="C693" i="957"/>
  <c r="C633" i="957"/>
  <c r="C723" i="957"/>
  <c r="C678" i="957"/>
  <c r="C663" i="957"/>
  <c r="C648" i="957"/>
  <c r="C708" i="957"/>
  <c r="C783" i="957"/>
  <c r="C738" i="957"/>
  <c r="C588" i="957"/>
  <c r="C768" i="957"/>
  <c r="C618" i="957"/>
  <c r="C558" i="957"/>
  <c r="C603" i="957"/>
  <c r="C573" i="957"/>
  <c r="L668" i="957"/>
  <c r="N668" i="957"/>
  <c r="K130" i="956"/>
  <c r="AD286" i="957"/>
  <c r="AJ286" i="957"/>
  <c r="I284" i="957" s="1"/>
  <c r="N284" i="957" s="1"/>
  <c r="AJ287" i="957"/>
  <c r="I285" i="957" s="1"/>
  <c r="N285" i="957" s="1"/>
  <c r="AJ264" i="957"/>
  <c r="I262" i="957" s="1"/>
  <c r="N262" i="957" s="1"/>
  <c r="AJ238" i="957"/>
  <c r="I236" i="957" s="1"/>
  <c r="N236" i="957" s="1"/>
  <c r="AJ245" i="957"/>
  <c r="I243" i="957" s="1"/>
  <c r="N243" i="957" s="1"/>
  <c r="AJ235" i="957"/>
  <c r="I233" i="957" s="1"/>
  <c r="N233" i="957" s="1"/>
  <c r="AJ275" i="957"/>
  <c r="I273" i="957" s="1"/>
  <c r="N273" i="957" s="1"/>
  <c r="L707" i="957"/>
  <c r="N707" i="957"/>
  <c r="I1333" i="957"/>
  <c r="I1325" i="957"/>
  <c r="I1264" i="957"/>
  <c r="I1256" i="957"/>
  <c r="I1248" i="957"/>
  <c r="I1240" i="957"/>
  <c r="I1232" i="957"/>
  <c r="I1224" i="957"/>
  <c r="I1216" i="957"/>
  <c r="I1208" i="957"/>
  <c r="I1200" i="957"/>
  <c r="I1192" i="957"/>
  <c r="I1184" i="957"/>
  <c r="I1176" i="957"/>
  <c r="I1168" i="957"/>
  <c r="I1332" i="957"/>
  <c r="I1324" i="957"/>
  <c r="P1314" i="957"/>
  <c r="I1314" i="957" s="1"/>
  <c r="P1310" i="957"/>
  <c r="I1310" i="957" s="1"/>
  <c r="P1306" i="957"/>
  <c r="I1306" i="957" s="1"/>
  <c r="P1302" i="957"/>
  <c r="I1302" i="957" s="1"/>
  <c r="P1298" i="957"/>
  <c r="I1298" i="957" s="1"/>
  <c r="P1294" i="957"/>
  <c r="I1294" i="957" s="1"/>
  <c r="P1290" i="957"/>
  <c r="I1290" i="957" s="1"/>
  <c r="P1286" i="957"/>
  <c r="I1286" i="957" s="1"/>
  <c r="P1282" i="957"/>
  <c r="I1282" i="957" s="1"/>
  <c r="P1278" i="957"/>
  <c r="I1278" i="957" s="1"/>
  <c r="P1274" i="957"/>
  <c r="I1274" i="957" s="1"/>
  <c r="P1270" i="957"/>
  <c r="I1270" i="957" s="1"/>
  <c r="I1263" i="957"/>
  <c r="I1255" i="957"/>
  <c r="I1247" i="957"/>
  <c r="I1239" i="957"/>
  <c r="I1231" i="957"/>
  <c r="I1223" i="957"/>
  <c r="I1215" i="957"/>
  <c r="I1207" i="957"/>
  <c r="I1199" i="957"/>
  <c r="I1191" i="957"/>
  <c r="I1183" i="957"/>
  <c r="I1175" i="957"/>
  <c r="I1331" i="957"/>
  <c r="I1262" i="957"/>
  <c r="I1254" i="957"/>
  <c r="I1246" i="957"/>
  <c r="I1238" i="957"/>
  <c r="I1230" i="957"/>
  <c r="I1222" i="957"/>
  <c r="I1214" i="957"/>
  <c r="I1206" i="957"/>
  <c r="I1198" i="957"/>
  <c r="I1190" i="957"/>
  <c r="I1182" i="957"/>
  <c r="I1174" i="957"/>
  <c r="I1166" i="957"/>
  <c r="I1330" i="957"/>
  <c r="P1317" i="957"/>
  <c r="I1317" i="957" s="1"/>
  <c r="I1322" i="957" s="1"/>
  <c r="P1313" i="957"/>
  <c r="I1313" i="957" s="1"/>
  <c r="P1309" i="957"/>
  <c r="I1309" i="957" s="1"/>
  <c r="P1305" i="957"/>
  <c r="I1305" i="957" s="1"/>
  <c r="P1301" i="957"/>
  <c r="I1301" i="957" s="1"/>
  <c r="P1297" i="957"/>
  <c r="I1297" i="957" s="1"/>
  <c r="P1293" i="957"/>
  <c r="I1293" i="957" s="1"/>
  <c r="P1289" i="957"/>
  <c r="I1289" i="957" s="1"/>
  <c r="P1285" i="957"/>
  <c r="I1285" i="957" s="1"/>
  <c r="P1281" i="957"/>
  <c r="I1281" i="957" s="1"/>
  <c r="P1277" i="957"/>
  <c r="I1277" i="957" s="1"/>
  <c r="P1273" i="957"/>
  <c r="I1273" i="957" s="1"/>
  <c r="I1269" i="957"/>
  <c r="I1261" i="957"/>
  <c r="I1253" i="957"/>
  <c r="I1245" i="957"/>
  <c r="I1237" i="957"/>
  <c r="I1229" i="957"/>
  <c r="I1221" i="957"/>
  <c r="I1213" i="957"/>
  <c r="I1205" i="957"/>
  <c r="I1197" i="957"/>
  <c r="I1189" i="957"/>
  <c r="I1181" i="957"/>
  <c r="I1173" i="957"/>
  <c r="I1165" i="957"/>
  <c r="I1329" i="957"/>
  <c r="I1268" i="957"/>
  <c r="I1260" i="957"/>
  <c r="I1252" i="957"/>
  <c r="I1244" i="957"/>
  <c r="I1236" i="957"/>
  <c r="I1228" i="957"/>
  <c r="I1220" i="957"/>
  <c r="I1212" i="957"/>
  <c r="I1204" i="957"/>
  <c r="I1196" i="957"/>
  <c r="I1188" i="957"/>
  <c r="I1180" i="957"/>
  <c r="I1172" i="957"/>
  <c r="I1164" i="957"/>
  <c r="I1328" i="957"/>
  <c r="P1316" i="957"/>
  <c r="I1316" i="957" s="1"/>
  <c r="P1312" i="957"/>
  <c r="I1312" i="957" s="1"/>
  <c r="P1308" i="957"/>
  <c r="I1308" i="957" s="1"/>
  <c r="P1304" i="957"/>
  <c r="I1304" i="957" s="1"/>
  <c r="P1300" i="957"/>
  <c r="I1300" i="957" s="1"/>
  <c r="P1296" i="957"/>
  <c r="I1296" i="957" s="1"/>
  <c r="P1292" i="957"/>
  <c r="I1292" i="957" s="1"/>
  <c r="P1288" i="957"/>
  <c r="I1288" i="957" s="1"/>
  <c r="P1284" i="957"/>
  <c r="I1284" i="957" s="1"/>
  <c r="P1280" i="957"/>
  <c r="I1280" i="957" s="1"/>
  <c r="P1276" i="957"/>
  <c r="I1276" i="957" s="1"/>
  <c r="P1272" i="957"/>
  <c r="I1272" i="957" s="1"/>
  <c r="I1267" i="957"/>
  <c r="I1259" i="957"/>
  <c r="I1251" i="957"/>
  <c r="I1243" i="957"/>
  <c r="I1235" i="957"/>
  <c r="I1227" i="957"/>
  <c r="I1219" i="957"/>
  <c r="I1211" i="957"/>
  <c r="I1203" i="957"/>
  <c r="I1195" i="957"/>
  <c r="I1187" i="957"/>
  <c r="I1179" i="957"/>
  <c r="I1171" i="957"/>
  <c r="I1327" i="957"/>
  <c r="I1266" i="957"/>
  <c r="I1258" i="957"/>
  <c r="I1250" i="957"/>
  <c r="I1242" i="957"/>
  <c r="I1234" i="957"/>
  <c r="I1226" i="957"/>
  <c r="I1218" i="957"/>
  <c r="I1210" i="957"/>
  <c r="I1202" i="957"/>
  <c r="I1194" i="957"/>
  <c r="I1186" i="957"/>
  <c r="I1178" i="957"/>
  <c r="I1170" i="957"/>
  <c r="I1326" i="957"/>
  <c r="P1315" i="957"/>
  <c r="I1315" i="957" s="1"/>
  <c r="P1311" i="957"/>
  <c r="I1311" i="957" s="1"/>
  <c r="P1307" i="957"/>
  <c r="I1307" i="957" s="1"/>
  <c r="P1303" i="957"/>
  <c r="I1303" i="957" s="1"/>
  <c r="P1299" i="957"/>
  <c r="I1299" i="957" s="1"/>
  <c r="P1295" i="957"/>
  <c r="I1295" i="957" s="1"/>
  <c r="P1291" i="957"/>
  <c r="I1291" i="957" s="1"/>
  <c r="P1287" i="957"/>
  <c r="I1287" i="957" s="1"/>
  <c r="P1283" i="957"/>
  <c r="I1283" i="957" s="1"/>
  <c r="P1279" i="957"/>
  <c r="I1279" i="957" s="1"/>
  <c r="P1275" i="957"/>
  <c r="I1275" i="957" s="1"/>
  <c r="P1271" i="957"/>
  <c r="I1271" i="957" s="1"/>
  <c r="I1265" i="957"/>
  <c r="I1257" i="957"/>
  <c r="I1249" i="957"/>
  <c r="I1241" i="957"/>
  <c r="I1233" i="957"/>
  <c r="I1225" i="957"/>
  <c r="I1217" i="957"/>
  <c r="I1209" i="957"/>
  <c r="I1201" i="957"/>
  <c r="I1193" i="957"/>
  <c r="I1185" i="957"/>
  <c r="I1177" i="957"/>
  <c r="I1169" i="957"/>
  <c r="I1167" i="957"/>
  <c r="N476" i="957"/>
  <c r="L476" i="957"/>
  <c r="N731" i="957"/>
  <c r="L731" i="957"/>
  <c r="N729" i="957"/>
  <c r="N321" i="957"/>
  <c r="L321" i="957"/>
  <c r="N467" i="957"/>
  <c r="L467" i="957"/>
  <c r="N324" i="957"/>
  <c r="N594" i="957"/>
  <c r="N506" i="957"/>
  <c r="L506" i="957"/>
  <c r="B322" i="957"/>
  <c r="B345" i="957"/>
  <c r="L713" i="957"/>
  <c r="N713" i="957"/>
  <c r="AB286" i="957"/>
  <c r="AB230" i="957"/>
  <c r="AH227" i="957"/>
  <c r="AJ233" i="957"/>
  <c r="I231" i="957" s="1"/>
  <c r="N231" i="957" s="1"/>
  <c r="N701" i="957"/>
  <c r="N699" i="957"/>
  <c r="L701" i="957"/>
  <c r="I410" i="957"/>
  <c r="AJ89" i="957"/>
  <c r="I412" i="957" s="1"/>
  <c r="L461" i="957"/>
  <c r="N461" i="957"/>
  <c r="L716" i="957"/>
  <c r="N714" i="957"/>
  <c r="N716" i="957"/>
  <c r="B83" i="957"/>
  <c r="N83" i="957"/>
  <c r="L83" i="957"/>
  <c r="N512" i="957"/>
  <c r="L512" i="957"/>
  <c r="B336" i="957"/>
  <c r="B321" i="957"/>
  <c r="B331" i="957"/>
  <c r="B323" i="957"/>
  <c r="N728" i="957"/>
  <c r="L728" i="957"/>
  <c r="N383" i="957"/>
  <c r="L383" i="957"/>
  <c r="K218" i="956"/>
  <c r="K302" i="956"/>
  <c r="I1141" i="956"/>
  <c r="I1151" i="956"/>
  <c r="I1149" i="956"/>
  <c r="I1152" i="956"/>
  <c r="L534" i="956"/>
  <c r="AJ284" i="956"/>
  <c r="I282" i="956" s="1"/>
  <c r="N282" i="956" s="1"/>
  <c r="L746" i="956"/>
  <c r="N746" i="956"/>
  <c r="N744" i="956"/>
  <c r="AJ251" i="956"/>
  <c r="I249" i="956" s="1"/>
  <c r="N249" i="956" s="1"/>
  <c r="L559" i="956"/>
  <c r="N559" i="956"/>
  <c r="L737" i="956"/>
  <c r="N737" i="956"/>
  <c r="N497" i="956"/>
  <c r="L497" i="956"/>
  <c r="I440" i="956"/>
  <c r="AJ91" i="956"/>
  <c r="I442" i="956" s="1"/>
  <c r="L578" i="956"/>
  <c r="N578" i="956"/>
  <c r="N323" i="956"/>
  <c r="L323" i="956"/>
  <c r="AJ228" i="956"/>
  <c r="I226" i="956" s="1"/>
  <c r="N382" i="956"/>
  <c r="L382" i="956"/>
  <c r="L713" i="956"/>
  <c r="N713" i="956"/>
  <c r="N428" i="956"/>
  <c r="L428" i="956"/>
  <c r="AJ234" i="956"/>
  <c r="I232" i="956" s="1"/>
  <c r="N232" i="956" s="1"/>
  <c r="AJ292" i="956"/>
  <c r="I290" i="956" s="1"/>
  <c r="N290" i="956" s="1"/>
  <c r="AJ238" i="956"/>
  <c r="I236" i="956" s="1"/>
  <c r="N236" i="956" s="1"/>
  <c r="AJ279" i="956"/>
  <c r="I277" i="956" s="1"/>
  <c r="N277" i="956" s="1"/>
  <c r="AJ297" i="956"/>
  <c r="I295" i="956" s="1"/>
  <c r="N295" i="956" s="1"/>
  <c r="AJ245" i="956"/>
  <c r="I243" i="956" s="1"/>
  <c r="N243" i="956" s="1"/>
  <c r="N661" i="956"/>
  <c r="N654" i="956"/>
  <c r="L661" i="956"/>
  <c r="AJ290" i="956"/>
  <c r="I288" i="956" s="1"/>
  <c r="N288" i="956" s="1"/>
  <c r="AJ259" i="956"/>
  <c r="I257" i="956" s="1"/>
  <c r="N257" i="956" s="1"/>
  <c r="B118" i="956"/>
  <c r="I96" i="956"/>
  <c r="I92" i="956"/>
  <c r="I88" i="956"/>
  <c r="I87" i="956"/>
  <c r="I85" i="956"/>
  <c r="I95" i="956"/>
  <c r="I100" i="956"/>
  <c r="I93" i="956"/>
  <c r="I86" i="956"/>
  <c r="I91" i="956"/>
  <c r="I99" i="956"/>
  <c r="I90" i="956"/>
  <c r="I98" i="956"/>
  <c r="I94" i="956"/>
  <c r="I89" i="956"/>
  <c r="I97" i="956"/>
  <c r="I84" i="956"/>
  <c r="B84" i="956" s="1"/>
  <c r="N731" i="956"/>
  <c r="L731" i="956"/>
  <c r="N729" i="956"/>
  <c r="L491" i="956"/>
  <c r="N491" i="956"/>
  <c r="I1333" i="956"/>
  <c r="I1325" i="956"/>
  <c r="I1264" i="956"/>
  <c r="I1256" i="956"/>
  <c r="I1248" i="956"/>
  <c r="I1240" i="956"/>
  <c r="I1232" i="956"/>
  <c r="I1224" i="956"/>
  <c r="I1216" i="956"/>
  <c r="I1208" i="956"/>
  <c r="I1200" i="956"/>
  <c r="I1192" i="956"/>
  <c r="I1184" i="956"/>
  <c r="I1176" i="956"/>
  <c r="I1168" i="956"/>
  <c r="I1332" i="956"/>
  <c r="I1324" i="956"/>
  <c r="P1314" i="956"/>
  <c r="I1314" i="956" s="1"/>
  <c r="P1310" i="956"/>
  <c r="I1310" i="956" s="1"/>
  <c r="P1306" i="956"/>
  <c r="I1306" i="956" s="1"/>
  <c r="P1302" i="956"/>
  <c r="I1302" i="956" s="1"/>
  <c r="P1298" i="956"/>
  <c r="I1298" i="956" s="1"/>
  <c r="P1294" i="956"/>
  <c r="I1294" i="956" s="1"/>
  <c r="P1290" i="956"/>
  <c r="I1290" i="956" s="1"/>
  <c r="P1286" i="956"/>
  <c r="I1286" i="956" s="1"/>
  <c r="P1282" i="956"/>
  <c r="I1282" i="956" s="1"/>
  <c r="P1278" i="956"/>
  <c r="I1278" i="956" s="1"/>
  <c r="P1274" i="956"/>
  <c r="I1274" i="956" s="1"/>
  <c r="P1270" i="956"/>
  <c r="I1270" i="956" s="1"/>
  <c r="I1263" i="956"/>
  <c r="I1255" i="956"/>
  <c r="I1247" i="956"/>
  <c r="I1239" i="956"/>
  <c r="I1231" i="956"/>
  <c r="I1223" i="956"/>
  <c r="I1215" i="956"/>
  <c r="I1207" i="956"/>
  <c r="I1199" i="956"/>
  <c r="I1191" i="956"/>
  <c r="I1183" i="956"/>
  <c r="I1175" i="956"/>
  <c r="I1331" i="956"/>
  <c r="I1262" i="956"/>
  <c r="I1254" i="956"/>
  <c r="I1246" i="956"/>
  <c r="I1238" i="956"/>
  <c r="I1230" i="956"/>
  <c r="I1222" i="956"/>
  <c r="I1214" i="956"/>
  <c r="I1206" i="956"/>
  <c r="I1198" i="956"/>
  <c r="I1190" i="956"/>
  <c r="I1182" i="956"/>
  <c r="I1174" i="956"/>
  <c r="I1166" i="956"/>
  <c r="I1330" i="956"/>
  <c r="P1317" i="956"/>
  <c r="I1317" i="956" s="1"/>
  <c r="I1322" i="956" s="1"/>
  <c r="P1313" i="956"/>
  <c r="I1313" i="956" s="1"/>
  <c r="P1309" i="956"/>
  <c r="I1309" i="956" s="1"/>
  <c r="P1305" i="956"/>
  <c r="I1305" i="956" s="1"/>
  <c r="P1301" i="956"/>
  <c r="I1301" i="956" s="1"/>
  <c r="P1297" i="956"/>
  <c r="I1297" i="956" s="1"/>
  <c r="P1293" i="956"/>
  <c r="I1293" i="956" s="1"/>
  <c r="P1289" i="956"/>
  <c r="I1289" i="956" s="1"/>
  <c r="P1285" i="956"/>
  <c r="I1285" i="956" s="1"/>
  <c r="P1281" i="956"/>
  <c r="I1281" i="956" s="1"/>
  <c r="P1277" i="956"/>
  <c r="I1277" i="956" s="1"/>
  <c r="P1273" i="956"/>
  <c r="I1273" i="956" s="1"/>
  <c r="I1269" i="956"/>
  <c r="I1261" i="956"/>
  <c r="I1253" i="956"/>
  <c r="I1245" i="956"/>
  <c r="I1237" i="956"/>
  <c r="I1229" i="956"/>
  <c r="I1221" i="956"/>
  <c r="I1213" i="956"/>
  <c r="I1205" i="956"/>
  <c r="I1197" i="956"/>
  <c r="I1189" i="956"/>
  <c r="I1181" i="956"/>
  <c r="I1173" i="956"/>
  <c r="I1329" i="956"/>
  <c r="I1268" i="956"/>
  <c r="I1260" i="956"/>
  <c r="I1252" i="956"/>
  <c r="I1244" i="956"/>
  <c r="I1236" i="956"/>
  <c r="I1228" i="956"/>
  <c r="I1220" i="956"/>
  <c r="I1212" i="956"/>
  <c r="I1204" i="956"/>
  <c r="I1196" i="956"/>
  <c r="I1188" i="956"/>
  <c r="I1180" i="956"/>
  <c r="I1172" i="956"/>
  <c r="I1164" i="956"/>
  <c r="I1328" i="956"/>
  <c r="P1316" i="956"/>
  <c r="I1316" i="956" s="1"/>
  <c r="P1312" i="956"/>
  <c r="I1312" i="956" s="1"/>
  <c r="P1308" i="956"/>
  <c r="I1308" i="956" s="1"/>
  <c r="P1304" i="956"/>
  <c r="I1304" i="956" s="1"/>
  <c r="P1300" i="956"/>
  <c r="I1300" i="956" s="1"/>
  <c r="P1296" i="956"/>
  <c r="I1296" i="956" s="1"/>
  <c r="P1292" i="956"/>
  <c r="I1292" i="956" s="1"/>
  <c r="P1288" i="956"/>
  <c r="I1288" i="956" s="1"/>
  <c r="P1284" i="956"/>
  <c r="I1284" i="956" s="1"/>
  <c r="P1280" i="956"/>
  <c r="I1280" i="956" s="1"/>
  <c r="P1276" i="956"/>
  <c r="I1276" i="956" s="1"/>
  <c r="P1272" i="956"/>
  <c r="I1272" i="956" s="1"/>
  <c r="I1267" i="956"/>
  <c r="I1259" i="956"/>
  <c r="I1251" i="956"/>
  <c r="I1243" i="956"/>
  <c r="I1235" i="956"/>
  <c r="I1227" i="956"/>
  <c r="I1219" i="956"/>
  <c r="I1211" i="956"/>
  <c r="I1203" i="956"/>
  <c r="I1195" i="956"/>
  <c r="I1187" i="956"/>
  <c r="I1179" i="956"/>
  <c r="I1171" i="956"/>
  <c r="I1327" i="956"/>
  <c r="I1266" i="956"/>
  <c r="I1258" i="956"/>
  <c r="I1250" i="956"/>
  <c r="I1242" i="956"/>
  <c r="I1234" i="956"/>
  <c r="I1226" i="956"/>
  <c r="I1218" i="956"/>
  <c r="I1210" i="956"/>
  <c r="I1202" i="956"/>
  <c r="I1194" i="956"/>
  <c r="I1186" i="956"/>
  <c r="I1178" i="956"/>
  <c r="I1170" i="956"/>
  <c r="I1326" i="956"/>
  <c r="P1303" i="956"/>
  <c r="I1303" i="956" s="1"/>
  <c r="P1271" i="956"/>
  <c r="I1271" i="956" s="1"/>
  <c r="I1209" i="956"/>
  <c r="P1299" i="956"/>
  <c r="I1299" i="956" s="1"/>
  <c r="I1265" i="956"/>
  <c r="I1201" i="956"/>
  <c r="P1295" i="956"/>
  <c r="I1295" i="956" s="1"/>
  <c r="I1257" i="956"/>
  <c r="I1193" i="956"/>
  <c r="P1291" i="956"/>
  <c r="I1291" i="956" s="1"/>
  <c r="I1249" i="956"/>
  <c r="I1185" i="956"/>
  <c r="P1287" i="956"/>
  <c r="I1287" i="956" s="1"/>
  <c r="I1241" i="956"/>
  <c r="I1177" i="956"/>
  <c r="P1315" i="956"/>
  <c r="I1315" i="956" s="1"/>
  <c r="P1283" i="956"/>
  <c r="I1283" i="956" s="1"/>
  <c r="I1233" i="956"/>
  <c r="I1169" i="956"/>
  <c r="P1311" i="956"/>
  <c r="I1311" i="956" s="1"/>
  <c r="P1279" i="956"/>
  <c r="I1279" i="956" s="1"/>
  <c r="I1225" i="956"/>
  <c r="I1167" i="956"/>
  <c r="P1307" i="956"/>
  <c r="I1307" i="956" s="1"/>
  <c r="P1275" i="956"/>
  <c r="I1275" i="956" s="1"/>
  <c r="I1217" i="956"/>
  <c r="I1165" i="956"/>
  <c r="N383" i="956"/>
  <c r="L383" i="956"/>
  <c r="L571" i="956"/>
  <c r="N571" i="956"/>
  <c r="N482" i="956"/>
  <c r="L482" i="956"/>
  <c r="N381" i="956"/>
  <c r="L381" i="956"/>
  <c r="N322" i="956"/>
  <c r="L322" i="956"/>
  <c r="L728" i="956"/>
  <c r="N728" i="956"/>
  <c r="N458" i="956"/>
  <c r="L458" i="956"/>
  <c r="AJ242" i="956"/>
  <c r="I240" i="956" s="1"/>
  <c r="N240" i="956" s="1"/>
  <c r="AJ253" i="956"/>
  <c r="I251" i="956" s="1"/>
  <c r="N251" i="956" s="1"/>
  <c r="AJ291" i="956"/>
  <c r="I289" i="956" s="1"/>
  <c r="N289" i="956" s="1"/>
  <c r="N736" i="956"/>
  <c r="L736" i="956"/>
  <c r="AJ239" i="956"/>
  <c r="I237" i="956" s="1"/>
  <c r="N237" i="956" s="1"/>
  <c r="AJ235" i="956"/>
  <c r="I233" i="956" s="1"/>
  <c r="N233" i="956" s="1"/>
  <c r="AJ231" i="956"/>
  <c r="I229" i="956" s="1"/>
  <c r="N229" i="956" s="1"/>
  <c r="N107" i="956"/>
  <c r="L107" i="956"/>
  <c r="N397" i="956"/>
  <c r="L397" i="956"/>
  <c r="N351" i="956"/>
  <c r="L351" i="956"/>
  <c r="AD286" i="956"/>
  <c r="AI227" i="956"/>
  <c r="AD230" i="956"/>
  <c r="N653" i="956"/>
  <c r="L653" i="956"/>
  <c r="L639" i="956" s="1"/>
  <c r="L563" i="956"/>
  <c r="N563" i="956"/>
  <c r="N476" i="956"/>
  <c r="L476" i="956"/>
  <c r="L743" i="956"/>
  <c r="N743" i="956"/>
  <c r="N443" i="956"/>
  <c r="L443" i="956"/>
  <c r="AJ250" i="956"/>
  <c r="I248" i="956" s="1"/>
  <c r="N248" i="956" s="1"/>
  <c r="AB286" i="956"/>
  <c r="AH227" i="956"/>
  <c r="AB230" i="956"/>
  <c r="AJ281" i="956"/>
  <c r="I279" i="956" s="1"/>
  <c r="N279" i="956" s="1"/>
  <c r="I425" i="956"/>
  <c r="AJ90" i="956"/>
  <c r="I427" i="956" s="1"/>
  <c r="L519" i="956"/>
  <c r="N683" i="956"/>
  <c r="L683" i="956"/>
  <c r="N472" i="956"/>
  <c r="L472" i="956"/>
  <c r="N366" i="956"/>
  <c r="L366" i="956"/>
  <c r="AJ258" i="956"/>
  <c r="I256" i="956" s="1"/>
  <c r="N256" i="956" s="1"/>
  <c r="AJ269" i="956"/>
  <c r="I267" i="956" s="1"/>
  <c r="N267" i="956" s="1"/>
  <c r="I515" i="956"/>
  <c r="AJ98" i="956"/>
  <c r="I517" i="956" s="1"/>
  <c r="AJ230" i="956"/>
  <c r="I228" i="956" s="1"/>
  <c r="N228" i="956" s="1"/>
  <c r="AJ265" i="956"/>
  <c r="I263" i="956" s="1"/>
  <c r="N263" i="956" s="1"/>
  <c r="N512" i="956"/>
  <c r="L512" i="956"/>
  <c r="N115" i="956"/>
  <c r="L115" i="956"/>
  <c r="L114" i="956" s="1"/>
  <c r="N114" i="956"/>
  <c r="N676" i="956"/>
  <c r="L676" i="956"/>
  <c r="N669" i="956"/>
  <c r="N623" i="956"/>
  <c r="L623" i="956"/>
  <c r="N668" i="956"/>
  <c r="L668" i="956"/>
  <c r="N467" i="956"/>
  <c r="L467" i="956"/>
  <c r="L104" i="956"/>
  <c r="N104" i="956"/>
  <c r="N321" i="956"/>
  <c r="L321" i="956"/>
  <c r="L751" i="956"/>
  <c r="N751" i="956"/>
  <c r="N488" i="956"/>
  <c r="L488" i="956"/>
  <c r="Z286" i="956"/>
  <c r="Z230" i="956"/>
  <c r="L716" i="956"/>
  <c r="N714" i="956"/>
  <c r="N716" i="956"/>
  <c r="N506" i="956"/>
  <c r="L506" i="956"/>
  <c r="B83" i="956"/>
  <c r="L83" i="956"/>
  <c r="N83" i="956"/>
  <c r="N679" i="956"/>
  <c r="L679" i="956"/>
  <c r="L593" i="956"/>
  <c r="N593" i="956"/>
  <c r="I500" i="956"/>
  <c r="AJ97" i="956"/>
  <c r="I502" i="956" s="1"/>
  <c r="N461" i="956"/>
  <c r="N459" i="956"/>
  <c r="L461" i="956"/>
  <c r="N754" i="956"/>
  <c r="L754" i="956"/>
  <c r="N457" i="956"/>
  <c r="L457" i="956"/>
  <c r="C424" i="956"/>
  <c r="C529" i="956"/>
  <c r="C514" i="956"/>
  <c r="C469" i="956"/>
  <c r="C544" i="956"/>
  <c r="C334" i="956"/>
  <c r="C484" i="956"/>
  <c r="C439" i="956"/>
  <c r="C454" i="956"/>
  <c r="C394" i="956"/>
  <c r="C349" i="956"/>
  <c r="C499" i="956"/>
  <c r="C409" i="956"/>
  <c r="C364" i="956"/>
  <c r="C379" i="956"/>
  <c r="C319" i="956"/>
  <c r="N444" i="956"/>
  <c r="L594" i="956"/>
  <c r="AJ274" i="956"/>
  <c r="I272" i="956" s="1"/>
  <c r="N272" i="956" s="1"/>
  <c r="AJ285" i="956"/>
  <c r="I283" i="956" s="1"/>
  <c r="N283" i="956" s="1"/>
  <c r="L707" i="956"/>
  <c r="N707" i="956"/>
  <c r="AD182" i="956"/>
  <c r="AC182" i="956"/>
  <c r="AJ255" i="956"/>
  <c r="I253" i="956" s="1"/>
  <c r="N253" i="956" s="1"/>
  <c r="L722" i="956"/>
  <c r="N722" i="956"/>
  <c r="AJ241" i="956"/>
  <c r="I239" i="956" s="1"/>
  <c r="N239" i="956" s="1"/>
  <c r="AJ249" i="956"/>
  <c r="I247" i="956" s="1"/>
  <c r="N247" i="956" s="1"/>
  <c r="L518" i="956"/>
  <c r="N518" i="956"/>
  <c r="L106" i="956"/>
  <c r="N106" i="956"/>
  <c r="N503" i="956"/>
  <c r="L503" i="956"/>
  <c r="N368" i="956"/>
  <c r="L368" i="956"/>
  <c r="I113" i="956"/>
  <c r="I111" i="956"/>
  <c r="I109" i="956"/>
  <c r="I108" i="956"/>
  <c r="I112" i="956"/>
  <c r="I110" i="956"/>
  <c r="N353" i="956"/>
  <c r="L353" i="956"/>
  <c r="N398" i="956"/>
  <c r="L398" i="956"/>
  <c r="N699" i="956"/>
  <c r="L701" i="956"/>
  <c r="N701" i="956"/>
  <c r="N752" i="956"/>
  <c r="L752" i="956"/>
  <c r="AD183" i="956"/>
  <c r="AC183" i="956"/>
  <c r="L556" i="956"/>
  <c r="N556" i="956"/>
  <c r="I410" i="956"/>
  <c r="AJ89" i="956"/>
  <c r="I412" i="956" s="1"/>
  <c r="N586" i="956"/>
  <c r="L586" i="956"/>
  <c r="AJ232" i="956"/>
  <c r="I230" i="956" s="1"/>
  <c r="N230" i="956" s="1"/>
  <c r="I485" i="956"/>
  <c r="AJ96" i="956"/>
  <c r="I487" i="956" s="1"/>
  <c r="I350" i="956"/>
  <c r="AJ83" i="956"/>
  <c r="I352" i="956" s="1"/>
  <c r="N758" i="956"/>
  <c r="L758" i="956"/>
  <c r="N413" i="956"/>
  <c r="L413" i="956"/>
  <c r="N103" i="956"/>
  <c r="L103" i="956"/>
  <c r="L106" i="955"/>
  <c r="N106" i="955"/>
  <c r="AJ254" i="955"/>
  <c r="I252" i="955" s="1"/>
  <c r="N252" i="955" s="1"/>
  <c r="AJ282" i="955"/>
  <c r="I280" i="955" s="1"/>
  <c r="N280" i="955" s="1"/>
  <c r="AJ267" i="955"/>
  <c r="I265" i="955" s="1"/>
  <c r="N265" i="955" s="1"/>
  <c r="AJ281" i="955"/>
  <c r="I279" i="955" s="1"/>
  <c r="N279" i="955" s="1"/>
  <c r="AJ280" i="955"/>
  <c r="I278" i="955" s="1"/>
  <c r="N278" i="955" s="1"/>
  <c r="AJ279" i="955"/>
  <c r="I277" i="955" s="1"/>
  <c r="N277" i="955" s="1"/>
  <c r="N707" i="955"/>
  <c r="L707" i="955"/>
  <c r="N336" i="955"/>
  <c r="L336" i="955"/>
  <c r="I485" i="955"/>
  <c r="AJ96" i="955"/>
  <c r="I487" i="955" s="1"/>
  <c r="L519" i="955"/>
  <c r="L467" i="955"/>
  <c r="N467" i="955"/>
  <c r="N563" i="955"/>
  <c r="L563" i="955"/>
  <c r="L351" i="955"/>
  <c r="N351" i="955"/>
  <c r="N556" i="955"/>
  <c r="L556" i="955"/>
  <c r="C664" i="955"/>
  <c r="C604" i="955"/>
  <c r="C649" i="955"/>
  <c r="C709" i="955"/>
  <c r="C559" i="955"/>
  <c r="C739" i="955"/>
  <c r="C724" i="955"/>
  <c r="C784" i="955"/>
  <c r="C679" i="955"/>
  <c r="C574" i="955"/>
  <c r="C754" i="955"/>
  <c r="C619" i="955"/>
  <c r="C694" i="955"/>
  <c r="C589" i="955"/>
  <c r="C634" i="955"/>
  <c r="N398" i="955"/>
  <c r="L398" i="955"/>
  <c r="AJ262" i="955"/>
  <c r="I260" i="955" s="1"/>
  <c r="N260" i="955" s="1"/>
  <c r="AJ245" i="955"/>
  <c r="I243" i="955" s="1"/>
  <c r="N243" i="955" s="1"/>
  <c r="AJ275" i="955"/>
  <c r="I273" i="955" s="1"/>
  <c r="N273" i="955" s="1"/>
  <c r="AJ258" i="955"/>
  <c r="I256" i="955" s="1"/>
  <c r="N256" i="955" s="1"/>
  <c r="AJ293" i="955"/>
  <c r="I291" i="955" s="1"/>
  <c r="N291" i="955" s="1"/>
  <c r="N699" i="955"/>
  <c r="N701" i="955"/>
  <c r="L701" i="955"/>
  <c r="L746" i="955"/>
  <c r="N744" i="955"/>
  <c r="N746" i="955"/>
  <c r="I500" i="955"/>
  <c r="AJ97" i="955"/>
  <c r="I502" i="955" s="1"/>
  <c r="N729" i="955"/>
  <c r="N731" i="955"/>
  <c r="L731" i="955"/>
  <c r="N461" i="955"/>
  <c r="L461" i="955"/>
  <c r="B118" i="955"/>
  <c r="I96" i="955"/>
  <c r="I92" i="955"/>
  <c r="I88" i="955"/>
  <c r="I87" i="955"/>
  <c r="I85" i="955"/>
  <c r="I94" i="955"/>
  <c r="I99" i="955"/>
  <c r="I95" i="955"/>
  <c r="I91" i="955"/>
  <c r="I84" i="955"/>
  <c r="I98" i="955"/>
  <c r="I90" i="955"/>
  <c r="I100" i="955"/>
  <c r="I86" i="955"/>
  <c r="I97" i="955"/>
  <c r="I93" i="955"/>
  <c r="I89" i="955"/>
  <c r="I103" i="955"/>
  <c r="N653" i="955"/>
  <c r="L653" i="955"/>
  <c r="L458" i="955"/>
  <c r="N458" i="955"/>
  <c r="I1333" i="955"/>
  <c r="I1325" i="955"/>
  <c r="I1264" i="955"/>
  <c r="I1256" i="955"/>
  <c r="I1248" i="955"/>
  <c r="I1240" i="955"/>
  <c r="I1232" i="955"/>
  <c r="I1224" i="955"/>
  <c r="I1216" i="955"/>
  <c r="I1208" i="955"/>
  <c r="I1200" i="955"/>
  <c r="I1192" i="955"/>
  <c r="I1184" i="955"/>
  <c r="I1176" i="955"/>
  <c r="I1168" i="955"/>
  <c r="I1332" i="955"/>
  <c r="I1324" i="955"/>
  <c r="P1314" i="955"/>
  <c r="I1314" i="955" s="1"/>
  <c r="P1310" i="955"/>
  <c r="I1310" i="955" s="1"/>
  <c r="P1306" i="955"/>
  <c r="I1306" i="955" s="1"/>
  <c r="P1302" i="955"/>
  <c r="I1302" i="955" s="1"/>
  <c r="P1298" i="955"/>
  <c r="I1298" i="955" s="1"/>
  <c r="P1294" i="955"/>
  <c r="I1294" i="955" s="1"/>
  <c r="P1290" i="955"/>
  <c r="I1290" i="955" s="1"/>
  <c r="P1286" i="955"/>
  <c r="I1286" i="955" s="1"/>
  <c r="P1282" i="955"/>
  <c r="I1282" i="955" s="1"/>
  <c r="P1278" i="955"/>
  <c r="I1278" i="955" s="1"/>
  <c r="P1274" i="955"/>
  <c r="I1274" i="955" s="1"/>
  <c r="P1270" i="955"/>
  <c r="I1270" i="955" s="1"/>
  <c r="I1263" i="955"/>
  <c r="I1255" i="955"/>
  <c r="I1247" i="955"/>
  <c r="I1239" i="955"/>
  <c r="I1231" i="955"/>
  <c r="I1223" i="955"/>
  <c r="I1215" i="955"/>
  <c r="I1207" i="955"/>
  <c r="I1199" i="955"/>
  <c r="I1191" i="955"/>
  <c r="I1183" i="955"/>
  <c r="I1331" i="955"/>
  <c r="I1262" i="955"/>
  <c r="I1254" i="955"/>
  <c r="I1246" i="955"/>
  <c r="I1238" i="955"/>
  <c r="I1230" i="955"/>
  <c r="I1222" i="955"/>
  <c r="I1214" i="955"/>
  <c r="I1206" i="955"/>
  <c r="I1198" i="955"/>
  <c r="I1190" i="955"/>
  <c r="I1182" i="955"/>
  <c r="I1174" i="955"/>
  <c r="I1166" i="955"/>
  <c r="I1330" i="955"/>
  <c r="P1317" i="955"/>
  <c r="I1317" i="955" s="1"/>
  <c r="I1322" i="955" s="1"/>
  <c r="P1313" i="955"/>
  <c r="I1313" i="955" s="1"/>
  <c r="P1309" i="955"/>
  <c r="I1309" i="955" s="1"/>
  <c r="P1305" i="955"/>
  <c r="I1305" i="955" s="1"/>
  <c r="P1301" i="955"/>
  <c r="I1301" i="955" s="1"/>
  <c r="P1297" i="955"/>
  <c r="I1297" i="955" s="1"/>
  <c r="P1293" i="955"/>
  <c r="I1293" i="955" s="1"/>
  <c r="P1289" i="955"/>
  <c r="I1289" i="955" s="1"/>
  <c r="P1285" i="955"/>
  <c r="I1285" i="955" s="1"/>
  <c r="P1281" i="955"/>
  <c r="I1281" i="955" s="1"/>
  <c r="P1277" i="955"/>
  <c r="I1277" i="955" s="1"/>
  <c r="P1273" i="955"/>
  <c r="I1273" i="955" s="1"/>
  <c r="I1269" i="955"/>
  <c r="I1261" i="955"/>
  <c r="I1253" i="955"/>
  <c r="I1245" i="955"/>
  <c r="I1237" i="955"/>
  <c r="I1229" i="955"/>
  <c r="I1221" i="955"/>
  <c r="I1213" i="955"/>
  <c r="I1205" i="955"/>
  <c r="I1197" i="955"/>
  <c r="I1189" i="955"/>
  <c r="I1181" i="955"/>
  <c r="I1329" i="955"/>
  <c r="I1268" i="955"/>
  <c r="I1260" i="955"/>
  <c r="I1252" i="955"/>
  <c r="I1244" i="955"/>
  <c r="I1236" i="955"/>
  <c r="I1228" i="955"/>
  <c r="I1220" i="955"/>
  <c r="I1212" i="955"/>
  <c r="I1204" i="955"/>
  <c r="I1196" i="955"/>
  <c r="I1188" i="955"/>
  <c r="I1180" i="955"/>
  <c r="I1172" i="955"/>
  <c r="I1164" i="955"/>
  <c r="I1328" i="955"/>
  <c r="P1316" i="955"/>
  <c r="I1316" i="955" s="1"/>
  <c r="P1312" i="955"/>
  <c r="I1312" i="955" s="1"/>
  <c r="P1308" i="955"/>
  <c r="I1308" i="955" s="1"/>
  <c r="P1304" i="955"/>
  <c r="I1304" i="955" s="1"/>
  <c r="P1300" i="955"/>
  <c r="I1300" i="955" s="1"/>
  <c r="P1296" i="955"/>
  <c r="I1296" i="955" s="1"/>
  <c r="P1292" i="955"/>
  <c r="I1292" i="955" s="1"/>
  <c r="P1288" i="955"/>
  <c r="I1288" i="955" s="1"/>
  <c r="P1284" i="955"/>
  <c r="I1284" i="955" s="1"/>
  <c r="P1280" i="955"/>
  <c r="I1280" i="955" s="1"/>
  <c r="P1276" i="955"/>
  <c r="I1276" i="955" s="1"/>
  <c r="P1272" i="955"/>
  <c r="I1272" i="955" s="1"/>
  <c r="I1267" i="955"/>
  <c r="I1259" i="955"/>
  <c r="I1251" i="955"/>
  <c r="I1243" i="955"/>
  <c r="I1235" i="955"/>
  <c r="I1227" i="955"/>
  <c r="I1219" i="955"/>
  <c r="I1211" i="955"/>
  <c r="I1203" i="955"/>
  <c r="I1195" i="955"/>
  <c r="I1187" i="955"/>
  <c r="I1179" i="955"/>
  <c r="I1327" i="955"/>
  <c r="I1266" i="955"/>
  <c r="I1258" i="955"/>
  <c r="I1250" i="955"/>
  <c r="I1242" i="955"/>
  <c r="I1234" i="955"/>
  <c r="I1226" i="955"/>
  <c r="I1218" i="955"/>
  <c r="I1210" i="955"/>
  <c r="I1202" i="955"/>
  <c r="I1194" i="955"/>
  <c r="I1186" i="955"/>
  <c r="I1178" i="955"/>
  <c r="I1170" i="955"/>
  <c r="I1326" i="955"/>
  <c r="P1315" i="955"/>
  <c r="I1315" i="955" s="1"/>
  <c r="P1311" i="955"/>
  <c r="I1311" i="955" s="1"/>
  <c r="P1307" i="955"/>
  <c r="I1307" i="955" s="1"/>
  <c r="P1303" i="955"/>
  <c r="I1303" i="955" s="1"/>
  <c r="P1299" i="955"/>
  <c r="I1299" i="955" s="1"/>
  <c r="P1295" i="955"/>
  <c r="I1295" i="955" s="1"/>
  <c r="P1291" i="955"/>
  <c r="I1291" i="955" s="1"/>
  <c r="P1287" i="955"/>
  <c r="I1287" i="955" s="1"/>
  <c r="P1283" i="955"/>
  <c r="I1283" i="955" s="1"/>
  <c r="P1279" i="955"/>
  <c r="I1279" i="955" s="1"/>
  <c r="P1275" i="955"/>
  <c r="I1275" i="955" s="1"/>
  <c r="P1271" i="955"/>
  <c r="I1271" i="955" s="1"/>
  <c r="I1265" i="955"/>
  <c r="I1257" i="955"/>
  <c r="I1249" i="955"/>
  <c r="I1241" i="955"/>
  <c r="I1233" i="955"/>
  <c r="I1225" i="955"/>
  <c r="I1217" i="955"/>
  <c r="I1209" i="955"/>
  <c r="I1201" i="955"/>
  <c r="I1193" i="955"/>
  <c r="I1185" i="955"/>
  <c r="I1177" i="955"/>
  <c r="I1169" i="955"/>
  <c r="I1175" i="955"/>
  <c r="I1173" i="955"/>
  <c r="I1171" i="955"/>
  <c r="I1167" i="955"/>
  <c r="I1165" i="955"/>
  <c r="K302" i="955"/>
  <c r="K218" i="955"/>
  <c r="K75" i="955"/>
  <c r="K130" i="955"/>
  <c r="L534" i="955"/>
  <c r="AJ270" i="955"/>
  <c r="I268" i="955" s="1"/>
  <c r="N268" i="955" s="1"/>
  <c r="AJ296" i="955"/>
  <c r="I294" i="955" s="1"/>
  <c r="N294" i="955" s="1"/>
  <c r="AJ287" i="955"/>
  <c r="I285" i="955" s="1"/>
  <c r="N285" i="955" s="1"/>
  <c r="AB286" i="955"/>
  <c r="AB230" i="955"/>
  <c r="AH227" i="955"/>
  <c r="I320" i="955"/>
  <c r="AJ81" i="955"/>
  <c r="I322" i="955" s="1"/>
  <c r="N497" i="955"/>
  <c r="L497" i="955"/>
  <c r="N752" i="955"/>
  <c r="L752" i="955"/>
  <c r="N482" i="955"/>
  <c r="L482" i="955"/>
  <c r="N737" i="955"/>
  <c r="L737" i="955"/>
  <c r="L751" i="955"/>
  <c r="N751" i="955"/>
  <c r="I111" i="955"/>
  <c r="I109" i="955"/>
  <c r="I112" i="955"/>
  <c r="I110" i="955"/>
  <c r="I113" i="955"/>
  <c r="I470" i="955"/>
  <c r="AJ95" i="955"/>
  <c r="I472" i="955" s="1"/>
  <c r="L743" i="955"/>
  <c r="N743" i="955"/>
  <c r="L512" i="955"/>
  <c r="N512" i="955"/>
  <c r="N638" i="955"/>
  <c r="L638" i="955"/>
  <c r="L624" i="955" s="1"/>
  <c r="N413" i="955"/>
  <c r="L413" i="955"/>
  <c r="L488" i="955"/>
  <c r="N488" i="955"/>
  <c r="AJ294" i="955"/>
  <c r="I292" i="955" s="1"/>
  <c r="N292" i="955" s="1"/>
  <c r="AJ229" i="955"/>
  <c r="I227" i="955" s="1"/>
  <c r="I515" i="955"/>
  <c r="AJ98" i="955"/>
  <c r="I517" i="955" s="1"/>
  <c r="L381" i="955"/>
  <c r="N381" i="955"/>
  <c r="L491" i="955"/>
  <c r="N491" i="955"/>
  <c r="AD182" i="955"/>
  <c r="AC182" i="955"/>
  <c r="N323" i="955"/>
  <c r="L323" i="955"/>
  <c r="N476" i="955"/>
  <c r="L476" i="955"/>
  <c r="AD183" i="955"/>
  <c r="AC183" i="955"/>
  <c r="N108" i="955"/>
  <c r="L108" i="955"/>
  <c r="B83" i="955"/>
  <c r="N83" i="955"/>
  <c r="L83" i="955"/>
  <c r="N506" i="955"/>
  <c r="L506" i="955"/>
  <c r="N698" i="955"/>
  <c r="L698" i="955"/>
  <c r="L684" i="955" s="1"/>
  <c r="N428" i="955"/>
  <c r="L428" i="955"/>
  <c r="N503" i="955"/>
  <c r="L503" i="955"/>
  <c r="AJ286" i="955"/>
  <c r="I284" i="955" s="1"/>
  <c r="N284" i="955" s="1"/>
  <c r="AJ269" i="955"/>
  <c r="I267" i="955" s="1"/>
  <c r="N267" i="955" s="1"/>
  <c r="AJ244" i="955"/>
  <c r="I242" i="955" s="1"/>
  <c r="N242" i="955" s="1"/>
  <c r="AD286" i="955"/>
  <c r="AD230" i="955"/>
  <c r="AI227" i="955"/>
  <c r="AJ257" i="955"/>
  <c r="I255" i="955" s="1"/>
  <c r="N255" i="955" s="1"/>
  <c r="AJ292" i="955"/>
  <c r="I290" i="955" s="1"/>
  <c r="N290" i="955" s="1"/>
  <c r="AJ248" i="955"/>
  <c r="I246" i="955" s="1"/>
  <c r="N246" i="955" s="1"/>
  <c r="AJ247" i="955"/>
  <c r="I245" i="955" s="1"/>
  <c r="N245" i="955" s="1"/>
  <c r="AG227" i="955"/>
  <c r="I425" i="955"/>
  <c r="AJ90" i="955"/>
  <c r="I427" i="955" s="1"/>
  <c r="N661" i="955"/>
  <c r="L661" i="955"/>
  <c r="N654" i="955"/>
  <c r="I410" i="955"/>
  <c r="AJ89" i="955"/>
  <c r="I412" i="955" s="1"/>
  <c r="N713" i="955"/>
  <c r="L713" i="955"/>
  <c r="I395" i="955"/>
  <c r="AJ88" i="955"/>
  <c r="I397" i="955" s="1"/>
  <c r="N353" i="955"/>
  <c r="L353" i="955"/>
  <c r="N758" i="955"/>
  <c r="L758" i="955"/>
  <c r="L383" i="955"/>
  <c r="N383" i="955"/>
  <c r="I335" i="955"/>
  <c r="AJ82" i="955"/>
  <c r="I337" i="955" s="1"/>
  <c r="N646" i="955"/>
  <c r="N639" i="955"/>
  <c r="L646" i="955"/>
  <c r="N683" i="955"/>
  <c r="L683" i="955"/>
  <c r="L443" i="955"/>
  <c r="N443" i="955"/>
  <c r="N518" i="955"/>
  <c r="L518" i="955"/>
  <c r="AJ238" i="955"/>
  <c r="I236" i="955" s="1"/>
  <c r="N236" i="955" s="1"/>
  <c r="AJ277" i="955"/>
  <c r="I275" i="955" s="1"/>
  <c r="N275" i="955" s="1"/>
  <c r="AJ252" i="955"/>
  <c r="I250" i="955" s="1"/>
  <c r="N250" i="955" s="1"/>
  <c r="AJ243" i="955"/>
  <c r="I241" i="955" s="1"/>
  <c r="N241" i="955" s="1"/>
  <c r="AJ283" i="955"/>
  <c r="I281" i="955" s="1"/>
  <c r="N281" i="955" s="1"/>
  <c r="AJ236" i="955"/>
  <c r="I234" i="955" s="1"/>
  <c r="N234" i="955" s="1"/>
  <c r="AJ295" i="955"/>
  <c r="I293" i="955" s="1"/>
  <c r="N293" i="955" s="1"/>
  <c r="AJ256" i="955"/>
  <c r="I254" i="955" s="1"/>
  <c r="N254" i="955" s="1"/>
  <c r="AJ255" i="955"/>
  <c r="I253" i="955" s="1"/>
  <c r="N253" i="955" s="1"/>
  <c r="L115" i="955"/>
  <c r="L114" i="955" s="1"/>
  <c r="N114" i="955"/>
  <c r="N115" i="955"/>
  <c r="N368" i="955"/>
  <c r="L368" i="955"/>
  <c r="N721" i="955"/>
  <c r="L721" i="955"/>
  <c r="I350" i="955"/>
  <c r="AJ83" i="955"/>
  <c r="I352" i="955" s="1"/>
  <c r="N608" i="955"/>
  <c r="L608" i="955"/>
  <c r="L594" i="955" s="1"/>
  <c r="N366" i="955"/>
  <c r="L366" i="955"/>
  <c r="I455" i="955"/>
  <c r="AJ92" i="955"/>
  <c r="I457" i="955" s="1"/>
  <c r="N578" i="955"/>
  <c r="L578" i="955"/>
  <c r="N714" i="955"/>
  <c r="N716" i="955"/>
  <c r="L716" i="955"/>
  <c r="I440" i="955"/>
  <c r="AJ91" i="955"/>
  <c r="I442" i="955" s="1"/>
  <c r="N668" i="955"/>
  <c r="L668" i="955"/>
  <c r="N473" i="955"/>
  <c r="L473" i="955"/>
  <c r="AJ264" i="955"/>
  <c r="I262" i="955" s="1"/>
  <c r="N262" i="955" s="1"/>
  <c r="L105" i="955"/>
  <c r="N105" i="955"/>
  <c r="N107" i="955"/>
  <c r="L107" i="955"/>
  <c r="Z286" i="955"/>
  <c r="N102" i="955"/>
  <c r="L102" i="955"/>
  <c r="N722" i="955"/>
  <c r="L722" i="955"/>
  <c r="L104" i="955"/>
  <c r="N104" i="955"/>
  <c r="N676" i="955"/>
  <c r="L676" i="955"/>
  <c r="N669" i="955"/>
  <c r="N593" i="955"/>
  <c r="L593" i="955"/>
  <c r="L579" i="955" s="1"/>
  <c r="I380" i="955"/>
  <c r="AJ85" i="955"/>
  <c r="I382" i="955" s="1"/>
  <c r="N321" i="955"/>
  <c r="L321" i="955"/>
  <c r="N571" i="955"/>
  <c r="L571" i="955"/>
  <c r="L564" i="955" s="1"/>
  <c r="I365" i="955"/>
  <c r="AJ84" i="955"/>
  <c r="I367" i="955" s="1"/>
  <c r="C544" i="955"/>
  <c r="C529" i="955"/>
  <c r="C484" i="955"/>
  <c r="C454" i="955"/>
  <c r="C379" i="955"/>
  <c r="C319" i="955"/>
  <c r="C499" i="955"/>
  <c r="C409" i="955"/>
  <c r="C394" i="955"/>
  <c r="C334" i="955"/>
  <c r="C514" i="955"/>
  <c r="C469" i="955"/>
  <c r="C424" i="955"/>
  <c r="C349" i="955"/>
  <c r="C439" i="955"/>
  <c r="C364" i="955"/>
  <c r="C753" i="955"/>
  <c r="C648" i="955"/>
  <c r="C723" i="955"/>
  <c r="C708" i="955"/>
  <c r="C663" i="955"/>
  <c r="C558" i="955"/>
  <c r="C783" i="955"/>
  <c r="C738" i="955"/>
  <c r="C678" i="955"/>
  <c r="C618" i="955"/>
  <c r="C573" i="955"/>
  <c r="C693" i="955"/>
  <c r="C633" i="955"/>
  <c r="C588" i="955"/>
  <c r="C603" i="955"/>
  <c r="C768" i="955"/>
  <c r="AJ242" i="954"/>
  <c r="I240" i="954" s="1"/>
  <c r="N240" i="954" s="1"/>
  <c r="Z230" i="954"/>
  <c r="AD286" i="954"/>
  <c r="AD230" i="954"/>
  <c r="AI227" i="954"/>
  <c r="N737" i="954"/>
  <c r="L737" i="954"/>
  <c r="AJ291" i="954"/>
  <c r="I289" i="954" s="1"/>
  <c r="N289" i="954" s="1"/>
  <c r="AJ277" i="954"/>
  <c r="I275" i="954" s="1"/>
  <c r="N275" i="954" s="1"/>
  <c r="N497" i="954"/>
  <c r="L497" i="954"/>
  <c r="AJ249" i="954"/>
  <c r="I247" i="954" s="1"/>
  <c r="N247" i="954" s="1"/>
  <c r="AJ296" i="954"/>
  <c r="I294" i="954" s="1"/>
  <c r="N294" i="954" s="1"/>
  <c r="AJ295" i="954"/>
  <c r="I293" i="954" s="1"/>
  <c r="N293" i="954" s="1"/>
  <c r="N736" i="954"/>
  <c r="L736" i="954"/>
  <c r="AJ255" i="954"/>
  <c r="I253" i="954" s="1"/>
  <c r="N253" i="954" s="1"/>
  <c r="AJ238" i="954"/>
  <c r="I236" i="954" s="1"/>
  <c r="N236" i="954" s="1"/>
  <c r="AJ245" i="954"/>
  <c r="I243" i="954" s="1"/>
  <c r="N243" i="954" s="1"/>
  <c r="N517" i="954"/>
  <c r="L517" i="954"/>
  <c r="N563" i="954"/>
  <c r="L563" i="954"/>
  <c r="I395" i="954"/>
  <c r="AJ88" i="954"/>
  <c r="I397" i="954" s="1"/>
  <c r="I109" i="954"/>
  <c r="I113" i="954"/>
  <c r="I111" i="954"/>
  <c r="I112" i="954"/>
  <c r="I110" i="954"/>
  <c r="I103" i="954"/>
  <c r="I455" i="954"/>
  <c r="AJ92" i="954"/>
  <c r="I457" i="954" s="1"/>
  <c r="N631" i="954"/>
  <c r="N624" i="954"/>
  <c r="L631" i="954"/>
  <c r="N467" i="954"/>
  <c r="L467" i="954"/>
  <c r="L366" i="954"/>
  <c r="N366" i="954"/>
  <c r="I104" i="954"/>
  <c r="N105" i="954"/>
  <c r="L105" i="954"/>
  <c r="AJ258" i="954"/>
  <c r="I256" i="954" s="1"/>
  <c r="N256" i="954" s="1"/>
  <c r="AJ234" i="954"/>
  <c r="I232" i="954" s="1"/>
  <c r="N232" i="954" s="1"/>
  <c r="AJ268" i="954"/>
  <c r="I266" i="954" s="1"/>
  <c r="N266" i="954" s="1"/>
  <c r="AJ262" i="954"/>
  <c r="I260" i="954" s="1"/>
  <c r="N260" i="954" s="1"/>
  <c r="AJ264" i="954"/>
  <c r="I262" i="954" s="1"/>
  <c r="N262" i="954" s="1"/>
  <c r="AJ288" i="954"/>
  <c r="I286" i="954" s="1"/>
  <c r="N286" i="954" s="1"/>
  <c r="AB286" i="954"/>
  <c r="AB230" i="954"/>
  <c r="AJ229" i="954"/>
  <c r="I227" i="954" s="1"/>
  <c r="N227" i="954" s="1"/>
  <c r="AJ254" i="954"/>
  <c r="I252" i="954" s="1"/>
  <c r="N252" i="954" s="1"/>
  <c r="AJ253" i="954"/>
  <c r="I251" i="954" s="1"/>
  <c r="N251" i="954" s="1"/>
  <c r="AJ228" i="954"/>
  <c r="I226" i="954" s="1"/>
  <c r="AJ251" i="954"/>
  <c r="I249" i="954" s="1"/>
  <c r="N249" i="954" s="1"/>
  <c r="N593" i="954"/>
  <c r="L593" i="954"/>
  <c r="L579" i="954" s="1"/>
  <c r="L578" i="954"/>
  <c r="L564" i="954" s="1"/>
  <c r="N578" i="954"/>
  <c r="L367" i="954"/>
  <c r="N367" i="954"/>
  <c r="N351" i="954"/>
  <c r="L351" i="954"/>
  <c r="N731" i="954"/>
  <c r="L731" i="954"/>
  <c r="N729" i="954"/>
  <c r="L352" i="954"/>
  <c r="N352" i="954"/>
  <c r="N368" i="954"/>
  <c r="L368" i="954"/>
  <c r="N754" i="954"/>
  <c r="L754" i="954"/>
  <c r="N683" i="954"/>
  <c r="L683" i="954"/>
  <c r="N458" i="954"/>
  <c r="L458" i="954"/>
  <c r="N743" i="954"/>
  <c r="L743" i="954"/>
  <c r="N608" i="954"/>
  <c r="L608" i="954"/>
  <c r="L594" i="954" s="1"/>
  <c r="I106" i="954"/>
  <c r="N503" i="954"/>
  <c r="L503" i="954"/>
  <c r="I1333" i="954"/>
  <c r="I1325" i="954"/>
  <c r="I1264" i="954"/>
  <c r="I1256" i="954"/>
  <c r="I1248" i="954"/>
  <c r="I1240" i="954"/>
  <c r="I1232" i="954"/>
  <c r="I1224" i="954"/>
  <c r="I1216" i="954"/>
  <c r="I1208" i="954"/>
  <c r="I1200" i="954"/>
  <c r="I1192" i="954"/>
  <c r="I1184" i="954"/>
  <c r="I1176" i="954"/>
  <c r="I1168" i="954"/>
  <c r="I1332" i="954"/>
  <c r="I1324" i="954"/>
  <c r="P1314" i="954"/>
  <c r="I1314" i="954" s="1"/>
  <c r="P1310" i="954"/>
  <c r="I1310" i="954" s="1"/>
  <c r="P1306" i="954"/>
  <c r="I1306" i="954" s="1"/>
  <c r="P1302" i="954"/>
  <c r="I1302" i="954" s="1"/>
  <c r="P1298" i="954"/>
  <c r="I1298" i="954" s="1"/>
  <c r="P1294" i="954"/>
  <c r="I1294" i="954" s="1"/>
  <c r="P1290" i="954"/>
  <c r="I1290" i="954" s="1"/>
  <c r="P1286" i="954"/>
  <c r="I1286" i="954" s="1"/>
  <c r="P1282" i="954"/>
  <c r="I1282" i="954" s="1"/>
  <c r="P1278" i="954"/>
  <c r="I1278" i="954" s="1"/>
  <c r="P1274" i="954"/>
  <c r="I1274" i="954" s="1"/>
  <c r="P1270" i="954"/>
  <c r="I1270" i="954" s="1"/>
  <c r="I1263" i="954"/>
  <c r="I1255" i="954"/>
  <c r="I1247" i="954"/>
  <c r="I1239" i="954"/>
  <c r="I1231" i="954"/>
  <c r="I1223" i="954"/>
  <c r="I1215" i="954"/>
  <c r="I1207" i="954"/>
  <c r="I1199" i="954"/>
  <c r="I1331" i="954"/>
  <c r="I1262" i="954"/>
  <c r="I1254" i="954"/>
  <c r="I1246" i="954"/>
  <c r="I1238" i="954"/>
  <c r="I1230" i="954"/>
  <c r="I1222" i="954"/>
  <c r="I1214" i="954"/>
  <c r="I1206" i="954"/>
  <c r="I1198" i="954"/>
  <c r="I1190" i="954"/>
  <c r="I1182" i="954"/>
  <c r="I1174" i="954"/>
  <c r="I1166" i="954"/>
  <c r="I1330" i="954"/>
  <c r="P1317" i="954"/>
  <c r="I1317" i="954" s="1"/>
  <c r="I1322" i="954" s="1"/>
  <c r="P1313" i="954"/>
  <c r="I1313" i="954" s="1"/>
  <c r="P1309" i="954"/>
  <c r="I1309" i="954" s="1"/>
  <c r="P1305" i="954"/>
  <c r="I1305" i="954" s="1"/>
  <c r="P1301" i="954"/>
  <c r="I1301" i="954" s="1"/>
  <c r="P1297" i="954"/>
  <c r="I1297" i="954" s="1"/>
  <c r="P1293" i="954"/>
  <c r="I1293" i="954" s="1"/>
  <c r="P1289" i="954"/>
  <c r="I1289" i="954" s="1"/>
  <c r="P1285" i="954"/>
  <c r="I1285" i="954" s="1"/>
  <c r="P1281" i="954"/>
  <c r="I1281" i="954" s="1"/>
  <c r="P1277" i="954"/>
  <c r="I1277" i="954" s="1"/>
  <c r="P1273" i="954"/>
  <c r="I1273" i="954" s="1"/>
  <c r="I1269" i="954"/>
  <c r="I1261" i="954"/>
  <c r="I1253" i="954"/>
  <c r="I1245" i="954"/>
  <c r="I1237" i="954"/>
  <c r="I1229" i="954"/>
  <c r="I1221" i="954"/>
  <c r="I1213" i="954"/>
  <c r="I1205" i="954"/>
  <c r="I1197" i="954"/>
  <c r="I1329" i="954"/>
  <c r="I1268" i="954"/>
  <c r="I1260" i="954"/>
  <c r="I1252" i="954"/>
  <c r="I1244" i="954"/>
  <c r="I1236" i="954"/>
  <c r="I1228" i="954"/>
  <c r="I1220" i="954"/>
  <c r="I1212" i="954"/>
  <c r="I1204" i="954"/>
  <c r="I1196" i="954"/>
  <c r="I1188" i="954"/>
  <c r="I1180" i="954"/>
  <c r="I1172" i="954"/>
  <c r="I1164" i="954"/>
  <c r="I1328" i="954"/>
  <c r="P1316" i="954"/>
  <c r="I1316" i="954" s="1"/>
  <c r="P1312" i="954"/>
  <c r="I1312" i="954" s="1"/>
  <c r="P1308" i="954"/>
  <c r="I1308" i="954" s="1"/>
  <c r="P1304" i="954"/>
  <c r="I1304" i="954" s="1"/>
  <c r="P1300" i="954"/>
  <c r="I1300" i="954" s="1"/>
  <c r="P1296" i="954"/>
  <c r="I1296" i="954" s="1"/>
  <c r="P1292" i="954"/>
  <c r="I1292" i="954" s="1"/>
  <c r="P1288" i="954"/>
  <c r="I1288" i="954" s="1"/>
  <c r="P1284" i="954"/>
  <c r="I1284" i="954" s="1"/>
  <c r="P1280" i="954"/>
  <c r="I1280" i="954" s="1"/>
  <c r="P1276" i="954"/>
  <c r="I1276" i="954" s="1"/>
  <c r="P1272" i="954"/>
  <c r="I1272" i="954" s="1"/>
  <c r="I1267" i="954"/>
  <c r="I1259" i="954"/>
  <c r="I1251" i="954"/>
  <c r="I1243" i="954"/>
  <c r="I1235" i="954"/>
  <c r="I1227" i="954"/>
  <c r="I1219" i="954"/>
  <c r="I1211" i="954"/>
  <c r="I1203" i="954"/>
  <c r="I1195" i="954"/>
  <c r="I1187" i="954"/>
  <c r="I1179" i="954"/>
  <c r="I1171" i="954"/>
  <c r="I1327" i="954"/>
  <c r="I1266" i="954"/>
  <c r="I1258" i="954"/>
  <c r="I1250" i="954"/>
  <c r="I1242" i="954"/>
  <c r="I1234" i="954"/>
  <c r="I1226" i="954"/>
  <c r="I1218" i="954"/>
  <c r="I1210" i="954"/>
  <c r="I1202" i="954"/>
  <c r="I1194" i="954"/>
  <c r="I1186" i="954"/>
  <c r="I1178" i="954"/>
  <c r="I1170" i="954"/>
  <c r="I1326" i="954"/>
  <c r="P1315" i="954"/>
  <c r="I1315" i="954" s="1"/>
  <c r="P1311" i="954"/>
  <c r="I1311" i="954" s="1"/>
  <c r="P1307" i="954"/>
  <c r="I1307" i="954" s="1"/>
  <c r="P1303" i="954"/>
  <c r="I1303" i="954" s="1"/>
  <c r="P1299" i="954"/>
  <c r="I1299" i="954" s="1"/>
  <c r="P1295" i="954"/>
  <c r="I1295" i="954" s="1"/>
  <c r="P1291" i="954"/>
  <c r="I1291" i="954" s="1"/>
  <c r="P1287" i="954"/>
  <c r="I1287" i="954" s="1"/>
  <c r="P1283" i="954"/>
  <c r="I1283" i="954" s="1"/>
  <c r="P1279" i="954"/>
  <c r="I1279" i="954" s="1"/>
  <c r="P1275" i="954"/>
  <c r="I1275" i="954" s="1"/>
  <c r="P1271" i="954"/>
  <c r="I1271" i="954" s="1"/>
  <c r="I1265" i="954"/>
  <c r="I1257" i="954"/>
  <c r="I1249" i="954"/>
  <c r="I1241" i="954"/>
  <c r="I1233" i="954"/>
  <c r="I1225" i="954"/>
  <c r="I1217" i="954"/>
  <c r="I1209" i="954"/>
  <c r="I1201" i="954"/>
  <c r="I1193" i="954"/>
  <c r="I1185" i="954"/>
  <c r="I1177" i="954"/>
  <c r="I1169" i="954"/>
  <c r="I1173" i="954"/>
  <c r="I1167" i="954"/>
  <c r="I1165" i="954"/>
  <c r="I1191" i="954"/>
  <c r="I1189" i="954"/>
  <c r="I1183" i="954"/>
  <c r="I1181" i="954"/>
  <c r="I1175" i="954"/>
  <c r="N751" i="954"/>
  <c r="L751" i="954"/>
  <c r="AJ267" i="954"/>
  <c r="I265" i="954" s="1"/>
  <c r="N265" i="954" s="1"/>
  <c r="AJ270" i="954"/>
  <c r="I268" i="954" s="1"/>
  <c r="N268" i="954" s="1"/>
  <c r="AJ272" i="954"/>
  <c r="I270" i="954" s="1"/>
  <c r="N270" i="954" s="1"/>
  <c r="L707" i="954"/>
  <c r="N707" i="954"/>
  <c r="AJ230" i="954"/>
  <c r="I228" i="954" s="1"/>
  <c r="N228" i="954" s="1"/>
  <c r="AJ261" i="954"/>
  <c r="I259" i="954" s="1"/>
  <c r="N259" i="954" s="1"/>
  <c r="AG227" i="954"/>
  <c r="AJ263" i="954"/>
  <c r="I261" i="954" s="1"/>
  <c r="N261" i="954" s="1"/>
  <c r="AJ244" i="954"/>
  <c r="I242" i="954" s="1"/>
  <c r="N242" i="954" s="1"/>
  <c r="AD183" i="954"/>
  <c r="AC183" i="954"/>
  <c r="N758" i="954"/>
  <c r="L758" i="954"/>
  <c r="L512" i="954"/>
  <c r="N512" i="954"/>
  <c r="N744" i="954"/>
  <c r="L746" i="954"/>
  <c r="N746" i="954"/>
  <c r="N398" i="954"/>
  <c r="L398" i="954"/>
  <c r="N339" i="954"/>
  <c r="L323" i="954"/>
  <c r="N323" i="954"/>
  <c r="N518" i="954"/>
  <c r="L518" i="954"/>
  <c r="L461" i="954"/>
  <c r="N461" i="954"/>
  <c r="N459" i="954"/>
  <c r="AJ275" i="954"/>
  <c r="I273" i="954" s="1"/>
  <c r="N273" i="954" s="1"/>
  <c r="AJ284" i="954"/>
  <c r="I282" i="954" s="1"/>
  <c r="N282" i="954" s="1"/>
  <c r="AJ278" i="954"/>
  <c r="I276" i="954" s="1"/>
  <c r="N276" i="954" s="1"/>
  <c r="AJ280" i="954"/>
  <c r="I278" i="954" s="1"/>
  <c r="N278" i="954" s="1"/>
  <c r="N701" i="954"/>
  <c r="L701" i="954"/>
  <c r="N699" i="954"/>
  <c r="AJ248" i="954"/>
  <c r="I246" i="954" s="1"/>
  <c r="N246" i="954" s="1"/>
  <c r="AJ259" i="954"/>
  <c r="I257" i="954" s="1"/>
  <c r="N257" i="954" s="1"/>
  <c r="AJ239" i="954"/>
  <c r="I237" i="954" s="1"/>
  <c r="N237" i="954" s="1"/>
  <c r="AJ252" i="954"/>
  <c r="I250" i="954" s="1"/>
  <c r="N250" i="954" s="1"/>
  <c r="AJ231" i="954"/>
  <c r="I229" i="954" s="1"/>
  <c r="N229" i="954" s="1"/>
  <c r="N653" i="954"/>
  <c r="L653" i="954"/>
  <c r="L639" i="954" s="1"/>
  <c r="N504" i="954"/>
  <c r="N506" i="954"/>
  <c r="L506" i="954"/>
  <c r="N752" i="954"/>
  <c r="L752" i="954"/>
  <c r="I94" i="954"/>
  <c r="I92" i="954"/>
  <c r="I91" i="954"/>
  <c r="I100" i="954"/>
  <c r="I97" i="954"/>
  <c r="I86" i="954"/>
  <c r="I90" i="954"/>
  <c r="I96" i="954"/>
  <c r="I95" i="954"/>
  <c r="B118" i="954"/>
  <c r="I89" i="954"/>
  <c r="I85" i="954"/>
  <c r="I99" i="954"/>
  <c r="I87" i="954"/>
  <c r="I93" i="954"/>
  <c r="I88" i="954"/>
  <c r="I98" i="954"/>
  <c r="I84" i="954"/>
  <c r="B84" i="954" s="1"/>
  <c r="N115" i="954"/>
  <c r="L115" i="954"/>
  <c r="L114" i="954" s="1"/>
  <c r="N114" i="954"/>
  <c r="N638" i="954"/>
  <c r="L638" i="954"/>
  <c r="L443" i="954"/>
  <c r="L429" i="954" s="1"/>
  <c r="N443" i="954"/>
  <c r="C514" i="954"/>
  <c r="C469" i="954"/>
  <c r="C499" i="954"/>
  <c r="C529" i="954"/>
  <c r="C544" i="954"/>
  <c r="C439" i="954"/>
  <c r="C409" i="954"/>
  <c r="C484" i="954"/>
  <c r="C379" i="954"/>
  <c r="C424" i="954"/>
  <c r="C349" i="954"/>
  <c r="C319" i="954"/>
  <c r="C454" i="954"/>
  <c r="C334" i="954"/>
  <c r="C394" i="954"/>
  <c r="C364" i="954"/>
  <c r="N473" i="954"/>
  <c r="L473" i="954"/>
  <c r="L519" i="954"/>
  <c r="N83" i="954"/>
  <c r="L83" i="954"/>
  <c r="B83" i="954"/>
  <c r="N698" i="954"/>
  <c r="L698" i="954"/>
  <c r="L684" i="954" s="1"/>
  <c r="N338" i="954"/>
  <c r="L338" i="954"/>
  <c r="L713" i="954"/>
  <c r="N713" i="954"/>
  <c r="N482" i="954"/>
  <c r="L482" i="954"/>
  <c r="N706" i="954"/>
  <c r="L706" i="954"/>
  <c r="I485" i="954"/>
  <c r="AJ96" i="954"/>
  <c r="I487" i="954" s="1"/>
  <c r="C754" i="954"/>
  <c r="C694" i="954"/>
  <c r="C634" i="954"/>
  <c r="C724" i="954"/>
  <c r="C664" i="954"/>
  <c r="C739" i="954"/>
  <c r="C709" i="954"/>
  <c r="C679" i="954"/>
  <c r="C589" i="954"/>
  <c r="C784" i="954"/>
  <c r="C559" i="954"/>
  <c r="C649" i="954"/>
  <c r="C574" i="954"/>
  <c r="C619" i="954"/>
  <c r="C604" i="954"/>
  <c r="N488" i="954"/>
  <c r="L488" i="954"/>
  <c r="L534" i="954"/>
  <c r="AJ250" i="954"/>
  <c r="I248" i="954" s="1"/>
  <c r="N248" i="954" s="1"/>
  <c r="AJ273" i="954"/>
  <c r="I271" i="954" s="1"/>
  <c r="N271" i="954" s="1"/>
  <c r="AJ286" i="954"/>
  <c r="I284" i="954" s="1"/>
  <c r="N284" i="954" s="1"/>
  <c r="AJ279" i="954"/>
  <c r="I277" i="954" s="1"/>
  <c r="N277" i="954" s="1"/>
  <c r="AJ281" i="954"/>
  <c r="I279" i="954" s="1"/>
  <c r="N279" i="954" s="1"/>
  <c r="L491" i="954"/>
  <c r="N489" i="954"/>
  <c r="N491" i="954"/>
  <c r="AJ271" i="954"/>
  <c r="I269" i="954" s="1"/>
  <c r="N269" i="954" s="1"/>
  <c r="N714" i="954"/>
  <c r="N716" i="954"/>
  <c r="L716" i="954"/>
  <c r="L383" i="954"/>
  <c r="N383" i="954"/>
  <c r="I335" i="954"/>
  <c r="AJ82" i="954"/>
  <c r="I337" i="954" s="1"/>
  <c r="N427" i="954"/>
  <c r="L427" i="954"/>
  <c r="L414" i="954" s="1"/>
  <c r="I320" i="954"/>
  <c r="AJ81" i="954"/>
  <c r="I322" i="954" s="1"/>
  <c r="N661" i="954"/>
  <c r="N654" i="954"/>
  <c r="L661" i="954"/>
  <c r="I108" i="954"/>
  <c r="N476" i="954"/>
  <c r="L476" i="954"/>
  <c r="N382" i="954"/>
  <c r="L382" i="954"/>
  <c r="N676" i="954"/>
  <c r="N669" i="954"/>
  <c r="L676" i="954"/>
  <c r="K302" i="954"/>
  <c r="K218" i="954"/>
  <c r="K75" i="954"/>
  <c r="K130" i="954"/>
  <c r="N722" i="954"/>
  <c r="L722" i="954"/>
  <c r="L413" i="954"/>
  <c r="N413" i="954"/>
  <c r="N556" i="954"/>
  <c r="L556" i="954"/>
  <c r="N664" i="954"/>
  <c r="L664" i="954"/>
  <c r="L472" i="954"/>
  <c r="N472" i="954"/>
  <c r="N369" i="954"/>
  <c r="I1158" i="953"/>
  <c r="I1157" i="953"/>
  <c r="AJ291" i="953"/>
  <c r="I289" i="953" s="1"/>
  <c r="N289" i="953" s="1"/>
  <c r="AJ264" i="953"/>
  <c r="I262" i="953" s="1"/>
  <c r="N262" i="953" s="1"/>
  <c r="AJ252" i="953"/>
  <c r="I250" i="953" s="1"/>
  <c r="N250" i="953" s="1"/>
  <c r="AJ270" i="953"/>
  <c r="I268" i="953" s="1"/>
  <c r="N268" i="953" s="1"/>
  <c r="AJ273" i="953"/>
  <c r="I271" i="953" s="1"/>
  <c r="N271" i="953" s="1"/>
  <c r="AJ292" i="953"/>
  <c r="I290" i="953" s="1"/>
  <c r="N290" i="953" s="1"/>
  <c r="AJ260" i="953"/>
  <c r="I258" i="953" s="1"/>
  <c r="N258" i="953" s="1"/>
  <c r="AJ295" i="953"/>
  <c r="I293" i="953" s="1"/>
  <c r="N293" i="953" s="1"/>
  <c r="N701" i="953"/>
  <c r="N699" i="953"/>
  <c r="L701" i="953"/>
  <c r="AB286" i="953"/>
  <c r="AB230" i="953"/>
  <c r="AH227" i="953"/>
  <c r="AJ256" i="953"/>
  <c r="I254" i="953" s="1"/>
  <c r="N254" i="953" s="1"/>
  <c r="AJ246" i="953"/>
  <c r="I244" i="953" s="1"/>
  <c r="N244" i="953" s="1"/>
  <c r="L631" i="953"/>
  <c r="N631" i="953"/>
  <c r="N624" i="953"/>
  <c r="L497" i="953"/>
  <c r="N497" i="953"/>
  <c r="L367" i="953"/>
  <c r="N367" i="953"/>
  <c r="I440" i="953"/>
  <c r="AJ91" i="953"/>
  <c r="I442" i="953" s="1"/>
  <c r="L383" i="953"/>
  <c r="N383" i="953"/>
  <c r="I335" i="953"/>
  <c r="AJ82" i="953"/>
  <c r="I337" i="953" s="1"/>
  <c r="AJ274" i="953"/>
  <c r="I272" i="953" s="1"/>
  <c r="N272" i="953" s="1"/>
  <c r="AJ261" i="953"/>
  <c r="I259" i="953" s="1"/>
  <c r="N259" i="953" s="1"/>
  <c r="AJ241" i="953"/>
  <c r="I239" i="953" s="1"/>
  <c r="N239" i="953" s="1"/>
  <c r="AJ278" i="953"/>
  <c r="I276" i="953" s="1"/>
  <c r="N276" i="953" s="1"/>
  <c r="AJ281" i="953"/>
  <c r="I279" i="953" s="1"/>
  <c r="N279" i="953" s="1"/>
  <c r="AJ267" i="953"/>
  <c r="I265" i="953" s="1"/>
  <c r="N265" i="953" s="1"/>
  <c r="AJ268" i="953"/>
  <c r="I266" i="953" s="1"/>
  <c r="N266" i="953" s="1"/>
  <c r="AJ294" i="953"/>
  <c r="I292" i="953" s="1"/>
  <c r="N292" i="953" s="1"/>
  <c r="B118" i="953"/>
  <c r="I96" i="953"/>
  <c r="I92" i="953"/>
  <c r="I88" i="953"/>
  <c r="I87" i="953"/>
  <c r="I85" i="953"/>
  <c r="I94" i="953"/>
  <c r="I99" i="953"/>
  <c r="I95" i="953"/>
  <c r="I91" i="953"/>
  <c r="I84" i="953"/>
  <c r="I98" i="953"/>
  <c r="I90" i="953"/>
  <c r="I100" i="953"/>
  <c r="I86" i="953"/>
  <c r="I97" i="953"/>
  <c r="I93" i="953"/>
  <c r="I89" i="953"/>
  <c r="L556" i="953"/>
  <c r="N556" i="953"/>
  <c r="I320" i="953"/>
  <c r="AJ81" i="953"/>
  <c r="I322" i="953" s="1"/>
  <c r="N491" i="953"/>
  <c r="L491" i="953"/>
  <c r="N713" i="953"/>
  <c r="L713" i="953"/>
  <c r="L487" i="953"/>
  <c r="N487" i="953"/>
  <c r="N366" i="953"/>
  <c r="L366" i="953"/>
  <c r="K302" i="953"/>
  <c r="K218" i="953"/>
  <c r="K130" i="953"/>
  <c r="K75" i="953"/>
  <c r="AJ257" i="953"/>
  <c r="I255" i="953" s="1"/>
  <c r="N255" i="953" s="1"/>
  <c r="AJ249" i="953"/>
  <c r="I247" i="953" s="1"/>
  <c r="N247" i="953" s="1"/>
  <c r="AJ271" i="953"/>
  <c r="I269" i="953" s="1"/>
  <c r="N269" i="953" s="1"/>
  <c r="AJ296" i="953"/>
  <c r="I294" i="953" s="1"/>
  <c r="N294" i="953" s="1"/>
  <c r="AJ275" i="953"/>
  <c r="I273" i="953" s="1"/>
  <c r="N273" i="953" s="1"/>
  <c r="AJ276" i="953"/>
  <c r="I274" i="953" s="1"/>
  <c r="N274" i="953" s="1"/>
  <c r="AJ240" i="953"/>
  <c r="I238" i="953" s="1"/>
  <c r="N238" i="953" s="1"/>
  <c r="N744" i="953"/>
  <c r="L746" i="953"/>
  <c r="N746" i="953"/>
  <c r="L737" i="953"/>
  <c r="N737" i="953"/>
  <c r="N512" i="953"/>
  <c r="L512" i="953"/>
  <c r="I515" i="953"/>
  <c r="AJ98" i="953"/>
  <c r="I517" i="953" s="1"/>
  <c r="L381" i="953"/>
  <c r="N381" i="953"/>
  <c r="N736" i="953"/>
  <c r="L736" i="953"/>
  <c r="N728" i="953"/>
  <c r="L728" i="953"/>
  <c r="N382" i="953"/>
  <c r="L382" i="953"/>
  <c r="N336" i="953"/>
  <c r="L336" i="953"/>
  <c r="N676" i="953"/>
  <c r="L676" i="953"/>
  <c r="N669" i="953"/>
  <c r="L586" i="953"/>
  <c r="N586" i="953"/>
  <c r="N571" i="953"/>
  <c r="L571" i="953"/>
  <c r="N488" i="953"/>
  <c r="L488" i="953"/>
  <c r="L752" i="953"/>
  <c r="N752" i="953"/>
  <c r="AD230" i="953"/>
  <c r="L731" i="953"/>
  <c r="N729" i="953"/>
  <c r="N731" i="953"/>
  <c r="L506" i="953"/>
  <c r="N506" i="953"/>
  <c r="I425" i="953"/>
  <c r="AJ90" i="953"/>
  <c r="I427" i="953" s="1"/>
  <c r="L739" i="953"/>
  <c r="N739" i="953"/>
  <c r="N106" i="953"/>
  <c r="L106" i="953"/>
  <c r="N368" i="953"/>
  <c r="L368" i="953"/>
  <c r="N107" i="953"/>
  <c r="L107" i="953"/>
  <c r="L428" i="953"/>
  <c r="N428" i="953"/>
  <c r="L608" i="953"/>
  <c r="L594" i="953" s="1"/>
  <c r="N608" i="953"/>
  <c r="N413" i="953"/>
  <c r="L413" i="953"/>
  <c r="L679" i="953"/>
  <c r="N679" i="953"/>
  <c r="L578" i="953"/>
  <c r="N578" i="953"/>
  <c r="N563" i="953"/>
  <c r="L563" i="953"/>
  <c r="N354" i="953"/>
  <c r="I1333" i="953"/>
  <c r="I1325" i="953"/>
  <c r="I1264" i="953"/>
  <c r="I1256" i="953"/>
  <c r="I1248" i="953"/>
  <c r="I1240" i="953"/>
  <c r="I1232" i="953"/>
  <c r="I1224" i="953"/>
  <c r="I1216" i="953"/>
  <c r="I1208" i="953"/>
  <c r="I1200" i="953"/>
  <c r="I1192" i="953"/>
  <c r="I1184" i="953"/>
  <c r="I1176" i="953"/>
  <c r="I1168" i="953"/>
  <c r="I1332" i="953"/>
  <c r="I1324" i="953"/>
  <c r="P1314" i="953"/>
  <c r="I1314" i="953" s="1"/>
  <c r="P1310" i="953"/>
  <c r="I1310" i="953" s="1"/>
  <c r="P1306" i="953"/>
  <c r="I1306" i="953" s="1"/>
  <c r="P1302" i="953"/>
  <c r="I1302" i="953" s="1"/>
  <c r="P1298" i="953"/>
  <c r="I1298" i="953" s="1"/>
  <c r="P1294" i="953"/>
  <c r="I1294" i="953" s="1"/>
  <c r="P1290" i="953"/>
  <c r="I1290" i="953" s="1"/>
  <c r="P1286" i="953"/>
  <c r="I1286" i="953" s="1"/>
  <c r="P1282" i="953"/>
  <c r="I1282" i="953" s="1"/>
  <c r="P1278" i="953"/>
  <c r="I1278" i="953" s="1"/>
  <c r="P1274" i="953"/>
  <c r="I1274" i="953" s="1"/>
  <c r="P1270" i="953"/>
  <c r="I1270" i="953" s="1"/>
  <c r="I1263" i="953"/>
  <c r="I1255" i="953"/>
  <c r="I1247" i="953"/>
  <c r="I1239" i="953"/>
  <c r="I1231" i="953"/>
  <c r="I1223" i="953"/>
  <c r="I1215" i="953"/>
  <c r="I1207" i="953"/>
  <c r="I1199" i="953"/>
  <c r="I1191" i="953"/>
  <c r="I1183" i="953"/>
  <c r="I1331" i="953"/>
  <c r="I1262" i="953"/>
  <c r="I1254" i="953"/>
  <c r="I1246" i="953"/>
  <c r="I1238" i="953"/>
  <c r="I1230" i="953"/>
  <c r="I1222" i="953"/>
  <c r="I1214" i="953"/>
  <c r="I1206" i="953"/>
  <c r="I1198" i="953"/>
  <c r="I1190" i="953"/>
  <c r="I1182" i="953"/>
  <c r="I1174" i="953"/>
  <c r="I1166" i="953"/>
  <c r="I1330" i="953"/>
  <c r="P1317" i="953"/>
  <c r="I1317" i="953" s="1"/>
  <c r="I1322" i="953" s="1"/>
  <c r="P1313" i="953"/>
  <c r="I1313" i="953" s="1"/>
  <c r="P1309" i="953"/>
  <c r="I1309" i="953" s="1"/>
  <c r="P1305" i="953"/>
  <c r="I1305" i="953" s="1"/>
  <c r="P1301" i="953"/>
  <c r="I1301" i="953" s="1"/>
  <c r="P1297" i="953"/>
  <c r="I1297" i="953" s="1"/>
  <c r="P1293" i="953"/>
  <c r="I1293" i="953" s="1"/>
  <c r="P1289" i="953"/>
  <c r="I1289" i="953" s="1"/>
  <c r="P1285" i="953"/>
  <c r="I1285" i="953" s="1"/>
  <c r="P1281" i="953"/>
  <c r="I1281" i="953" s="1"/>
  <c r="P1277" i="953"/>
  <c r="I1277" i="953" s="1"/>
  <c r="P1273" i="953"/>
  <c r="I1273" i="953" s="1"/>
  <c r="I1269" i="953"/>
  <c r="I1261" i="953"/>
  <c r="I1253" i="953"/>
  <c r="I1245" i="953"/>
  <c r="I1237" i="953"/>
  <c r="I1229" i="953"/>
  <c r="I1221" i="953"/>
  <c r="I1213" i="953"/>
  <c r="I1205" i="953"/>
  <c r="I1197" i="953"/>
  <c r="I1189" i="953"/>
  <c r="I1329" i="953"/>
  <c r="I1268" i="953"/>
  <c r="I1260" i="953"/>
  <c r="I1252" i="953"/>
  <c r="I1244" i="953"/>
  <c r="I1236" i="953"/>
  <c r="I1228" i="953"/>
  <c r="I1220" i="953"/>
  <c r="I1212" i="953"/>
  <c r="I1204" i="953"/>
  <c r="I1196" i="953"/>
  <c r="I1188" i="953"/>
  <c r="I1180" i="953"/>
  <c r="I1172" i="953"/>
  <c r="I1164" i="953"/>
  <c r="I1328" i="953"/>
  <c r="P1316" i="953"/>
  <c r="I1316" i="953" s="1"/>
  <c r="P1312" i="953"/>
  <c r="I1312" i="953" s="1"/>
  <c r="P1308" i="953"/>
  <c r="I1308" i="953" s="1"/>
  <c r="P1304" i="953"/>
  <c r="I1304" i="953" s="1"/>
  <c r="P1300" i="953"/>
  <c r="I1300" i="953" s="1"/>
  <c r="P1296" i="953"/>
  <c r="I1296" i="953" s="1"/>
  <c r="P1292" i="953"/>
  <c r="I1292" i="953" s="1"/>
  <c r="P1288" i="953"/>
  <c r="I1288" i="953" s="1"/>
  <c r="P1284" i="953"/>
  <c r="I1284" i="953" s="1"/>
  <c r="P1280" i="953"/>
  <c r="I1280" i="953" s="1"/>
  <c r="P1276" i="953"/>
  <c r="I1276" i="953" s="1"/>
  <c r="P1272" i="953"/>
  <c r="I1272" i="953" s="1"/>
  <c r="I1267" i="953"/>
  <c r="I1259" i="953"/>
  <c r="I1251" i="953"/>
  <c r="I1243" i="953"/>
  <c r="I1235" i="953"/>
  <c r="I1227" i="953"/>
  <c r="I1219" i="953"/>
  <c r="I1211" i="953"/>
  <c r="I1203" i="953"/>
  <c r="I1195" i="953"/>
  <c r="I1187" i="953"/>
  <c r="I1327" i="953"/>
  <c r="I1266" i="953"/>
  <c r="I1258" i="953"/>
  <c r="I1250" i="953"/>
  <c r="I1242" i="953"/>
  <c r="I1234" i="953"/>
  <c r="I1226" i="953"/>
  <c r="I1218" i="953"/>
  <c r="I1210" i="953"/>
  <c r="I1202" i="953"/>
  <c r="I1194" i="953"/>
  <c r="I1186" i="953"/>
  <c r="I1178" i="953"/>
  <c r="I1170" i="953"/>
  <c r="I1326" i="953"/>
  <c r="P1315" i="953"/>
  <c r="I1315" i="953" s="1"/>
  <c r="P1311" i="953"/>
  <c r="I1311" i="953" s="1"/>
  <c r="P1307" i="953"/>
  <c r="I1307" i="953" s="1"/>
  <c r="P1303" i="953"/>
  <c r="I1303" i="953" s="1"/>
  <c r="P1299" i="953"/>
  <c r="I1299" i="953" s="1"/>
  <c r="P1295" i="953"/>
  <c r="I1295" i="953" s="1"/>
  <c r="P1291" i="953"/>
  <c r="I1291" i="953" s="1"/>
  <c r="P1287" i="953"/>
  <c r="I1287" i="953" s="1"/>
  <c r="P1283" i="953"/>
  <c r="I1283" i="953" s="1"/>
  <c r="P1279" i="953"/>
  <c r="I1279" i="953" s="1"/>
  <c r="P1275" i="953"/>
  <c r="I1275" i="953" s="1"/>
  <c r="P1271" i="953"/>
  <c r="I1271" i="953" s="1"/>
  <c r="I1265" i="953"/>
  <c r="I1257" i="953"/>
  <c r="I1249" i="953"/>
  <c r="I1241" i="953"/>
  <c r="I1233" i="953"/>
  <c r="I1225" i="953"/>
  <c r="I1217" i="953"/>
  <c r="I1209" i="953"/>
  <c r="I1201" i="953"/>
  <c r="I1193" i="953"/>
  <c r="I1185" i="953"/>
  <c r="I1177" i="953"/>
  <c r="I1169" i="953"/>
  <c r="I1167" i="953"/>
  <c r="I1165" i="953"/>
  <c r="I1181" i="953"/>
  <c r="I1179" i="953"/>
  <c r="I1175" i="953"/>
  <c r="I1173" i="953"/>
  <c r="I1171" i="953"/>
  <c r="N503" i="953"/>
  <c r="L503" i="953"/>
  <c r="L653" i="953"/>
  <c r="L639" i="953" s="1"/>
  <c r="N653" i="953"/>
  <c r="AJ287" i="953"/>
  <c r="I285" i="953" s="1"/>
  <c r="N285" i="953" s="1"/>
  <c r="AJ266" i="953"/>
  <c r="I264" i="953" s="1"/>
  <c r="N264" i="953" s="1"/>
  <c r="Z286" i="953"/>
  <c r="Z230" i="953"/>
  <c r="I410" i="953"/>
  <c r="AJ89" i="953"/>
  <c r="I412" i="953" s="1"/>
  <c r="N102" i="953"/>
  <c r="L102" i="953"/>
  <c r="I470" i="953"/>
  <c r="AJ95" i="953"/>
  <c r="I472" i="953" s="1"/>
  <c r="L351" i="953"/>
  <c r="N351" i="953"/>
  <c r="L518" i="953"/>
  <c r="N518" i="953"/>
  <c r="N638" i="953"/>
  <c r="L638" i="953"/>
  <c r="AJ247" i="953"/>
  <c r="I245" i="953" s="1"/>
  <c r="N245" i="953" s="1"/>
  <c r="N323" i="953"/>
  <c r="L323" i="953"/>
  <c r="L716" i="953"/>
  <c r="N714" i="953"/>
  <c r="N716" i="953"/>
  <c r="I113" i="953"/>
  <c r="I111" i="953"/>
  <c r="I109" i="953"/>
  <c r="I112" i="953"/>
  <c r="I110" i="953"/>
  <c r="I108" i="953"/>
  <c r="N473" i="953"/>
  <c r="L473" i="953"/>
  <c r="N698" i="953"/>
  <c r="L698" i="953"/>
  <c r="AJ255" i="953"/>
  <c r="I253" i="953" s="1"/>
  <c r="N253" i="953" s="1"/>
  <c r="AD286" i="953"/>
  <c r="AJ280" i="953"/>
  <c r="I278" i="953" s="1"/>
  <c r="N278" i="953" s="1"/>
  <c r="AJ282" i="953"/>
  <c r="I280" i="953" s="1"/>
  <c r="N280" i="953" s="1"/>
  <c r="AJ293" i="953"/>
  <c r="I291" i="953" s="1"/>
  <c r="N291" i="953" s="1"/>
  <c r="AJ285" i="953"/>
  <c r="I283" i="953" s="1"/>
  <c r="N283" i="953" s="1"/>
  <c r="AJ263" i="953"/>
  <c r="I261" i="953" s="1"/>
  <c r="N261" i="953" s="1"/>
  <c r="N691" i="953"/>
  <c r="N684" i="953"/>
  <c r="L691" i="953"/>
  <c r="I500" i="953"/>
  <c r="AJ97" i="953"/>
  <c r="I502" i="953" s="1"/>
  <c r="N457" i="953"/>
  <c r="L457" i="953"/>
  <c r="L751" i="953"/>
  <c r="N751" i="953"/>
  <c r="N482" i="953"/>
  <c r="L482" i="953"/>
  <c r="N369" i="953"/>
  <c r="N593" i="953"/>
  <c r="L593" i="953"/>
  <c r="L353" i="953"/>
  <c r="N353" i="953"/>
  <c r="N461" i="953"/>
  <c r="L461" i="953"/>
  <c r="N722" i="953"/>
  <c r="L722" i="953"/>
  <c r="N683" i="953"/>
  <c r="L683" i="953"/>
  <c r="AJ253" i="953"/>
  <c r="I251" i="953" s="1"/>
  <c r="N251" i="953" s="1"/>
  <c r="AJ244" i="953"/>
  <c r="I242" i="953" s="1"/>
  <c r="N242" i="953" s="1"/>
  <c r="AJ262" i="953"/>
  <c r="I260" i="953" s="1"/>
  <c r="N260" i="953" s="1"/>
  <c r="AJ288" i="953"/>
  <c r="I286" i="953" s="1"/>
  <c r="N286" i="953" s="1"/>
  <c r="AJ297" i="953"/>
  <c r="I295" i="953" s="1"/>
  <c r="N295" i="953" s="1"/>
  <c r="AJ289" i="953"/>
  <c r="I287" i="953" s="1"/>
  <c r="N287" i="953" s="1"/>
  <c r="N707" i="953"/>
  <c r="L707" i="953"/>
  <c r="AG227" i="953"/>
  <c r="AD182" i="953"/>
  <c r="AD186" i="953" s="1"/>
  <c r="AC182" i="953"/>
  <c r="AJ238" i="953"/>
  <c r="I236" i="953" s="1"/>
  <c r="N236" i="953" s="1"/>
  <c r="N397" i="953"/>
  <c r="L397" i="953"/>
  <c r="I350" i="953"/>
  <c r="AJ83" i="953"/>
  <c r="I352" i="953" s="1"/>
  <c r="L743" i="953"/>
  <c r="N743" i="953"/>
  <c r="L476" i="953"/>
  <c r="N474" i="953"/>
  <c r="N476" i="953"/>
  <c r="L519" i="953"/>
  <c r="N467" i="953"/>
  <c r="L467" i="953"/>
  <c r="N458" i="953"/>
  <c r="L458" i="953"/>
  <c r="N398" i="953"/>
  <c r="L398" i="953"/>
  <c r="L668" i="953"/>
  <c r="L654" i="953" s="1"/>
  <c r="N668" i="953"/>
  <c r="AJ250" i="952"/>
  <c r="I248" i="952" s="1"/>
  <c r="N248" i="952" s="1"/>
  <c r="AJ232" i="952"/>
  <c r="I230" i="952" s="1"/>
  <c r="N230" i="952" s="1"/>
  <c r="AJ240" i="952"/>
  <c r="I238" i="952" s="1"/>
  <c r="N238" i="952" s="1"/>
  <c r="AJ275" i="952"/>
  <c r="I273" i="952" s="1"/>
  <c r="N273" i="952" s="1"/>
  <c r="AJ245" i="952"/>
  <c r="I243" i="952" s="1"/>
  <c r="N243" i="952" s="1"/>
  <c r="AJ254" i="952"/>
  <c r="I252" i="952" s="1"/>
  <c r="N252" i="952" s="1"/>
  <c r="AJ255" i="952"/>
  <c r="I253" i="952" s="1"/>
  <c r="N253" i="952" s="1"/>
  <c r="AJ249" i="952"/>
  <c r="I247" i="952" s="1"/>
  <c r="N247" i="952" s="1"/>
  <c r="AJ293" i="952"/>
  <c r="I291" i="952" s="1"/>
  <c r="N291" i="952" s="1"/>
  <c r="I455" i="952"/>
  <c r="AJ92" i="952"/>
  <c r="I457" i="952" s="1"/>
  <c r="L461" i="952"/>
  <c r="N461" i="952"/>
  <c r="L62" i="952"/>
  <c r="I112" i="952"/>
  <c r="I104" i="952"/>
  <c r="I110" i="952"/>
  <c r="I106" i="952"/>
  <c r="I113" i="952"/>
  <c r="I109" i="952"/>
  <c r="I111" i="952"/>
  <c r="I105" i="952"/>
  <c r="N491" i="952"/>
  <c r="L491" i="952"/>
  <c r="N758" i="952"/>
  <c r="L758" i="952"/>
  <c r="AD286" i="952"/>
  <c r="L653" i="952"/>
  <c r="N653" i="952"/>
  <c r="N473" i="952"/>
  <c r="L473" i="952"/>
  <c r="L323" i="952"/>
  <c r="N323" i="952"/>
  <c r="N320" i="952"/>
  <c r="L320" i="952"/>
  <c r="N623" i="952"/>
  <c r="L623" i="952"/>
  <c r="AJ291" i="952"/>
  <c r="I289" i="952" s="1"/>
  <c r="N289" i="952" s="1"/>
  <c r="AJ274" i="952"/>
  <c r="I272" i="952" s="1"/>
  <c r="N272" i="952" s="1"/>
  <c r="AJ288" i="952"/>
  <c r="I286" i="952" s="1"/>
  <c r="N286" i="952" s="1"/>
  <c r="AJ236" i="952"/>
  <c r="I234" i="952" s="1"/>
  <c r="N234" i="952" s="1"/>
  <c r="AJ237" i="952"/>
  <c r="I235" i="952" s="1"/>
  <c r="N235" i="952" s="1"/>
  <c r="AJ283" i="952"/>
  <c r="I281" i="952" s="1"/>
  <c r="N281" i="952" s="1"/>
  <c r="AJ253" i="952"/>
  <c r="I251" i="952" s="1"/>
  <c r="N251" i="952" s="1"/>
  <c r="AJ262" i="952"/>
  <c r="I260" i="952" s="1"/>
  <c r="N260" i="952" s="1"/>
  <c r="AJ263" i="952"/>
  <c r="I261" i="952" s="1"/>
  <c r="N261" i="952" s="1"/>
  <c r="AJ257" i="952"/>
  <c r="I255" i="952" s="1"/>
  <c r="N255" i="952" s="1"/>
  <c r="L321" i="952"/>
  <c r="N321" i="952"/>
  <c r="N383" i="952"/>
  <c r="L383" i="952"/>
  <c r="I335" i="952"/>
  <c r="AJ82" i="952"/>
  <c r="I337" i="952" s="1"/>
  <c r="L497" i="952"/>
  <c r="N497" i="952"/>
  <c r="L713" i="952"/>
  <c r="N713" i="952"/>
  <c r="N698" i="952"/>
  <c r="L698" i="952"/>
  <c r="I84" i="952"/>
  <c r="I98" i="952"/>
  <c r="I90" i="952"/>
  <c r="I100" i="952"/>
  <c r="I86" i="952"/>
  <c r="I97" i="952"/>
  <c r="I93" i="952"/>
  <c r="I89" i="952"/>
  <c r="B118" i="952"/>
  <c r="I92" i="952"/>
  <c r="I88" i="952"/>
  <c r="I87" i="952"/>
  <c r="I85" i="952"/>
  <c r="I99" i="952"/>
  <c r="I95" i="952"/>
  <c r="I91" i="952"/>
  <c r="B325" i="952"/>
  <c r="B321" i="952"/>
  <c r="I515" i="952"/>
  <c r="AJ98" i="952"/>
  <c r="I517" i="952" s="1"/>
  <c r="N338" i="952"/>
  <c r="L338" i="952"/>
  <c r="I410" i="952"/>
  <c r="AJ89" i="952"/>
  <c r="I412" i="952" s="1"/>
  <c r="AJ261" i="952"/>
  <c r="I259" i="952" s="1"/>
  <c r="N259" i="952" s="1"/>
  <c r="AJ271" i="952"/>
  <c r="I269" i="952" s="1"/>
  <c r="N269" i="952" s="1"/>
  <c r="N731" i="952"/>
  <c r="N729" i="952"/>
  <c r="L731" i="952"/>
  <c r="I440" i="952"/>
  <c r="AJ91" i="952"/>
  <c r="I442" i="952" s="1"/>
  <c r="B331" i="952"/>
  <c r="B322" i="952"/>
  <c r="N751" i="952"/>
  <c r="L751" i="952"/>
  <c r="N381" i="952"/>
  <c r="L381" i="952"/>
  <c r="AB286" i="952"/>
  <c r="AH227" i="952"/>
  <c r="AB230" i="952"/>
  <c r="I107" i="952"/>
  <c r="I350" i="952"/>
  <c r="AJ83" i="952"/>
  <c r="I352" i="952" s="1"/>
  <c r="AJ266" i="952"/>
  <c r="I264" i="952" s="1"/>
  <c r="N264" i="952" s="1"/>
  <c r="AJ270" i="952"/>
  <c r="I268" i="952" s="1"/>
  <c r="N268" i="952" s="1"/>
  <c r="I380" i="952"/>
  <c r="AJ85" i="952"/>
  <c r="I382" i="952" s="1"/>
  <c r="AJ229" i="952"/>
  <c r="I227" i="952" s="1"/>
  <c r="Z286" i="952"/>
  <c r="AG227" i="952"/>
  <c r="Z230" i="952"/>
  <c r="AD183" i="952"/>
  <c r="AC183" i="952"/>
  <c r="AC186" i="952" s="1"/>
  <c r="AJ234" i="952"/>
  <c r="I232" i="952" s="1"/>
  <c r="N232" i="952" s="1"/>
  <c r="AJ296" i="952"/>
  <c r="I294" i="952" s="1"/>
  <c r="N294" i="952" s="1"/>
  <c r="AJ269" i="952"/>
  <c r="I267" i="952" s="1"/>
  <c r="N267" i="952" s="1"/>
  <c r="AJ278" i="952"/>
  <c r="I276" i="952" s="1"/>
  <c r="N276" i="952" s="1"/>
  <c r="AJ279" i="952"/>
  <c r="I277" i="952" s="1"/>
  <c r="N277" i="952" s="1"/>
  <c r="AJ273" i="952"/>
  <c r="I271" i="952" s="1"/>
  <c r="N271" i="952" s="1"/>
  <c r="L721" i="952"/>
  <c r="N721" i="952"/>
  <c r="I485" i="952"/>
  <c r="AJ96" i="952"/>
  <c r="I487" i="952" s="1"/>
  <c r="N638" i="952"/>
  <c r="L638" i="952"/>
  <c r="L624" i="952" s="1"/>
  <c r="L737" i="952"/>
  <c r="N737" i="952"/>
  <c r="L746" i="952"/>
  <c r="N744" i="952"/>
  <c r="N746" i="952"/>
  <c r="N676" i="952"/>
  <c r="N669" i="952"/>
  <c r="L676" i="952"/>
  <c r="B334" i="952"/>
  <c r="B329" i="952"/>
  <c r="N754" i="952"/>
  <c r="L754" i="952"/>
  <c r="I425" i="952"/>
  <c r="AJ90" i="952"/>
  <c r="I427" i="952" s="1"/>
  <c r="N428" i="952"/>
  <c r="L428" i="952"/>
  <c r="AJ260" i="952"/>
  <c r="I258" i="952" s="1"/>
  <c r="N258" i="952" s="1"/>
  <c r="AJ277" i="952"/>
  <c r="I275" i="952" s="1"/>
  <c r="N275" i="952" s="1"/>
  <c r="AJ290" i="952"/>
  <c r="I288" i="952" s="1"/>
  <c r="N288" i="952" s="1"/>
  <c r="AJ287" i="952"/>
  <c r="I285" i="952" s="1"/>
  <c r="N285" i="952" s="1"/>
  <c r="AJ281" i="952"/>
  <c r="I279" i="952" s="1"/>
  <c r="N279" i="952" s="1"/>
  <c r="L482" i="952"/>
  <c r="N482" i="952"/>
  <c r="N706" i="952"/>
  <c r="L706" i="952"/>
  <c r="N601" i="952"/>
  <c r="L601" i="952"/>
  <c r="N752" i="952"/>
  <c r="L752" i="952"/>
  <c r="L679" i="952"/>
  <c r="N679" i="952"/>
  <c r="I103" i="952"/>
  <c r="L707" i="952"/>
  <c r="N707" i="952"/>
  <c r="N616" i="952"/>
  <c r="L616" i="952"/>
  <c r="N668" i="952"/>
  <c r="L668" i="952"/>
  <c r="L654" i="952" s="1"/>
  <c r="N563" i="952"/>
  <c r="L563" i="952"/>
  <c r="L549" i="952" s="1"/>
  <c r="L443" i="952"/>
  <c r="N443" i="952"/>
  <c r="N226" i="952"/>
  <c r="B226" i="952"/>
  <c r="N476" i="952"/>
  <c r="L476" i="952"/>
  <c r="N571" i="952"/>
  <c r="L571" i="952"/>
  <c r="L351" i="952"/>
  <c r="N351" i="952"/>
  <c r="N506" i="952"/>
  <c r="L506" i="952"/>
  <c r="B328" i="952"/>
  <c r="B323" i="952"/>
  <c r="N701" i="952"/>
  <c r="L701" i="952"/>
  <c r="N699" i="952"/>
  <c r="N619" i="952"/>
  <c r="L619" i="952"/>
  <c r="N518" i="952"/>
  <c r="L518" i="952"/>
  <c r="N336" i="952"/>
  <c r="L336" i="952"/>
  <c r="I1333" i="952"/>
  <c r="I1325" i="952"/>
  <c r="I1264" i="952"/>
  <c r="I1256" i="952"/>
  <c r="I1248" i="952"/>
  <c r="I1240" i="952"/>
  <c r="I1232" i="952"/>
  <c r="I1224" i="952"/>
  <c r="I1216" i="952"/>
  <c r="I1208" i="952"/>
  <c r="I1200" i="952"/>
  <c r="I1192" i="952"/>
  <c r="I1184" i="952"/>
  <c r="I1176" i="952"/>
  <c r="I1168" i="952"/>
  <c r="I1332" i="952"/>
  <c r="I1324" i="952"/>
  <c r="P1314" i="952"/>
  <c r="I1314" i="952" s="1"/>
  <c r="P1310" i="952"/>
  <c r="I1310" i="952" s="1"/>
  <c r="P1306" i="952"/>
  <c r="I1306" i="952" s="1"/>
  <c r="P1302" i="952"/>
  <c r="I1302" i="952" s="1"/>
  <c r="P1298" i="952"/>
  <c r="I1298" i="952" s="1"/>
  <c r="P1294" i="952"/>
  <c r="I1294" i="952" s="1"/>
  <c r="P1290" i="952"/>
  <c r="I1290" i="952" s="1"/>
  <c r="P1286" i="952"/>
  <c r="I1286" i="952" s="1"/>
  <c r="P1282" i="952"/>
  <c r="I1282" i="952" s="1"/>
  <c r="P1278" i="952"/>
  <c r="I1278" i="952" s="1"/>
  <c r="P1274" i="952"/>
  <c r="I1274" i="952" s="1"/>
  <c r="P1270" i="952"/>
  <c r="I1270" i="952" s="1"/>
  <c r="I1263" i="952"/>
  <c r="I1255" i="952"/>
  <c r="I1247" i="952"/>
  <c r="I1239" i="952"/>
  <c r="I1231" i="952"/>
  <c r="I1223" i="952"/>
  <c r="I1215" i="952"/>
  <c r="I1207" i="952"/>
  <c r="I1199" i="952"/>
  <c r="I1191" i="952"/>
  <c r="I1331" i="952"/>
  <c r="I1262" i="952"/>
  <c r="I1254" i="952"/>
  <c r="I1246" i="952"/>
  <c r="I1238" i="952"/>
  <c r="I1230" i="952"/>
  <c r="I1222" i="952"/>
  <c r="I1214" i="952"/>
  <c r="I1206" i="952"/>
  <c r="I1198" i="952"/>
  <c r="I1190" i="952"/>
  <c r="I1182" i="952"/>
  <c r="I1174" i="952"/>
  <c r="I1166" i="952"/>
  <c r="I1330" i="952"/>
  <c r="P1317" i="952"/>
  <c r="I1317" i="952" s="1"/>
  <c r="I1322" i="952" s="1"/>
  <c r="P1313" i="952"/>
  <c r="I1313" i="952" s="1"/>
  <c r="P1309" i="952"/>
  <c r="I1309" i="952" s="1"/>
  <c r="P1305" i="952"/>
  <c r="I1305" i="952" s="1"/>
  <c r="P1301" i="952"/>
  <c r="I1301" i="952" s="1"/>
  <c r="P1297" i="952"/>
  <c r="I1297" i="952" s="1"/>
  <c r="P1293" i="952"/>
  <c r="I1293" i="952" s="1"/>
  <c r="P1289" i="952"/>
  <c r="I1289" i="952" s="1"/>
  <c r="P1285" i="952"/>
  <c r="I1285" i="952" s="1"/>
  <c r="P1281" i="952"/>
  <c r="I1281" i="952" s="1"/>
  <c r="P1277" i="952"/>
  <c r="I1277" i="952" s="1"/>
  <c r="P1273" i="952"/>
  <c r="I1273" i="952" s="1"/>
  <c r="I1269" i="952"/>
  <c r="I1261" i="952"/>
  <c r="I1253" i="952"/>
  <c r="I1245" i="952"/>
  <c r="I1237" i="952"/>
  <c r="I1229" i="952"/>
  <c r="I1221" i="952"/>
  <c r="I1213" i="952"/>
  <c r="I1205" i="952"/>
  <c r="I1197" i="952"/>
  <c r="I1189" i="952"/>
  <c r="I1181" i="952"/>
  <c r="I1173" i="952"/>
  <c r="I1165" i="952"/>
  <c r="I1329" i="952"/>
  <c r="I1268" i="952"/>
  <c r="I1260" i="952"/>
  <c r="I1252" i="952"/>
  <c r="I1244" i="952"/>
  <c r="I1236" i="952"/>
  <c r="I1228" i="952"/>
  <c r="I1220" i="952"/>
  <c r="I1212" i="952"/>
  <c r="I1204" i="952"/>
  <c r="I1196" i="952"/>
  <c r="I1188" i="952"/>
  <c r="I1180" i="952"/>
  <c r="I1172" i="952"/>
  <c r="I1164" i="952"/>
  <c r="I1328" i="952"/>
  <c r="P1316" i="952"/>
  <c r="I1316" i="952" s="1"/>
  <c r="P1312" i="952"/>
  <c r="I1312" i="952" s="1"/>
  <c r="P1308" i="952"/>
  <c r="I1308" i="952" s="1"/>
  <c r="P1304" i="952"/>
  <c r="I1304" i="952" s="1"/>
  <c r="P1300" i="952"/>
  <c r="I1300" i="952" s="1"/>
  <c r="P1296" i="952"/>
  <c r="I1296" i="952" s="1"/>
  <c r="P1292" i="952"/>
  <c r="I1292" i="952" s="1"/>
  <c r="P1288" i="952"/>
  <c r="I1288" i="952" s="1"/>
  <c r="P1284" i="952"/>
  <c r="I1284" i="952" s="1"/>
  <c r="P1280" i="952"/>
  <c r="I1280" i="952" s="1"/>
  <c r="P1276" i="952"/>
  <c r="I1276" i="952" s="1"/>
  <c r="P1272" i="952"/>
  <c r="I1272" i="952" s="1"/>
  <c r="I1267" i="952"/>
  <c r="I1259" i="952"/>
  <c r="I1251" i="952"/>
  <c r="I1243" i="952"/>
  <c r="I1235" i="952"/>
  <c r="I1227" i="952"/>
  <c r="I1219" i="952"/>
  <c r="I1211" i="952"/>
  <c r="I1203" i="952"/>
  <c r="I1195" i="952"/>
  <c r="I1187" i="952"/>
  <c r="I1327" i="952"/>
  <c r="I1266" i="952"/>
  <c r="I1258" i="952"/>
  <c r="I1250" i="952"/>
  <c r="I1242" i="952"/>
  <c r="I1234" i="952"/>
  <c r="I1226" i="952"/>
  <c r="I1218" i="952"/>
  <c r="I1210" i="952"/>
  <c r="I1202" i="952"/>
  <c r="I1194" i="952"/>
  <c r="I1186" i="952"/>
  <c r="I1178" i="952"/>
  <c r="I1170" i="952"/>
  <c r="I1326" i="952"/>
  <c r="P1303" i="952"/>
  <c r="I1303" i="952" s="1"/>
  <c r="P1271" i="952"/>
  <c r="I1271" i="952" s="1"/>
  <c r="I1209" i="952"/>
  <c r="I1171" i="952"/>
  <c r="P1299" i="952"/>
  <c r="I1299" i="952" s="1"/>
  <c r="I1265" i="952"/>
  <c r="I1201" i="952"/>
  <c r="I1169" i="952"/>
  <c r="P1295" i="952"/>
  <c r="I1295" i="952" s="1"/>
  <c r="I1257" i="952"/>
  <c r="I1193" i="952"/>
  <c r="I1167" i="952"/>
  <c r="P1291" i="952"/>
  <c r="I1291" i="952" s="1"/>
  <c r="I1249" i="952"/>
  <c r="I1185" i="952"/>
  <c r="P1287" i="952"/>
  <c r="I1287" i="952" s="1"/>
  <c r="I1241" i="952"/>
  <c r="I1183" i="952"/>
  <c r="P1315" i="952"/>
  <c r="I1315" i="952" s="1"/>
  <c r="P1283" i="952"/>
  <c r="I1283" i="952" s="1"/>
  <c r="I1233" i="952"/>
  <c r="I1179" i="952"/>
  <c r="P1311" i="952"/>
  <c r="I1311" i="952" s="1"/>
  <c r="P1279" i="952"/>
  <c r="I1279" i="952" s="1"/>
  <c r="I1225" i="952"/>
  <c r="I1177" i="952"/>
  <c r="P1307" i="952"/>
  <c r="I1307" i="952" s="1"/>
  <c r="P1275" i="952"/>
  <c r="I1275" i="952" s="1"/>
  <c r="I1217" i="952"/>
  <c r="I1175" i="952"/>
  <c r="L578" i="952"/>
  <c r="N578" i="952"/>
  <c r="N398" i="952"/>
  <c r="L398" i="952"/>
  <c r="AJ244" i="952"/>
  <c r="I242" i="952" s="1"/>
  <c r="N242" i="952" s="1"/>
  <c r="AJ276" i="952"/>
  <c r="I274" i="952" s="1"/>
  <c r="N274" i="952" s="1"/>
  <c r="AJ239" i="952"/>
  <c r="I237" i="952" s="1"/>
  <c r="N237" i="952" s="1"/>
  <c r="N488" i="952"/>
  <c r="L488" i="952"/>
  <c r="N512" i="952"/>
  <c r="L512" i="952"/>
  <c r="B327" i="952"/>
  <c r="AI227" i="952"/>
  <c r="N691" i="952"/>
  <c r="N684" i="952"/>
  <c r="L691" i="952"/>
  <c r="I500" i="952"/>
  <c r="AJ97" i="952"/>
  <c r="I502" i="952" s="1"/>
  <c r="K302" i="952"/>
  <c r="K218" i="952"/>
  <c r="K75" i="952"/>
  <c r="K130" i="952"/>
  <c r="L593" i="952"/>
  <c r="L579" i="952" s="1"/>
  <c r="N593" i="952"/>
  <c r="L458" i="952"/>
  <c r="N458" i="952"/>
  <c r="AJ233" i="952"/>
  <c r="I231" i="952" s="1"/>
  <c r="N231" i="952" s="1"/>
  <c r="N714" i="952"/>
  <c r="N716" i="952"/>
  <c r="L716" i="952"/>
  <c r="AJ259" i="952"/>
  <c r="I257" i="952" s="1"/>
  <c r="N257" i="952" s="1"/>
  <c r="AJ289" i="952"/>
  <c r="I287" i="952" s="1"/>
  <c r="N287" i="952" s="1"/>
  <c r="AJ272" i="952"/>
  <c r="I270" i="952" s="1"/>
  <c r="N270" i="952" s="1"/>
  <c r="AJ238" i="952"/>
  <c r="I236" i="952" s="1"/>
  <c r="N236" i="952" s="1"/>
  <c r="L722" i="952"/>
  <c r="N722" i="952"/>
  <c r="AJ267" i="952"/>
  <c r="I265" i="952" s="1"/>
  <c r="N265" i="952" s="1"/>
  <c r="AJ284" i="952"/>
  <c r="I282" i="952" s="1"/>
  <c r="N282" i="952" s="1"/>
  <c r="AJ246" i="952"/>
  <c r="I244" i="952" s="1"/>
  <c r="N244" i="952" s="1"/>
  <c r="AJ247" i="952"/>
  <c r="I245" i="952" s="1"/>
  <c r="N245" i="952" s="1"/>
  <c r="AJ280" i="952"/>
  <c r="I278" i="952" s="1"/>
  <c r="N278" i="952" s="1"/>
  <c r="AJ292" i="952"/>
  <c r="I290" i="952" s="1"/>
  <c r="N290" i="952" s="1"/>
  <c r="I395" i="952"/>
  <c r="AJ88" i="952"/>
  <c r="I397" i="952" s="1"/>
  <c r="L519" i="952"/>
  <c r="N467" i="952"/>
  <c r="L467" i="952"/>
  <c r="I470" i="952"/>
  <c r="AJ95" i="952"/>
  <c r="I472" i="952" s="1"/>
  <c r="N743" i="952"/>
  <c r="L743" i="952"/>
  <c r="N309" i="952"/>
  <c r="B330" i="952"/>
  <c r="N322" i="952"/>
  <c r="L322" i="952"/>
  <c r="L608" i="952"/>
  <c r="N608" i="952"/>
  <c r="L413" i="952"/>
  <c r="N413" i="952"/>
  <c r="L14" i="80"/>
  <c r="L15" i="80"/>
  <c r="N104" i="957" l="1"/>
  <c r="AJ227" i="958"/>
  <c r="N459" i="958"/>
  <c r="AC183" i="953"/>
  <c r="AC186" i="953" s="1"/>
  <c r="L639" i="952"/>
  <c r="N367" i="952"/>
  <c r="L367" i="952"/>
  <c r="L354" i="952" s="1"/>
  <c r="L40" i="952"/>
  <c r="N40" i="952"/>
  <c r="L44" i="952"/>
  <c r="N44" i="952"/>
  <c r="B345" i="958"/>
  <c r="N324" i="958"/>
  <c r="B349" i="958"/>
  <c r="B344" i="958"/>
  <c r="B338" i="958"/>
  <c r="L39" i="953"/>
  <c r="N39" i="953"/>
  <c r="L412" i="954"/>
  <c r="B340" i="958"/>
  <c r="N43" i="953"/>
  <c r="L43" i="953"/>
  <c r="N399" i="954"/>
  <c r="L42" i="952"/>
  <c r="N42" i="952"/>
  <c r="N39" i="952"/>
  <c r="L39" i="952"/>
  <c r="L579" i="959"/>
  <c r="L45" i="953"/>
  <c r="N45" i="953"/>
  <c r="B234" i="953"/>
  <c r="N41" i="952"/>
  <c r="L41" i="952"/>
  <c r="AD75" i="953"/>
  <c r="I42" i="953"/>
  <c r="I1030" i="953"/>
  <c r="I910" i="953"/>
  <c r="I1034" i="953"/>
  <c r="I46" i="953"/>
  <c r="I911" i="953"/>
  <c r="I1031" i="953"/>
  <c r="C117" i="953"/>
  <c r="L138" i="953"/>
  <c r="L105" i="953"/>
  <c r="I974" i="952"/>
  <c r="I23" i="952"/>
  <c r="I911" i="952"/>
  <c r="I1031" i="952"/>
  <c r="C117" i="952"/>
  <c r="L138" i="952"/>
  <c r="L104" i="959"/>
  <c r="B228" i="952"/>
  <c r="L549" i="954"/>
  <c r="N106" i="960"/>
  <c r="AC186" i="961"/>
  <c r="I974" i="961" s="1"/>
  <c r="B229" i="959"/>
  <c r="N504" i="961"/>
  <c r="AD287" i="958"/>
  <c r="B343" i="958"/>
  <c r="B342" i="958"/>
  <c r="L108" i="961"/>
  <c r="L102" i="957"/>
  <c r="L684" i="957"/>
  <c r="L624" i="957"/>
  <c r="L337" i="958"/>
  <c r="L324" i="958" s="1"/>
  <c r="B346" i="958"/>
  <c r="N226" i="959"/>
  <c r="L639" i="961"/>
  <c r="L472" i="961"/>
  <c r="L459" i="961" s="1"/>
  <c r="L517" i="961"/>
  <c r="L102" i="954"/>
  <c r="L609" i="956"/>
  <c r="L103" i="953"/>
  <c r="N337" i="958"/>
  <c r="B227" i="959"/>
  <c r="N339" i="960"/>
  <c r="B230" i="953"/>
  <c r="B231" i="958"/>
  <c r="L105" i="960"/>
  <c r="I1163" i="958"/>
  <c r="L352" i="961"/>
  <c r="L639" i="957"/>
  <c r="I1156" i="958"/>
  <c r="N352" i="961"/>
  <c r="L429" i="957"/>
  <c r="I1160" i="958"/>
  <c r="L106" i="959"/>
  <c r="I1155" i="959"/>
  <c r="I1161" i="958"/>
  <c r="I1157" i="958"/>
  <c r="B358" i="961"/>
  <c r="N459" i="961"/>
  <c r="N459" i="957"/>
  <c r="L684" i="952"/>
  <c r="I1158" i="958"/>
  <c r="N102" i="960"/>
  <c r="L352" i="960"/>
  <c r="L339" i="960" s="1"/>
  <c r="B230" i="958"/>
  <c r="B374" i="957"/>
  <c r="N444" i="960"/>
  <c r="N369" i="960"/>
  <c r="L654" i="960"/>
  <c r="L609" i="959"/>
  <c r="N474" i="955"/>
  <c r="B353" i="957"/>
  <c r="N474" i="957"/>
  <c r="N504" i="957"/>
  <c r="B228" i="957"/>
  <c r="N337" i="957"/>
  <c r="L337" i="957"/>
  <c r="L639" i="955"/>
  <c r="N502" i="954"/>
  <c r="L502" i="954"/>
  <c r="L489" i="954" s="1"/>
  <c r="N517" i="959"/>
  <c r="L517" i="959"/>
  <c r="L564" i="953"/>
  <c r="AD186" i="952"/>
  <c r="B229" i="953"/>
  <c r="N105" i="959"/>
  <c r="B351" i="961"/>
  <c r="B228" i="953"/>
  <c r="L444" i="956"/>
  <c r="L102" i="956"/>
  <c r="N459" i="953"/>
  <c r="B227" i="953"/>
  <c r="AD287" i="959"/>
  <c r="B240" i="961"/>
  <c r="B451" i="961"/>
  <c r="B335" i="961"/>
  <c r="B235" i="953"/>
  <c r="B107" i="955"/>
  <c r="L429" i="961"/>
  <c r="L105" i="956"/>
  <c r="B458" i="958"/>
  <c r="L107" i="959"/>
  <c r="B400" i="961"/>
  <c r="B337" i="956"/>
  <c r="I1163" i="953"/>
  <c r="I1154" i="956"/>
  <c r="B352" i="957"/>
  <c r="L309" i="958"/>
  <c r="I1155" i="958"/>
  <c r="B235" i="959"/>
  <c r="I1150" i="959"/>
  <c r="B646" i="961"/>
  <c r="B236" i="961"/>
  <c r="B344" i="961"/>
  <c r="B346" i="952"/>
  <c r="N474" i="952"/>
  <c r="B246" i="953"/>
  <c r="N504" i="953"/>
  <c r="I1159" i="953"/>
  <c r="N489" i="955"/>
  <c r="L369" i="956"/>
  <c r="I1150" i="956"/>
  <c r="B366" i="957"/>
  <c r="I1152" i="958"/>
  <c r="I1154" i="959"/>
  <c r="B449" i="961"/>
  <c r="N226" i="961"/>
  <c r="N382" i="961"/>
  <c r="L382" i="961"/>
  <c r="I1141" i="959"/>
  <c r="I1032" i="959" s="1"/>
  <c r="L564" i="960"/>
  <c r="B226" i="961"/>
  <c r="N380" i="961"/>
  <c r="L380" i="961"/>
  <c r="N369" i="961"/>
  <c r="B683" i="952"/>
  <c r="L579" i="953"/>
  <c r="B231" i="953"/>
  <c r="I1162" i="953"/>
  <c r="N107" i="954"/>
  <c r="I1153" i="956"/>
  <c r="B355" i="957"/>
  <c r="B517" i="957"/>
  <c r="B361" i="957"/>
  <c r="I1153" i="958"/>
  <c r="B247" i="959"/>
  <c r="I1151" i="959"/>
  <c r="B228" i="961"/>
  <c r="B390" i="961"/>
  <c r="I1160" i="953"/>
  <c r="B90" i="956"/>
  <c r="N474" i="959"/>
  <c r="I1152" i="959"/>
  <c r="L354" i="960"/>
  <c r="B228" i="960"/>
  <c r="B239" i="961"/>
  <c r="B344" i="956"/>
  <c r="N504" i="955"/>
  <c r="N489" i="956"/>
  <c r="B683" i="957"/>
  <c r="B351" i="957"/>
  <c r="B87" i="957"/>
  <c r="I1150" i="958"/>
  <c r="B254" i="959"/>
  <c r="I1153" i="959"/>
  <c r="B394" i="961"/>
  <c r="B227" i="961"/>
  <c r="I1156" i="953"/>
  <c r="N474" i="954"/>
  <c r="L399" i="954"/>
  <c r="L549" i="955"/>
  <c r="B88" i="956"/>
  <c r="B368" i="957"/>
  <c r="B462" i="958"/>
  <c r="B227" i="960"/>
  <c r="L339" i="961"/>
  <c r="B616" i="961"/>
  <c r="B338" i="956"/>
  <c r="B441" i="952"/>
  <c r="B87" i="956"/>
  <c r="L309" i="956"/>
  <c r="B93" i="957"/>
  <c r="L324" i="957"/>
  <c r="B102" i="957"/>
  <c r="B439" i="958"/>
  <c r="B466" i="959"/>
  <c r="B718" i="959"/>
  <c r="L369" i="954"/>
  <c r="B93" i="955"/>
  <c r="B91" i="956"/>
  <c r="B93" i="956"/>
  <c r="L699" i="957"/>
  <c r="B482" i="958"/>
  <c r="B373" i="958"/>
  <c r="B722" i="961"/>
  <c r="B633" i="961"/>
  <c r="B391" i="961"/>
  <c r="B98" i="957"/>
  <c r="L309" i="957"/>
  <c r="B757" i="959"/>
  <c r="B233" i="953"/>
  <c r="L369" i="953"/>
  <c r="B358" i="957"/>
  <c r="L429" i="958"/>
  <c r="L699" i="958"/>
  <c r="L684" i="958"/>
  <c r="B592" i="959"/>
  <c r="L309" i="959"/>
  <c r="B232" i="959"/>
  <c r="B424" i="961"/>
  <c r="L579" i="956"/>
  <c r="N504" i="956"/>
  <c r="B105" i="957"/>
  <c r="L729" i="957"/>
  <c r="B425" i="957"/>
  <c r="B708" i="958"/>
  <c r="L384" i="958"/>
  <c r="B365" i="958"/>
  <c r="B361" i="959"/>
  <c r="N459" i="959"/>
  <c r="B250" i="959"/>
  <c r="B403" i="961"/>
  <c r="B85" i="957"/>
  <c r="B456" i="959"/>
  <c r="L474" i="953"/>
  <c r="AJ227" i="953"/>
  <c r="AJ298" i="953" s="1"/>
  <c r="L339" i="954"/>
  <c r="B471" i="958"/>
  <c r="L517" i="958"/>
  <c r="N517" i="958"/>
  <c r="B243" i="957"/>
  <c r="B456" i="958"/>
  <c r="N395" i="960"/>
  <c r="L395" i="960"/>
  <c r="B751" i="952"/>
  <c r="B249" i="952"/>
  <c r="B420" i="952"/>
  <c r="B267" i="953"/>
  <c r="L354" i="953"/>
  <c r="N228" i="953"/>
  <c r="L669" i="954"/>
  <c r="B96" i="955"/>
  <c r="L459" i="956"/>
  <c r="B92" i="956"/>
  <c r="B693" i="957"/>
  <c r="B568" i="957"/>
  <c r="B97" i="957"/>
  <c r="B107" i="957"/>
  <c r="B88" i="957"/>
  <c r="B365" i="957"/>
  <c r="B359" i="957"/>
  <c r="B646" i="958"/>
  <c r="B780" i="958"/>
  <c r="B420" i="958"/>
  <c r="B379" i="958"/>
  <c r="L654" i="958"/>
  <c r="B454" i="958"/>
  <c r="L564" i="958"/>
  <c r="B232" i="958"/>
  <c r="B650" i="959"/>
  <c r="B461" i="959"/>
  <c r="B588" i="959"/>
  <c r="B234" i="959"/>
  <c r="B237" i="959"/>
  <c r="B631" i="959"/>
  <c r="B650" i="961"/>
  <c r="B698" i="961"/>
  <c r="B560" i="961"/>
  <c r="B372" i="961"/>
  <c r="B696" i="961"/>
  <c r="B365" i="961"/>
  <c r="B376" i="961"/>
  <c r="B409" i="961"/>
  <c r="B402" i="961"/>
  <c r="B404" i="961"/>
  <c r="B342" i="961"/>
  <c r="N427" i="958"/>
  <c r="L427" i="958"/>
  <c r="N384" i="960"/>
  <c r="B554" i="958"/>
  <c r="B582" i="961"/>
  <c r="N226" i="955"/>
  <c r="B226" i="955"/>
  <c r="B342" i="956"/>
  <c r="L335" i="956"/>
  <c r="N335" i="956"/>
  <c r="N324" i="956"/>
  <c r="B432" i="952"/>
  <c r="B599" i="952"/>
  <c r="B229" i="952"/>
  <c r="B606" i="952"/>
  <c r="AD287" i="952"/>
  <c r="B335" i="952"/>
  <c r="B336" i="952"/>
  <c r="L384" i="953"/>
  <c r="L684" i="953"/>
  <c r="L504" i="954"/>
  <c r="L354" i="954"/>
  <c r="L699" i="956"/>
  <c r="B86" i="956"/>
  <c r="B667" i="957"/>
  <c r="B373" i="957"/>
  <c r="B402" i="957"/>
  <c r="B108" i="957"/>
  <c r="C82" i="957"/>
  <c r="B92" i="957"/>
  <c r="B360" i="957"/>
  <c r="B375" i="957"/>
  <c r="B376" i="957"/>
  <c r="B427" i="957"/>
  <c r="B696" i="958"/>
  <c r="B575" i="958"/>
  <c r="B668" i="958"/>
  <c r="B240" i="958"/>
  <c r="B359" i="958"/>
  <c r="L444" i="958"/>
  <c r="B589" i="959"/>
  <c r="B552" i="959"/>
  <c r="L684" i="959"/>
  <c r="L324" i="959"/>
  <c r="B705" i="961"/>
  <c r="B554" i="961"/>
  <c r="B622" i="961"/>
  <c r="B467" i="961"/>
  <c r="B361" i="961"/>
  <c r="B517" i="961"/>
  <c r="B757" i="961"/>
  <c r="B441" i="961"/>
  <c r="B373" i="961"/>
  <c r="B380" i="961"/>
  <c r="B450" i="961"/>
  <c r="B389" i="961"/>
  <c r="B343" i="956"/>
  <c r="N414" i="958"/>
  <c r="N425" i="958"/>
  <c r="L425" i="958"/>
  <c r="B240" i="952"/>
  <c r="B737" i="957"/>
  <c r="B112" i="957"/>
  <c r="B96" i="957"/>
  <c r="B516" i="958"/>
  <c r="B663" i="958"/>
  <c r="B457" i="958"/>
  <c r="B383" i="958"/>
  <c r="B746" i="959"/>
  <c r="B560" i="959"/>
  <c r="B396" i="959"/>
  <c r="B292" i="959"/>
  <c r="B567" i="961"/>
  <c r="B631" i="961"/>
  <c r="B433" i="961"/>
  <c r="B374" i="961"/>
  <c r="B385" i="961"/>
  <c r="B666" i="961"/>
  <c r="B355" i="961"/>
  <c r="B359" i="961"/>
  <c r="B340" i="961"/>
  <c r="L397" i="961"/>
  <c r="N397" i="961"/>
  <c r="N457" i="960"/>
  <c r="L457" i="960"/>
  <c r="B335" i="956"/>
  <c r="N367" i="956"/>
  <c r="L367" i="956"/>
  <c r="B479" i="952"/>
  <c r="B360" i="952"/>
  <c r="B573" i="952"/>
  <c r="B404" i="957"/>
  <c r="B294" i="958"/>
  <c r="B461" i="952"/>
  <c r="B619" i="952"/>
  <c r="L309" i="952"/>
  <c r="AD287" i="955"/>
  <c r="L549" i="956"/>
  <c r="L384" i="956"/>
  <c r="B89" i="956"/>
  <c r="B107" i="956"/>
  <c r="B757" i="957"/>
  <c r="B430" i="957"/>
  <c r="B100" i="957"/>
  <c r="B91" i="957"/>
  <c r="B103" i="957"/>
  <c r="B111" i="957"/>
  <c r="B405" i="957"/>
  <c r="B406" i="957"/>
  <c r="B372" i="957"/>
  <c r="B705" i="958"/>
  <c r="B376" i="958"/>
  <c r="B372" i="958"/>
  <c r="B701" i="958"/>
  <c r="B467" i="958"/>
  <c r="B634" i="959"/>
  <c r="B697" i="959"/>
  <c r="B230" i="959"/>
  <c r="B233" i="959"/>
  <c r="B782" i="959"/>
  <c r="L699" i="960"/>
  <c r="B230" i="960"/>
  <c r="B648" i="961"/>
  <c r="B588" i="961"/>
  <c r="B586" i="961"/>
  <c r="B488" i="961"/>
  <c r="B413" i="961"/>
  <c r="B539" i="961"/>
  <c r="B349" i="961"/>
  <c r="B343" i="961"/>
  <c r="B366" i="961"/>
  <c r="B235" i="961"/>
  <c r="B352" i="961"/>
  <c r="N384" i="961"/>
  <c r="N395" i="961"/>
  <c r="L395" i="961"/>
  <c r="N455" i="960"/>
  <c r="L455" i="960"/>
  <c r="L382" i="960"/>
  <c r="N382" i="960"/>
  <c r="N354" i="956"/>
  <c r="N365" i="956"/>
  <c r="L365" i="956"/>
  <c r="B573" i="957"/>
  <c r="B106" i="956"/>
  <c r="L564" i="956"/>
  <c r="B736" i="957"/>
  <c r="B680" i="957"/>
  <c r="B110" i="957"/>
  <c r="B95" i="957"/>
  <c r="B109" i="957"/>
  <c r="N82" i="957"/>
  <c r="B113" i="957"/>
  <c r="B615" i="958"/>
  <c r="B488" i="958"/>
  <c r="B586" i="958"/>
  <c r="B704" i="958"/>
  <c r="B413" i="958"/>
  <c r="B559" i="959"/>
  <c r="B558" i="959"/>
  <c r="B355" i="959"/>
  <c r="B240" i="959"/>
  <c r="B636" i="959"/>
  <c r="L384" i="959"/>
  <c r="B231" i="960"/>
  <c r="B575" i="961"/>
  <c r="B528" i="961"/>
  <c r="B480" i="961"/>
  <c r="B353" i="961"/>
  <c r="B274" i="961"/>
  <c r="B600" i="961"/>
  <c r="B370" i="961"/>
  <c r="B346" i="961"/>
  <c r="L309" i="961"/>
  <c r="B396" i="961"/>
  <c r="B406" i="961"/>
  <c r="B382" i="961"/>
  <c r="N380" i="960"/>
  <c r="L380" i="960"/>
  <c r="N226" i="953"/>
  <c r="B226" i="953"/>
  <c r="B398" i="952"/>
  <c r="B631" i="952"/>
  <c r="B260" i="953"/>
  <c r="L444" i="953"/>
  <c r="B718" i="957"/>
  <c r="B598" i="957"/>
  <c r="B441" i="957"/>
  <c r="B99" i="957"/>
  <c r="B115" i="957"/>
  <c r="B395" i="957"/>
  <c r="B357" i="957"/>
  <c r="B370" i="957"/>
  <c r="B751" i="958"/>
  <c r="B352" i="958"/>
  <c r="B464" i="958"/>
  <c r="B633" i="958"/>
  <c r="N489" i="958"/>
  <c r="B753" i="958"/>
  <c r="B461" i="958"/>
  <c r="B234" i="958"/>
  <c r="AJ298" i="958"/>
  <c r="B445" i="958"/>
  <c r="B663" i="959"/>
  <c r="B478" i="959"/>
  <c r="B351" i="959"/>
  <c r="B293" i="959"/>
  <c r="B231" i="959"/>
  <c r="B575" i="959"/>
  <c r="B248" i="959"/>
  <c r="B736" i="961"/>
  <c r="B676" i="961"/>
  <c r="B455" i="961"/>
  <c r="B496" i="961"/>
  <c r="B478" i="961"/>
  <c r="B257" i="961"/>
  <c r="B577" i="961"/>
  <c r="B368" i="961"/>
  <c r="B737" i="961"/>
  <c r="B364" i="961"/>
  <c r="B350" i="961"/>
  <c r="B345" i="961"/>
  <c r="L472" i="957"/>
  <c r="N472" i="957"/>
  <c r="B340" i="956"/>
  <c r="B86" i="957"/>
  <c r="B94" i="957"/>
  <c r="B507" i="952"/>
  <c r="B428" i="952"/>
  <c r="B448" i="952"/>
  <c r="L714" i="952"/>
  <c r="B230" i="952"/>
  <c r="B338" i="952"/>
  <c r="B353" i="952"/>
  <c r="B251" i="952"/>
  <c r="L609" i="952"/>
  <c r="B257" i="952"/>
  <c r="B464" i="952"/>
  <c r="B232" i="953"/>
  <c r="AD287" i="954"/>
  <c r="B85" i="956"/>
  <c r="B738" i="957"/>
  <c r="B567" i="957"/>
  <c r="B89" i="957"/>
  <c r="B90" i="957"/>
  <c r="B104" i="957"/>
  <c r="B543" i="957"/>
  <c r="B390" i="957"/>
  <c r="B398" i="957"/>
  <c r="B649" i="957"/>
  <c r="B230" i="957"/>
  <c r="B598" i="958"/>
  <c r="B538" i="958"/>
  <c r="B558" i="958"/>
  <c r="B368" i="958"/>
  <c r="B743" i="959"/>
  <c r="B439" i="959"/>
  <c r="B514" i="959"/>
  <c r="B367" i="959"/>
  <c r="B279" i="959"/>
  <c r="B228" i="959"/>
  <c r="B620" i="959"/>
  <c r="B236" i="959"/>
  <c r="N459" i="960"/>
  <c r="N504" i="960"/>
  <c r="B229" i="960"/>
  <c r="B710" i="961"/>
  <c r="B776" i="961"/>
  <c r="B591" i="961"/>
  <c r="B387" i="961"/>
  <c r="B397" i="961"/>
  <c r="B383" i="961"/>
  <c r="B604" i="961"/>
  <c r="B651" i="961"/>
  <c r="B379" i="961"/>
  <c r="B398" i="961"/>
  <c r="N397" i="960"/>
  <c r="L397" i="960"/>
  <c r="B346" i="956"/>
  <c r="B345" i="956"/>
  <c r="N337" i="956"/>
  <c r="L337" i="956"/>
  <c r="B349" i="956"/>
  <c r="N470" i="957"/>
  <c r="L470" i="957"/>
  <c r="B336" i="956"/>
  <c r="B106" i="957"/>
  <c r="B89" i="961"/>
  <c r="N101" i="957"/>
  <c r="N109" i="961"/>
  <c r="L109" i="961"/>
  <c r="L412" i="961"/>
  <c r="N412" i="961"/>
  <c r="N97" i="961"/>
  <c r="L97" i="961"/>
  <c r="N87" i="961"/>
  <c r="L87" i="961"/>
  <c r="B704" i="961"/>
  <c r="B742" i="961"/>
  <c r="B576" i="961"/>
  <c r="B285" i="961"/>
  <c r="B561" i="961"/>
  <c r="B515" i="961"/>
  <c r="B469" i="961"/>
  <c r="B461" i="961"/>
  <c r="B275" i="961"/>
  <c r="N485" i="961"/>
  <c r="L485" i="961"/>
  <c r="B727" i="961"/>
  <c r="B749" i="961"/>
  <c r="B535" i="961"/>
  <c r="B231" i="961"/>
  <c r="B607" i="961"/>
  <c r="B562" i="961"/>
  <c r="B381" i="961"/>
  <c r="N367" i="961"/>
  <c r="L367" i="961"/>
  <c r="B242" i="961"/>
  <c r="B246" i="961"/>
  <c r="N474" i="961"/>
  <c r="B723" i="961"/>
  <c r="B724" i="961"/>
  <c r="B746" i="961"/>
  <c r="B367" i="961"/>
  <c r="N335" i="961"/>
  <c r="L335" i="961"/>
  <c r="N324" i="961"/>
  <c r="B279" i="961"/>
  <c r="B270" i="961"/>
  <c r="B593" i="961"/>
  <c r="B552" i="961"/>
  <c r="B503" i="961"/>
  <c r="B536" i="961"/>
  <c r="B98" i="961"/>
  <c r="B88" i="961"/>
  <c r="B90" i="961"/>
  <c r="B709" i="961"/>
  <c r="B571" i="961"/>
  <c r="B456" i="961"/>
  <c r="B473" i="961"/>
  <c r="B435" i="961"/>
  <c r="B247" i="961"/>
  <c r="B262" i="961"/>
  <c r="B288" i="961"/>
  <c r="N113" i="961"/>
  <c r="L113" i="961"/>
  <c r="B291" i="961"/>
  <c r="N410" i="961"/>
  <c r="L410" i="961"/>
  <c r="N399" i="961"/>
  <c r="N84" i="961"/>
  <c r="L84" i="961"/>
  <c r="N88" i="961"/>
  <c r="L88" i="961"/>
  <c r="B753" i="961"/>
  <c r="B608" i="961"/>
  <c r="B695" i="961"/>
  <c r="B442" i="961"/>
  <c r="B708" i="961"/>
  <c r="B661" i="961"/>
  <c r="B425" i="961"/>
  <c r="B462" i="961"/>
  <c r="B258" i="961"/>
  <c r="B613" i="961"/>
  <c r="B585" i="961"/>
  <c r="B540" i="961"/>
  <c r="B287" i="961"/>
  <c r="L744" i="961"/>
  <c r="I1319" i="961"/>
  <c r="I1318" i="961"/>
  <c r="B784" i="961"/>
  <c r="B538" i="961"/>
  <c r="B495" i="961"/>
  <c r="B440" i="961"/>
  <c r="B447" i="961"/>
  <c r="N365" i="961"/>
  <c r="L365" i="961"/>
  <c r="N354" i="961"/>
  <c r="B280" i="961"/>
  <c r="B238" i="961"/>
  <c r="B603" i="961"/>
  <c r="B556" i="961"/>
  <c r="B510" i="961"/>
  <c r="B544" i="961"/>
  <c r="B263" i="961"/>
  <c r="B281" i="961"/>
  <c r="B750" i="961"/>
  <c r="B740" i="961"/>
  <c r="B481" i="961"/>
  <c r="B635" i="961"/>
  <c r="B415" i="961"/>
  <c r="B94" i="961"/>
  <c r="B102" i="961"/>
  <c r="B113" i="961"/>
  <c r="B103" i="961"/>
  <c r="B93" i="961"/>
  <c r="B584" i="961"/>
  <c r="B667" i="961"/>
  <c r="B439" i="961"/>
  <c r="B395" i="961"/>
  <c r="L609" i="961"/>
  <c r="B233" i="961"/>
  <c r="B245" i="961"/>
  <c r="N104" i="961"/>
  <c r="L104" i="961"/>
  <c r="B252" i="961"/>
  <c r="N91" i="961"/>
  <c r="L91" i="961"/>
  <c r="L89" i="961"/>
  <c r="N89" i="961"/>
  <c r="B636" i="961"/>
  <c r="B691" i="961"/>
  <c r="B558" i="961"/>
  <c r="B783" i="961"/>
  <c r="B728" i="961"/>
  <c r="B569" i="961"/>
  <c r="B427" i="961"/>
  <c r="L714" i="961"/>
  <c r="B241" i="961"/>
  <c r="L549" i="961"/>
  <c r="B553" i="961"/>
  <c r="B511" i="961"/>
  <c r="B457" i="961"/>
  <c r="B458" i="961"/>
  <c r="B269" i="961"/>
  <c r="B777" i="961"/>
  <c r="B634" i="961"/>
  <c r="B443" i="961"/>
  <c r="B271" i="961"/>
  <c r="B237" i="961"/>
  <c r="B781" i="961"/>
  <c r="B525" i="961"/>
  <c r="B486" i="961"/>
  <c r="B419" i="961"/>
  <c r="B430" i="961"/>
  <c r="B253" i="961"/>
  <c r="B718" i="961"/>
  <c r="B599" i="961"/>
  <c r="B664" i="961"/>
  <c r="B507" i="961"/>
  <c r="B96" i="961"/>
  <c r="B112" i="961"/>
  <c r="N82" i="961"/>
  <c r="B99" i="961"/>
  <c r="B97" i="961"/>
  <c r="B680" i="961"/>
  <c r="B590" i="961"/>
  <c r="B592" i="961"/>
  <c r="B512" i="961"/>
  <c r="B234" i="961"/>
  <c r="B255" i="961"/>
  <c r="N86" i="961"/>
  <c r="L86" i="961"/>
  <c r="L98" i="961"/>
  <c r="N98" i="961"/>
  <c r="AF22" i="961"/>
  <c r="N95" i="961"/>
  <c r="L95" i="961"/>
  <c r="B752" i="961"/>
  <c r="B694" i="961"/>
  <c r="B499" i="961"/>
  <c r="B261" i="961"/>
  <c r="I1150" i="961"/>
  <c r="I1151" i="961"/>
  <c r="I1155" i="961"/>
  <c r="I1149" i="961"/>
  <c r="I1153" i="961"/>
  <c r="I1152" i="961"/>
  <c r="I1141" i="961"/>
  <c r="I1154" i="961"/>
  <c r="L427" i="961"/>
  <c r="N427" i="961"/>
  <c r="B743" i="961"/>
  <c r="B620" i="961"/>
  <c r="B420" i="961"/>
  <c r="B555" i="961"/>
  <c r="N106" i="961"/>
  <c r="L106" i="961"/>
  <c r="B731" i="961"/>
  <c r="B663" i="961"/>
  <c r="B471" i="961"/>
  <c r="B115" i="961"/>
  <c r="C82" i="961"/>
  <c r="B104" i="961"/>
  <c r="B108" i="961"/>
  <c r="N105" i="961"/>
  <c r="L105" i="961"/>
  <c r="B589" i="961"/>
  <c r="B543" i="961"/>
  <c r="B494" i="961"/>
  <c r="B357" i="961"/>
  <c r="B282" i="961"/>
  <c r="B272" i="961"/>
  <c r="N90" i="961"/>
  <c r="L90" i="961"/>
  <c r="L99" i="961"/>
  <c r="N99" i="961"/>
  <c r="N100" i="961"/>
  <c r="L100" i="961"/>
  <c r="B411" i="961"/>
  <c r="B244" i="961"/>
  <c r="B779" i="961"/>
  <c r="B678" i="961"/>
  <c r="B537" i="961"/>
  <c r="B436" i="961"/>
  <c r="B735" i="961"/>
  <c r="B277" i="961"/>
  <c r="B768" i="961"/>
  <c r="B720" i="961"/>
  <c r="B541" i="961"/>
  <c r="B412" i="961"/>
  <c r="B292" i="961"/>
  <c r="B703" i="961"/>
  <c r="B778" i="961"/>
  <c r="B614" i="961"/>
  <c r="B500" i="961"/>
  <c r="N425" i="961"/>
  <c r="L425" i="961"/>
  <c r="N414" i="961"/>
  <c r="B738" i="961"/>
  <c r="B681" i="961"/>
  <c r="B493" i="961"/>
  <c r="L669" i="961"/>
  <c r="B283" i="961"/>
  <c r="L489" i="961"/>
  <c r="B679" i="961"/>
  <c r="B754" i="961"/>
  <c r="B574" i="961"/>
  <c r="B492" i="961"/>
  <c r="B92" i="961"/>
  <c r="AC12" i="961"/>
  <c r="B105" i="961"/>
  <c r="N457" i="961"/>
  <c r="L457" i="961"/>
  <c r="L504" i="961"/>
  <c r="B739" i="961"/>
  <c r="B697" i="961"/>
  <c r="B463" i="961"/>
  <c r="B542" i="961"/>
  <c r="B501" i="961"/>
  <c r="B260" i="961"/>
  <c r="L699" i="961"/>
  <c r="B273" i="961"/>
  <c r="B701" i="961"/>
  <c r="N110" i="961"/>
  <c r="L110" i="961"/>
  <c r="B256" i="961"/>
  <c r="L92" i="961"/>
  <c r="N92" i="961"/>
  <c r="B637" i="961"/>
  <c r="B583" i="961"/>
  <c r="B573" i="961"/>
  <c r="B485" i="961"/>
  <c r="B266" i="961"/>
  <c r="B683" i="961"/>
  <c r="B520" i="961"/>
  <c r="B487" i="961"/>
  <c r="B719" i="961"/>
  <c r="B780" i="961"/>
  <c r="B618" i="961"/>
  <c r="B286" i="961"/>
  <c r="B748" i="961"/>
  <c r="B649" i="961"/>
  <c r="B509" i="961"/>
  <c r="B682" i="961"/>
  <c r="B448" i="961"/>
  <c r="B289" i="961"/>
  <c r="AD287" i="961"/>
  <c r="B693" i="961"/>
  <c r="B758" i="961"/>
  <c r="B612" i="961"/>
  <c r="B529" i="961"/>
  <c r="B276" i="961"/>
  <c r="B716" i="961"/>
  <c r="B597" i="961"/>
  <c r="B479" i="961"/>
  <c r="B417" i="961"/>
  <c r="B454" i="961"/>
  <c r="B84" i="961"/>
  <c r="B110" i="961"/>
  <c r="B95" i="961"/>
  <c r="B106" i="961"/>
  <c r="N455" i="961"/>
  <c r="L455" i="961"/>
  <c r="N444" i="961"/>
  <c r="B712" i="961"/>
  <c r="B782" i="961"/>
  <c r="B605" i="961"/>
  <c r="B388" i="961"/>
  <c r="B405" i="961"/>
  <c r="B284" i="961"/>
  <c r="B243" i="961"/>
  <c r="L111" i="961"/>
  <c r="N111" i="961"/>
  <c r="N94" i="961"/>
  <c r="L94" i="961"/>
  <c r="N93" i="961"/>
  <c r="L93" i="961"/>
  <c r="B570" i="961"/>
  <c r="B523" i="961"/>
  <c r="B477" i="961"/>
  <c r="B249" i="961"/>
  <c r="B734" i="961"/>
  <c r="B508" i="961"/>
  <c r="B410" i="961"/>
  <c r="B418" i="961"/>
  <c r="B229" i="961"/>
  <c r="B755" i="961"/>
  <c r="B652" i="961"/>
  <c r="B516" i="961"/>
  <c r="B518" i="961"/>
  <c r="B267" i="961"/>
  <c r="B619" i="961"/>
  <c r="B502" i="961"/>
  <c r="B476" i="961"/>
  <c r="B432" i="961"/>
  <c r="B278" i="961"/>
  <c r="B721" i="961"/>
  <c r="B621" i="961"/>
  <c r="B506" i="961"/>
  <c r="B421" i="961"/>
  <c r="B484" i="961"/>
  <c r="B232" i="961"/>
  <c r="B251" i="961"/>
  <c r="N101" i="961"/>
  <c r="B601" i="961"/>
  <c r="B491" i="961"/>
  <c r="B445" i="961"/>
  <c r="B524" i="961"/>
  <c r="B337" i="961"/>
  <c r="B91" i="961"/>
  <c r="B85" i="961"/>
  <c r="B100" i="961"/>
  <c r="B107" i="961"/>
  <c r="B713" i="961"/>
  <c r="B638" i="961"/>
  <c r="B466" i="961"/>
  <c r="B472" i="961"/>
  <c r="B265" i="961"/>
  <c r="B254" i="961"/>
  <c r="B268" i="961"/>
  <c r="N112" i="961"/>
  <c r="L112" i="961"/>
  <c r="L96" i="961"/>
  <c r="N96" i="961"/>
  <c r="N85" i="961"/>
  <c r="L85" i="961"/>
  <c r="B426" i="961"/>
  <c r="B465" i="961"/>
  <c r="B470" i="961"/>
  <c r="B248" i="961"/>
  <c r="B623" i="961"/>
  <c r="B578" i="961"/>
  <c r="B559" i="961"/>
  <c r="B290" i="961"/>
  <c r="AJ227" i="961"/>
  <c r="AJ298" i="961" s="1"/>
  <c r="I1159" i="961"/>
  <c r="I1163" i="961"/>
  <c r="I1157" i="961"/>
  <c r="I1161" i="961"/>
  <c r="I1156" i="961"/>
  <c r="I1162" i="961"/>
  <c r="I1158" i="961"/>
  <c r="I1160" i="961"/>
  <c r="L487" i="961"/>
  <c r="N487" i="961"/>
  <c r="B665" i="961"/>
  <c r="B514" i="961"/>
  <c r="B482" i="961"/>
  <c r="B434" i="961"/>
  <c r="B568" i="961"/>
  <c r="B250" i="961"/>
  <c r="B725" i="961"/>
  <c r="B733" i="961"/>
  <c r="B751" i="961"/>
  <c r="B428" i="961"/>
  <c r="B259" i="961"/>
  <c r="B615" i="961"/>
  <c r="B497" i="961"/>
  <c r="B464" i="961"/>
  <c r="B598" i="961"/>
  <c r="N337" i="961"/>
  <c r="L337" i="961"/>
  <c r="B295" i="961"/>
  <c r="B707" i="961"/>
  <c r="B653" i="961"/>
  <c r="B606" i="961"/>
  <c r="B360" i="961"/>
  <c r="B109" i="961"/>
  <c r="B87" i="961"/>
  <c r="B86" i="961"/>
  <c r="B111" i="961"/>
  <c r="L729" i="961"/>
  <c r="B668" i="961"/>
  <c r="B706" i="961"/>
  <c r="B563" i="961"/>
  <c r="B338" i="961"/>
  <c r="B375" i="961"/>
  <c r="B264" i="961"/>
  <c r="B230" i="961"/>
  <c r="B294" i="961"/>
  <c r="B293" i="961"/>
  <c r="N101" i="960"/>
  <c r="L440" i="960"/>
  <c r="N440" i="960"/>
  <c r="N429" i="960"/>
  <c r="L110" i="960"/>
  <c r="N110" i="960"/>
  <c r="L639" i="960"/>
  <c r="L714" i="960"/>
  <c r="N320" i="960"/>
  <c r="L320" i="960"/>
  <c r="B784" i="960"/>
  <c r="B691" i="960"/>
  <c r="B661" i="960"/>
  <c r="B782" i="960"/>
  <c r="B666" i="960"/>
  <c r="B706" i="960"/>
  <c r="B696" i="960"/>
  <c r="B622" i="960"/>
  <c r="B562" i="960"/>
  <c r="B494" i="960"/>
  <c r="B748" i="960"/>
  <c r="B592" i="960"/>
  <c r="B508" i="960"/>
  <c r="B612" i="960"/>
  <c r="B502" i="960"/>
  <c r="B619" i="960"/>
  <c r="B528" i="960"/>
  <c r="B757" i="960"/>
  <c r="B613" i="960"/>
  <c r="B514" i="960"/>
  <c r="B411" i="960"/>
  <c r="B570" i="960"/>
  <c r="B473" i="960"/>
  <c r="B458" i="960"/>
  <c r="B599" i="960"/>
  <c r="B450" i="960"/>
  <c r="B381" i="960"/>
  <c r="B442" i="960"/>
  <c r="B329" i="960"/>
  <c r="B382" i="960"/>
  <c r="B322" i="960"/>
  <c r="B485" i="960"/>
  <c r="B385" i="960"/>
  <c r="B571" i="960"/>
  <c r="B388" i="960"/>
  <c r="B543" i="960"/>
  <c r="B345" i="960"/>
  <c r="B323" i="960"/>
  <c r="B376" i="960"/>
  <c r="B349" i="960"/>
  <c r="B461" i="960"/>
  <c r="B683" i="960"/>
  <c r="B781" i="960"/>
  <c r="B631" i="960"/>
  <c r="B783" i="960"/>
  <c r="B776" i="960"/>
  <c r="B651" i="960"/>
  <c r="B749" i="960"/>
  <c r="B682" i="960"/>
  <c r="B618" i="960"/>
  <c r="B558" i="960"/>
  <c r="B753" i="960"/>
  <c r="B740" i="960"/>
  <c r="B588" i="960"/>
  <c r="B500" i="960"/>
  <c r="B607" i="960"/>
  <c r="B491" i="960"/>
  <c r="B616" i="960"/>
  <c r="B525" i="960"/>
  <c r="B721" i="960"/>
  <c r="B603" i="960"/>
  <c r="B503" i="960"/>
  <c r="B410" i="960"/>
  <c r="B501" i="960"/>
  <c r="B465" i="960"/>
  <c r="B455" i="960"/>
  <c r="B584" i="960"/>
  <c r="B436" i="960"/>
  <c r="B367" i="960"/>
  <c r="B421" i="960"/>
  <c r="B375" i="960"/>
  <c r="B482" i="960"/>
  <c r="B361" i="960"/>
  <c r="B449" i="960"/>
  <c r="B387" i="960"/>
  <c r="B472" i="960"/>
  <c r="B342" i="960"/>
  <c r="B518" i="960"/>
  <c r="B582" i="960"/>
  <c r="B330" i="960"/>
  <c r="B693" i="960"/>
  <c r="B750" i="960"/>
  <c r="B777" i="960"/>
  <c r="B768" i="960"/>
  <c r="B742" i="960"/>
  <c r="B649" i="960"/>
  <c r="B733" i="960"/>
  <c r="B676" i="960"/>
  <c r="B608" i="960"/>
  <c r="B544" i="960"/>
  <c r="B737" i="960"/>
  <c r="B578" i="960"/>
  <c r="B488" i="960"/>
  <c r="B593" i="960"/>
  <c r="B478" i="960"/>
  <c r="B663" i="960"/>
  <c r="B520" i="960"/>
  <c r="B589" i="960"/>
  <c r="B486" i="960"/>
  <c r="B600" i="960"/>
  <c r="B462" i="960"/>
  <c r="B432" i="960"/>
  <c r="B360" i="960"/>
  <c r="B413" i="960"/>
  <c r="B516" i="960"/>
  <c r="B372" i="960"/>
  <c r="B451" i="960"/>
  <c r="B344" i="960"/>
  <c r="B443" i="960"/>
  <c r="B427" i="960"/>
  <c r="B338" i="960"/>
  <c r="B463" i="960"/>
  <c r="B497" i="960"/>
  <c r="B327" i="960"/>
  <c r="B739" i="960"/>
  <c r="B743" i="960"/>
  <c r="B752" i="960"/>
  <c r="B728" i="960"/>
  <c r="B637" i="960"/>
  <c r="B724" i="960"/>
  <c r="B667" i="960"/>
  <c r="B604" i="960"/>
  <c r="B529" i="960"/>
  <c r="B719" i="960"/>
  <c r="B634" i="960"/>
  <c r="B574" i="960"/>
  <c r="B480" i="960"/>
  <c r="B575" i="960"/>
  <c r="B470" i="960"/>
  <c r="B605" i="960"/>
  <c r="B510" i="960"/>
  <c r="B734" i="960"/>
  <c r="B556" i="960"/>
  <c r="B476" i="960"/>
  <c r="B716" i="960"/>
  <c r="B535" i="960"/>
  <c r="B454" i="960"/>
  <c r="B391" i="960"/>
  <c r="B538" i="960"/>
  <c r="B412" i="960"/>
  <c r="B357" i="960"/>
  <c r="B402" i="960"/>
  <c r="B479" i="960"/>
  <c r="B368" i="960"/>
  <c r="N309" i="960"/>
  <c r="B440" i="960"/>
  <c r="B325" i="960"/>
  <c r="B435" i="960"/>
  <c r="B379" i="960"/>
  <c r="B405" i="960"/>
  <c r="B334" i="960"/>
  <c r="B359" i="960"/>
  <c r="B415" i="960"/>
  <c r="B447" i="960"/>
  <c r="B736" i="960"/>
  <c r="B718" i="960"/>
  <c r="B738" i="960"/>
  <c r="B720" i="960"/>
  <c r="B780" i="960"/>
  <c r="B679" i="960"/>
  <c r="B652" i="960"/>
  <c r="B590" i="960"/>
  <c r="B523" i="960"/>
  <c r="B703" i="960"/>
  <c r="B620" i="960"/>
  <c r="B560" i="960"/>
  <c r="B723" i="960"/>
  <c r="B561" i="960"/>
  <c r="B707" i="960"/>
  <c r="B591" i="960"/>
  <c r="B496" i="960"/>
  <c r="B727" i="960"/>
  <c r="B554" i="960"/>
  <c r="B464" i="960"/>
  <c r="B709" i="960"/>
  <c r="B507" i="960"/>
  <c r="B448" i="960"/>
  <c r="B374" i="960"/>
  <c r="B536" i="960"/>
  <c r="B406" i="960"/>
  <c r="B353" i="960"/>
  <c r="B398" i="960"/>
  <c r="B477" i="960"/>
  <c r="B364" i="960"/>
  <c r="B636" i="960"/>
  <c r="B430" i="960"/>
  <c r="B623" i="960"/>
  <c r="B425" i="960"/>
  <c r="B373" i="960"/>
  <c r="B390" i="960"/>
  <c r="B328" i="960"/>
  <c r="B343" i="960"/>
  <c r="B389" i="960"/>
  <c r="B428" i="960"/>
  <c r="B722" i="960"/>
  <c r="B712" i="960"/>
  <c r="B731" i="960"/>
  <c r="B698" i="960"/>
  <c r="B778" i="960"/>
  <c r="B751" i="960"/>
  <c r="B638" i="960"/>
  <c r="B585" i="960"/>
  <c r="B517" i="960"/>
  <c r="B694" i="960"/>
  <c r="B615" i="960"/>
  <c r="B555" i="960"/>
  <c r="B664" i="960"/>
  <c r="B553" i="960"/>
  <c r="B680" i="960"/>
  <c r="B583" i="960"/>
  <c r="B481" i="960"/>
  <c r="B725" i="960"/>
  <c r="B552" i="960"/>
  <c r="B445" i="960"/>
  <c r="B697" i="960"/>
  <c r="B499" i="960"/>
  <c r="B434" i="960"/>
  <c r="B355" i="960"/>
  <c r="B524" i="960"/>
  <c r="B396" i="960"/>
  <c r="B653" i="960"/>
  <c r="B397" i="960"/>
  <c r="B469" i="960"/>
  <c r="B358" i="960"/>
  <c r="B577" i="960"/>
  <c r="B424" i="960"/>
  <c r="B601" i="960"/>
  <c r="B419" i="960"/>
  <c r="B365" i="960"/>
  <c r="B380" i="960"/>
  <c r="B320" i="960"/>
  <c r="B335" i="960"/>
  <c r="B441" i="960"/>
  <c r="B340" i="960"/>
  <c r="B409" i="960"/>
  <c r="B708" i="960"/>
  <c r="B710" i="960"/>
  <c r="B713" i="960"/>
  <c r="B695" i="960"/>
  <c r="B758" i="960"/>
  <c r="B746" i="960"/>
  <c r="B635" i="960"/>
  <c r="B576" i="960"/>
  <c r="B512" i="960"/>
  <c r="B779" i="960"/>
  <c r="B606" i="960"/>
  <c r="B540" i="960"/>
  <c r="B621" i="960"/>
  <c r="B542" i="960"/>
  <c r="B668" i="960"/>
  <c r="B573" i="960"/>
  <c r="B471" i="960"/>
  <c r="B705" i="960"/>
  <c r="B541" i="960"/>
  <c r="B439" i="960"/>
  <c r="B678" i="960"/>
  <c r="B487" i="960"/>
  <c r="B420" i="960"/>
  <c r="B331" i="960"/>
  <c r="B492" i="960"/>
  <c r="B395" i="960"/>
  <c r="B569" i="960"/>
  <c r="B370" i="960"/>
  <c r="B456" i="960"/>
  <c r="B350" i="960"/>
  <c r="B563" i="960"/>
  <c r="B418" i="960"/>
  <c r="B597" i="960"/>
  <c r="B404" i="960"/>
  <c r="B351" i="960"/>
  <c r="B366" i="960"/>
  <c r="B426" i="960"/>
  <c r="B383" i="960"/>
  <c r="B701" i="960"/>
  <c r="B704" i="960"/>
  <c r="B646" i="960"/>
  <c r="B681" i="960"/>
  <c r="B754" i="960"/>
  <c r="B735" i="960"/>
  <c r="B633" i="960"/>
  <c r="B568" i="960"/>
  <c r="B506" i="960"/>
  <c r="B755" i="960"/>
  <c r="B598" i="960"/>
  <c r="B537" i="960"/>
  <c r="B614" i="960"/>
  <c r="B515" i="960"/>
  <c r="B648" i="960"/>
  <c r="B559" i="960"/>
  <c r="B466" i="960"/>
  <c r="B650" i="960"/>
  <c r="B539" i="960"/>
  <c r="B433" i="960"/>
  <c r="B665" i="960"/>
  <c r="B484" i="960"/>
  <c r="B509" i="960"/>
  <c r="B467" i="960"/>
  <c r="B394" i="960"/>
  <c r="B495" i="960"/>
  <c r="B346" i="960"/>
  <c r="B403" i="960"/>
  <c r="B336" i="960"/>
  <c r="B511" i="960"/>
  <c r="B417" i="960"/>
  <c r="B586" i="960"/>
  <c r="B400" i="960"/>
  <c r="B337" i="960"/>
  <c r="B352" i="960"/>
  <c r="B493" i="960"/>
  <c r="B457" i="960"/>
  <c r="B321" i="960"/>
  <c r="B567" i="960"/>
  <c r="N425" i="960"/>
  <c r="L425" i="960"/>
  <c r="N414" i="960"/>
  <c r="N91" i="960"/>
  <c r="L91" i="960"/>
  <c r="N99" i="960"/>
  <c r="L99" i="960"/>
  <c r="B249" i="960"/>
  <c r="B274" i="960"/>
  <c r="B291" i="960"/>
  <c r="B256" i="960"/>
  <c r="B278" i="960"/>
  <c r="B272" i="960"/>
  <c r="B247" i="960"/>
  <c r="B263" i="960"/>
  <c r="N112" i="960"/>
  <c r="L112" i="960"/>
  <c r="B113" i="960"/>
  <c r="B115" i="960"/>
  <c r="B84" i="960"/>
  <c r="N83" i="960"/>
  <c r="B112" i="960"/>
  <c r="B98" i="960"/>
  <c r="B90" i="960"/>
  <c r="L83" i="960"/>
  <c r="B110" i="960"/>
  <c r="B100" i="960"/>
  <c r="B86" i="960"/>
  <c r="B108" i="960"/>
  <c r="B97" i="960"/>
  <c r="B93" i="960"/>
  <c r="B89" i="960"/>
  <c r="AC12" i="960"/>
  <c r="B102" i="960"/>
  <c r="B83" i="960"/>
  <c r="N82" i="960"/>
  <c r="B103" i="960"/>
  <c r="C82" i="960"/>
  <c r="B111" i="960"/>
  <c r="B96" i="960"/>
  <c r="B92" i="960"/>
  <c r="B88" i="960"/>
  <c r="B87" i="960"/>
  <c r="B85" i="960"/>
  <c r="B109" i="960"/>
  <c r="B107" i="960"/>
  <c r="B106" i="960"/>
  <c r="B105" i="960"/>
  <c r="B104" i="960"/>
  <c r="B99" i="960"/>
  <c r="B95" i="960"/>
  <c r="B91" i="960"/>
  <c r="B94" i="960"/>
  <c r="I1141" i="960"/>
  <c r="I1154" i="960"/>
  <c r="I1150" i="960"/>
  <c r="I1153" i="960"/>
  <c r="I1149" i="960"/>
  <c r="I1152" i="960"/>
  <c r="I1151" i="960"/>
  <c r="I1155" i="960"/>
  <c r="N94" i="960"/>
  <c r="L94" i="960"/>
  <c r="N89" i="960"/>
  <c r="L89" i="960"/>
  <c r="B275" i="960"/>
  <c r="B234" i="960"/>
  <c r="B262" i="960"/>
  <c r="B264" i="960"/>
  <c r="B269" i="960"/>
  <c r="B294" i="960"/>
  <c r="B289" i="960"/>
  <c r="N111" i="960"/>
  <c r="L111" i="960"/>
  <c r="L474" i="960"/>
  <c r="N95" i="960"/>
  <c r="L95" i="960"/>
  <c r="N93" i="960"/>
  <c r="L93" i="960"/>
  <c r="AJ227" i="960"/>
  <c r="AJ298" i="960" s="1"/>
  <c r="I1163" i="960"/>
  <c r="I1162" i="960"/>
  <c r="I1158" i="960"/>
  <c r="I1161" i="960"/>
  <c r="I1157" i="960"/>
  <c r="I1160" i="960"/>
  <c r="I1156" i="960"/>
  <c r="I1159" i="960"/>
  <c r="L517" i="960"/>
  <c r="N517" i="960"/>
  <c r="B287" i="960"/>
  <c r="B251" i="960"/>
  <c r="B279" i="960"/>
  <c r="B237" i="960"/>
  <c r="B232" i="960"/>
  <c r="B282" i="960"/>
  <c r="B244" i="960"/>
  <c r="B233" i="960"/>
  <c r="N337" i="960"/>
  <c r="L337" i="960"/>
  <c r="AD287" i="960"/>
  <c r="L744" i="960"/>
  <c r="N85" i="960"/>
  <c r="L85" i="960"/>
  <c r="N97" i="960"/>
  <c r="L97" i="960"/>
  <c r="I1319" i="960"/>
  <c r="I1318" i="960"/>
  <c r="N515" i="960"/>
  <c r="L515" i="960"/>
  <c r="B292" i="960"/>
  <c r="B241" i="960"/>
  <c r="B250" i="960"/>
  <c r="B268" i="960"/>
  <c r="B235" i="960"/>
  <c r="B259" i="960"/>
  <c r="B240" i="960"/>
  <c r="B242" i="960"/>
  <c r="N335" i="960"/>
  <c r="L335" i="960"/>
  <c r="N324" i="960"/>
  <c r="N87" i="960"/>
  <c r="L87" i="960"/>
  <c r="L86" i="960"/>
  <c r="N86" i="960"/>
  <c r="L729" i="960"/>
  <c r="B271" i="960"/>
  <c r="B255" i="960"/>
  <c r="B265" i="960"/>
  <c r="B236" i="960"/>
  <c r="B281" i="960"/>
  <c r="B276" i="960"/>
  <c r="B239" i="960"/>
  <c r="B254" i="960"/>
  <c r="N107" i="960"/>
  <c r="L107" i="960"/>
  <c r="N472" i="960"/>
  <c r="L472" i="960"/>
  <c r="N88" i="960"/>
  <c r="L88" i="960"/>
  <c r="L100" i="960"/>
  <c r="N100" i="960"/>
  <c r="L489" i="960"/>
  <c r="B293" i="960"/>
  <c r="B238" i="960"/>
  <c r="B290" i="960"/>
  <c r="B273" i="960"/>
  <c r="B260" i="960"/>
  <c r="B277" i="960"/>
  <c r="B267" i="960"/>
  <c r="B266" i="960"/>
  <c r="N109" i="960"/>
  <c r="L109" i="960"/>
  <c r="L669" i="960"/>
  <c r="L470" i="960"/>
  <c r="N470" i="960"/>
  <c r="N92" i="960"/>
  <c r="L92" i="960"/>
  <c r="N90" i="960"/>
  <c r="L90" i="960"/>
  <c r="B246" i="960"/>
  <c r="B257" i="960"/>
  <c r="B245" i="960"/>
  <c r="B252" i="960"/>
  <c r="B261" i="960"/>
  <c r="B295" i="960"/>
  <c r="B284" i="960"/>
  <c r="B243" i="960"/>
  <c r="L442" i="960"/>
  <c r="N442" i="960"/>
  <c r="N108" i="960"/>
  <c r="L108" i="960"/>
  <c r="N113" i="960"/>
  <c r="L113" i="960"/>
  <c r="L322" i="960"/>
  <c r="N322" i="960"/>
  <c r="N427" i="960"/>
  <c r="L427" i="960"/>
  <c r="L84" i="960"/>
  <c r="N84" i="960"/>
  <c r="N96" i="960"/>
  <c r="L96" i="960"/>
  <c r="AF22" i="960"/>
  <c r="L98" i="960"/>
  <c r="N98" i="960"/>
  <c r="B280" i="960"/>
  <c r="B258" i="960"/>
  <c r="B283" i="960"/>
  <c r="B270" i="960"/>
  <c r="B253" i="960"/>
  <c r="B286" i="960"/>
  <c r="B288" i="960"/>
  <c r="B285" i="960"/>
  <c r="B248" i="960"/>
  <c r="B107" i="959"/>
  <c r="N101" i="959"/>
  <c r="L352" i="959"/>
  <c r="N352" i="959"/>
  <c r="B275" i="959"/>
  <c r="N97" i="959"/>
  <c r="L97" i="959"/>
  <c r="N90" i="959"/>
  <c r="L90" i="959"/>
  <c r="N96" i="959"/>
  <c r="L96" i="959"/>
  <c r="B776" i="959"/>
  <c r="B442" i="959"/>
  <c r="B779" i="959"/>
  <c r="B375" i="959"/>
  <c r="B395" i="959"/>
  <c r="B294" i="959"/>
  <c r="B725" i="959"/>
  <c r="B529" i="959"/>
  <c r="B488" i="959"/>
  <c r="B463" i="959"/>
  <c r="B357" i="959"/>
  <c r="B284" i="959"/>
  <c r="B613" i="959"/>
  <c r="B482" i="959"/>
  <c r="B448" i="959"/>
  <c r="B614" i="959"/>
  <c r="B238" i="959"/>
  <c r="B768" i="959"/>
  <c r="B541" i="959"/>
  <c r="B430" i="959"/>
  <c r="B421" i="959"/>
  <c r="B360" i="959"/>
  <c r="B278" i="959"/>
  <c r="B740" i="959"/>
  <c r="B497" i="959"/>
  <c r="B469" i="959"/>
  <c r="B425" i="959"/>
  <c r="B374" i="959"/>
  <c r="B270" i="959"/>
  <c r="L624" i="959"/>
  <c r="B668" i="959"/>
  <c r="B683" i="959"/>
  <c r="B563" i="959"/>
  <c r="B350" i="959"/>
  <c r="B289" i="959"/>
  <c r="L654" i="959"/>
  <c r="N82" i="959"/>
  <c r="B100" i="959"/>
  <c r="B112" i="959"/>
  <c r="B88" i="959"/>
  <c r="B105" i="959"/>
  <c r="B704" i="959"/>
  <c r="B479" i="959"/>
  <c r="B440" i="959"/>
  <c r="B404" i="959"/>
  <c r="B784" i="959"/>
  <c r="B735" i="959"/>
  <c r="N350" i="959"/>
  <c r="L350" i="959"/>
  <c r="B433" i="959"/>
  <c r="B562" i="959"/>
  <c r="B450" i="959"/>
  <c r="B412" i="959"/>
  <c r="B518" i="959"/>
  <c r="B419" i="959"/>
  <c r="B543" i="959"/>
  <c r="B465" i="959"/>
  <c r="B678" i="959"/>
  <c r="B539" i="959"/>
  <c r="B470" i="959"/>
  <c r="B707" i="959"/>
  <c r="B486" i="959"/>
  <c r="B382" i="959"/>
  <c r="B622" i="959"/>
  <c r="B577" i="959"/>
  <c r="B449" i="959"/>
  <c r="B353" i="959"/>
  <c r="B373" i="959"/>
  <c r="N339" i="959"/>
  <c r="B273" i="959"/>
  <c r="L729" i="959"/>
  <c r="N98" i="959"/>
  <c r="AF22" i="959"/>
  <c r="L98" i="959"/>
  <c r="N91" i="959"/>
  <c r="L91" i="959"/>
  <c r="B633" i="959"/>
  <c r="B585" i="959"/>
  <c r="B536" i="959"/>
  <c r="B619" i="959"/>
  <c r="N382" i="959"/>
  <c r="L382" i="959"/>
  <c r="B277" i="959"/>
  <c r="B742" i="959"/>
  <c r="B406" i="959"/>
  <c r="B754" i="959"/>
  <c r="B372" i="959"/>
  <c r="B282" i="959"/>
  <c r="L714" i="959"/>
  <c r="B553" i="959"/>
  <c r="B755" i="959"/>
  <c r="B606" i="959"/>
  <c r="B542" i="959"/>
  <c r="N367" i="959"/>
  <c r="L367" i="959"/>
  <c r="B719" i="959"/>
  <c r="B653" i="959"/>
  <c r="B597" i="959"/>
  <c r="B600" i="959"/>
  <c r="B387" i="959"/>
  <c r="B253" i="959"/>
  <c r="B679" i="959"/>
  <c r="B696" i="959"/>
  <c r="B568" i="959"/>
  <c r="B358" i="959"/>
  <c r="B379" i="959"/>
  <c r="B694" i="959"/>
  <c r="B515" i="959"/>
  <c r="B485" i="959"/>
  <c r="B695" i="959"/>
  <c r="B390" i="959"/>
  <c r="B291" i="959"/>
  <c r="B97" i="959"/>
  <c r="C82" i="959"/>
  <c r="B92" i="959"/>
  <c r="B106" i="959"/>
  <c r="N502" i="959"/>
  <c r="L502" i="959"/>
  <c r="B271" i="959"/>
  <c r="N85" i="959"/>
  <c r="L85" i="959"/>
  <c r="N95" i="959"/>
  <c r="L95" i="959"/>
  <c r="B637" i="959"/>
  <c r="B499" i="959"/>
  <c r="B462" i="959"/>
  <c r="B574" i="959"/>
  <c r="B365" i="959"/>
  <c r="L380" i="959"/>
  <c r="N380" i="959"/>
  <c r="N369" i="959"/>
  <c r="B749" i="959"/>
  <c r="B583" i="959"/>
  <c r="B520" i="959"/>
  <c r="B616" i="959"/>
  <c r="B352" i="959"/>
  <c r="B257" i="959"/>
  <c r="N412" i="959"/>
  <c r="L412" i="959"/>
  <c r="B739" i="959"/>
  <c r="B676" i="959"/>
  <c r="B492" i="959"/>
  <c r="B516" i="959"/>
  <c r="B428" i="959"/>
  <c r="N365" i="959"/>
  <c r="L365" i="959"/>
  <c r="N354" i="959"/>
  <c r="L699" i="959"/>
  <c r="N110" i="959"/>
  <c r="L110" i="959"/>
  <c r="B682" i="959"/>
  <c r="B502" i="959"/>
  <c r="B477" i="959"/>
  <c r="B426" i="959"/>
  <c r="B376" i="959"/>
  <c r="N487" i="959"/>
  <c r="L487" i="959"/>
  <c r="B705" i="959"/>
  <c r="B524" i="959"/>
  <c r="B493" i="959"/>
  <c r="B758" i="959"/>
  <c r="B397" i="959"/>
  <c r="B593" i="959"/>
  <c r="B445" i="959"/>
  <c r="B748" i="959"/>
  <c r="B591" i="959"/>
  <c r="B295" i="959"/>
  <c r="B98" i="959"/>
  <c r="B86" i="959"/>
  <c r="B94" i="959"/>
  <c r="B96" i="959"/>
  <c r="B680" i="959"/>
  <c r="B511" i="959"/>
  <c r="B473" i="959"/>
  <c r="B638" i="959"/>
  <c r="B380" i="959"/>
  <c r="B283" i="959"/>
  <c r="B713" i="959"/>
  <c r="B721" i="959"/>
  <c r="N500" i="959"/>
  <c r="L500" i="959"/>
  <c r="B285" i="959"/>
  <c r="N84" i="959"/>
  <c r="L84" i="959"/>
  <c r="N99" i="959"/>
  <c r="L99" i="959"/>
  <c r="B570" i="959"/>
  <c r="B411" i="959"/>
  <c r="B664" i="959"/>
  <c r="B435" i="959"/>
  <c r="B259" i="959"/>
  <c r="B623" i="959"/>
  <c r="B487" i="959"/>
  <c r="B454" i="959"/>
  <c r="B544" i="959"/>
  <c r="B290" i="959"/>
  <c r="N410" i="959"/>
  <c r="L410" i="959"/>
  <c r="N399" i="959"/>
  <c r="B783" i="959"/>
  <c r="B556" i="959"/>
  <c r="B436" i="959"/>
  <c r="B441" i="959"/>
  <c r="B383" i="959"/>
  <c r="B276" i="959"/>
  <c r="N109" i="959"/>
  <c r="L109" i="959"/>
  <c r="B720" i="959"/>
  <c r="B701" i="959"/>
  <c r="B615" i="959"/>
  <c r="B364" i="959"/>
  <c r="B389" i="959"/>
  <c r="L485" i="959"/>
  <c r="L474" i="959" s="1"/>
  <c r="N485" i="959"/>
  <c r="L744" i="959"/>
  <c r="B603" i="959"/>
  <c r="B464" i="959"/>
  <c r="B420" i="959"/>
  <c r="B598" i="959"/>
  <c r="N457" i="959"/>
  <c r="L457" i="959"/>
  <c r="N489" i="959"/>
  <c r="B751" i="959"/>
  <c r="B605" i="959"/>
  <c r="B576" i="959"/>
  <c r="B471" i="959"/>
  <c r="B262" i="959"/>
  <c r="B99" i="959"/>
  <c r="B95" i="959"/>
  <c r="B103" i="959"/>
  <c r="B111" i="959"/>
  <c r="B281" i="959"/>
  <c r="B734" i="959"/>
  <c r="B555" i="959"/>
  <c r="N93" i="959"/>
  <c r="L93" i="959"/>
  <c r="L94" i="959"/>
  <c r="N94" i="959"/>
  <c r="B781" i="959"/>
  <c r="B703" i="959"/>
  <c r="B503" i="959"/>
  <c r="B528" i="959"/>
  <c r="AJ227" i="959"/>
  <c r="AJ298" i="959" s="1"/>
  <c r="I1156" i="959"/>
  <c r="I1160" i="959"/>
  <c r="I1162" i="959"/>
  <c r="I1158" i="959"/>
  <c r="I1159" i="959"/>
  <c r="I1163" i="959"/>
  <c r="I1157" i="959"/>
  <c r="I1161" i="959"/>
  <c r="I1319" i="959"/>
  <c r="I1318" i="959"/>
  <c r="B561" i="959"/>
  <c r="B410" i="959"/>
  <c r="B621" i="959"/>
  <c r="B432" i="959"/>
  <c r="B269" i="959"/>
  <c r="B737" i="959"/>
  <c r="B667" i="959"/>
  <c r="B601" i="959"/>
  <c r="B612" i="959"/>
  <c r="B388" i="959"/>
  <c r="B274" i="959"/>
  <c r="L111" i="959"/>
  <c r="N111" i="959"/>
  <c r="B724" i="959"/>
  <c r="B567" i="959"/>
  <c r="B510" i="959"/>
  <c r="B778" i="959"/>
  <c r="B398" i="959"/>
  <c r="N228" i="959"/>
  <c r="B255" i="959"/>
  <c r="B256" i="959"/>
  <c r="B264" i="959"/>
  <c r="B245" i="959"/>
  <c r="B244" i="959"/>
  <c r="B249" i="959"/>
  <c r="B242" i="959"/>
  <c r="B251" i="959"/>
  <c r="B243" i="959"/>
  <c r="B241" i="959"/>
  <c r="B252" i="959"/>
  <c r="B525" i="959"/>
  <c r="B618" i="959"/>
  <c r="B586" i="959"/>
  <c r="B494" i="959"/>
  <c r="N455" i="959"/>
  <c r="L455" i="959"/>
  <c r="N444" i="959"/>
  <c r="L669" i="959"/>
  <c r="B777" i="959"/>
  <c r="B651" i="959"/>
  <c r="B467" i="959"/>
  <c r="B496" i="959"/>
  <c r="B385" i="959"/>
  <c r="B110" i="959"/>
  <c r="AC12" i="959"/>
  <c r="B109" i="959"/>
  <c r="B102" i="959"/>
  <c r="N100" i="959"/>
  <c r="L100" i="959"/>
  <c r="N87" i="959"/>
  <c r="L87" i="959"/>
  <c r="B712" i="959"/>
  <c r="B599" i="959"/>
  <c r="B447" i="959"/>
  <c r="B458" i="959"/>
  <c r="B400" i="959"/>
  <c r="N472" i="959"/>
  <c r="L472" i="959"/>
  <c r="B287" i="959"/>
  <c r="L108" i="959"/>
  <c r="N108" i="959"/>
  <c r="B750" i="959"/>
  <c r="B698" i="959"/>
  <c r="B495" i="959"/>
  <c r="B523" i="959"/>
  <c r="B409" i="959"/>
  <c r="B246" i="959"/>
  <c r="B723" i="959"/>
  <c r="B517" i="959"/>
  <c r="B480" i="959"/>
  <c r="B455" i="959"/>
  <c r="B381" i="959"/>
  <c r="B288" i="959"/>
  <c r="N113" i="959"/>
  <c r="L113" i="959"/>
  <c r="B607" i="959"/>
  <c r="B476" i="959"/>
  <c r="B434" i="959"/>
  <c r="B604" i="959"/>
  <c r="B268" i="959"/>
  <c r="B722" i="959"/>
  <c r="B661" i="959"/>
  <c r="B472" i="959"/>
  <c r="B501" i="959"/>
  <c r="B405" i="959"/>
  <c r="B260" i="959"/>
  <c r="B738" i="959"/>
  <c r="B509" i="959"/>
  <c r="B417" i="959"/>
  <c r="B403" i="959"/>
  <c r="B89" i="959"/>
  <c r="B115" i="959"/>
  <c r="B113" i="959"/>
  <c r="N86" i="959"/>
  <c r="L86" i="959"/>
  <c r="L88" i="959"/>
  <c r="N88" i="959"/>
  <c r="B646" i="959"/>
  <c r="B706" i="959"/>
  <c r="B649" i="959"/>
  <c r="B652" i="959"/>
  <c r="N470" i="959"/>
  <c r="L470" i="959"/>
  <c r="B267" i="959"/>
  <c r="B710" i="959"/>
  <c r="B582" i="959"/>
  <c r="B443" i="959"/>
  <c r="B451" i="959"/>
  <c r="B391" i="959"/>
  <c r="N442" i="959"/>
  <c r="L442" i="959"/>
  <c r="B263" i="959"/>
  <c r="B728" i="959"/>
  <c r="B716" i="959"/>
  <c r="B693" i="959"/>
  <c r="B368" i="959"/>
  <c r="B394" i="959"/>
  <c r="B286" i="959"/>
  <c r="N112" i="959"/>
  <c r="L112" i="959"/>
  <c r="B538" i="959"/>
  <c r="B665" i="959"/>
  <c r="B590" i="959"/>
  <c r="B506" i="959"/>
  <c r="B266" i="959"/>
  <c r="B752" i="959"/>
  <c r="B535" i="959"/>
  <c r="B418" i="959"/>
  <c r="B415" i="959"/>
  <c r="L504" i="959"/>
  <c r="B258" i="959"/>
  <c r="B681" i="959"/>
  <c r="B569" i="959"/>
  <c r="B554" i="959"/>
  <c r="B537" i="959"/>
  <c r="B370" i="959"/>
  <c r="B736" i="959"/>
  <c r="B84" i="959"/>
  <c r="B90" i="959"/>
  <c r="B85" i="959"/>
  <c r="B108" i="959"/>
  <c r="B731" i="959"/>
  <c r="B780" i="959"/>
  <c r="B413" i="959"/>
  <c r="B402" i="959"/>
  <c r="B648" i="959"/>
  <c r="B507" i="959"/>
  <c r="N89" i="959"/>
  <c r="L89" i="959"/>
  <c r="N92" i="959"/>
  <c r="L92" i="959"/>
  <c r="B727" i="959"/>
  <c r="B540" i="959"/>
  <c r="B500" i="959"/>
  <c r="B481" i="959"/>
  <c r="L549" i="959"/>
  <c r="B265" i="959"/>
  <c r="B753" i="959"/>
  <c r="B691" i="959"/>
  <c r="B608" i="959"/>
  <c r="B635" i="959"/>
  <c r="N440" i="959"/>
  <c r="L440" i="959"/>
  <c r="N429" i="959"/>
  <c r="B239" i="959"/>
  <c r="B733" i="959"/>
  <c r="B578" i="959"/>
  <c r="B512" i="959"/>
  <c r="B261" i="959"/>
  <c r="B666" i="959"/>
  <c r="B484" i="959"/>
  <c r="B508" i="959"/>
  <c r="B427" i="959"/>
  <c r="B280" i="959"/>
  <c r="B708" i="959"/>
  <c r="B571" i="959"/>
  <c r="B573" i="959"/>
  <c r="B584" i="959"/>
  <c r="B366" i="959"/>
  <c r="B272" i="959"/>
  <c r="B709" i="959"/>
  <c r="B491" i="959"/>
  <c r="B457" i="959"/>
  <c r="B424" i="959"/>
  <c r="B359" i="959"/>
  <c r="B93" i="959"/>
  <c r="B91" i="959"/>
  <c r="B87" i="959"/>
  <c r="B104" i="959"/>
  <c r="B103" i="956"/>
  <c r="B92" i="955"/>
  <c r="B710" i="958"/>
  <c r="B562" i="958"/>
  <c r="B592" i="958"/>
  <c r="N380" i="958"/>
  <c r="L380" i="958"/>
  <c r="N369" i="958"/>
  <c r="B258" i="958"/>
  <c r="B694" i="958"/>
  <c r="B724" i="958"/>
  <c r="B536" i="958"/>
  <c r="B541" i="958"/>
  <c r="L474" i="958"/>
  <c r="B288" i="958"/>
  <c r="B784" i="958"/>
  <c r="B679" i="958"/>
  <c r="B636" i="958"/>
  <c r="B518" i="958"/>
  <c r="B539" i="958"/>
  <c r="N352" i="958"/>
  <c r="L352" i="958"/>
  <c r="B267" i="958"/>
  <c r="B755" i="958"/>
  <c r="B664" i="958"/>
  <c r="B577" i="958"/>
  <c r="B409" i="958"/>
  <c r="B357" i="958"/>
  <c r="B259" i="958"/>
  <c r="B750" i="958"/>
  <c r="B653" i="958"/>
  <c r="B600" i="958"/>
  <c r="B494" i="958"/>
  <c r="B507" i="958"/>
  <c r="B251" i="958"/>
  <c r="B739" i="958"/>
  <c r="B650" i="958"/>
  <c r="B591" i="958"/>
  <c r="B391" i="958"/>
  <c r="B410" i="958"/>
  <c r="B265" i="958"/>
  <c r="B693" i="958"/>
  <c r="B725" i="958"/>
  <c r="B405" i="958"/>
  <c r="B500" i="958"/>
  <c r="L459" i="958"/>
  <c r="B270" i="958"/>
  <c r="B713" i="958"/>
  <c r="B506" i="958"/>
  <c r="B476" i="958"/>
  <c r="B698" i="958"/>
  <c r="N98" i="958"/>
  <c r="AF22" i="958"/>
  <c r="L98" i="958"/>
  <c r="N91" i="958"/>
  <c r="L91" i="958"/>
  <c r="B262" i="958"/>
  <c r="B613" i="958"/>
  <c r="B571" i="958"/>
  <c r="B263" i="958"/>
  <c r="B779" i="958"/>
  <c r="B599" i="958"/>
  <c r="B553" i="958"/>
  <c r="B442" i="958"/>
  <c r="N350" i="958"/>
  <c r="L350" i="958"/>
  <c r="N339" i="958"/>
  <c r="B242" i="958"/>
  <c r="B601" i="958"/>
  <c r="B561" i="958"/>
  <c r="B432" i="958"/>
  <c r="B448" i="958"/>
  <c r="B236" i="958"/>
  <c r="B233" i="958"/>
  <c r="B742" i="958"/>
  <c r="B776" i="958"/>
  <c r="B524" i="958"/>
  <c r="B406" i="958"/>
  <c r="B417" i="958"/>
  <c r="B740" i="958"/>
  <c r="B754" i="958"/>
  <c r="B515" i="958"/>
  <c r="B435" i="958"/>
  <c r="B525" i="958"/>
  <c r="B256" i="958"/>
  <c r="B721" i="958"/>
  <c r="B605" i="958"/>
  <c r="B503" i="958"/>
  <c r="B370" i="958"/>
  <c r="B360" i="958"/>
  <c r="B261" i="958"/>
  <c r="N412" i="958"/>
  <c r="L412" i="958"/>
  <c r="B683" i="958"/>
  <c r="B651" i="958"/>
  <c r="B389" i="958"/>
  <c r="B477" i="958"/>
  <c r="N84" i="958"/>
  <c r="L84" i="958"/>
  <c r="N95" i="958"/>
  <c r="L95" i="958"/>
  <c r="B253" i="958"/>
  <c r="B781" i="958"/>
  <c r="B680" i="958"/>
  <c r="B649" i="958"/>
  <c r="B469" i="958"/>
  <c r="B706" i="958"/>
  <c r="B648" i="958"/>
  <c r="B463" i="958"/>
  <c r="B496" i="958"/>
  <c r="B246" i="958"/>
  <c r="L714" i="958"/>
  <c r="I1319" i="958"/>
  <c r="I1318" i="958"/>
  <c r="B676" i="958"/>
  <c r="B608" i="958"/>
  <c r="B455" i="958"/>
  <c r="B479" i="958"/>
  <c r="B574" i="958"/>
  <c r="B681" i="958"/>
  <c r="B421" i="958"/>
  <c r="B606" i="958"/>
  <c r="B358" i="958"/>
  <c r="L504" i="958"/>
  <c r="L729" i="958"/>
  <c r="B777" i="958"/>
  <c r="B590" i="958"/>
  <c r="B425" i="958"/>
  <c r="B440" i="958"/>
  <c r="B535" i="958"/>
  <c r="B743" i="958"/>
  <c r="B585" i="958"/>
  <c r="B495" i="958"/>
  <c r="B381" i="958"/>
  <c r="B388" i="958"/>
  <c r="B278" i="958"/>
  <c r="B543" i="958"/>
  <c r="B478" i="958"/>
  <c r="B380" i="958"/>
  <c r="B382" i="958"/>
  <c r="B252" i="958"/>
  <c r="L410" i="958"/>
  <c r="N410" i="958"/>
  <c r="N399" i="958"/>
  <c r="B703" i="958"/>
  <c r="B603" i="958"/>
  <c r="B499" i="958"/>
  <c r="B353" i="958"/>
  <c r="N86" i="958"/>
  <c r="L86" i="958"/>
  <c r="N99" i="958"/>
  <c r="L99" i="958"/>
  <c r="B289" i="958"/>
  <c r="B287" i="958"/>
  <c r="L101" i="958"/>
  <c r="B783" i="958"/>
  <c r="B544" i="958"/>
  <c r="B552" i="958"/>
  <c r="B396" i="958"/>
  <c r="B436" i="958"/>
  <c r="B295" i="958"/>
  <c r="B666" i="958"/>
  <c r="B622" i="958"/>
  <c r="B510" i="958"/>
  <c r="B509" i="958"/>
  <c r="B281" i="958"/>
  <c r="B752" i="958"/>
  <c r="B523" i="958"/>
  <c r="B501" i="958"/>
  <c r="B394" i="958"/>
  <c r="B400" i="958"/>
  <c r="B738" i="958"/>
  <c r="B517" i="958"/>
  <c r="B411" i="958"/>
  <c r="B520" i="958"/>
  <c r="N367" i="958"/>
  <c r="L367" i="958"/>
  <c r="B269" i="958"/>
  <c r="B113" i="958"/>
  <c r="B102" i="958"/>
  <c r="B111" i="958"/>
  <c r="B96" i="958"/>
  <c r="B92" i="958"/>
  <c r="B88" i="958"/>
  <c r="B87" i="958"/>
  <c r="B85" i="958"/>
  <c r="B115" i="958"/>
  <c r="B109" i="958"/>
  <c r="B103" i="958"/>
  <c r="B94" i="958"/>
  <c r="C82" i="958"/>
  <c r="N82" i="958"/>
  <c r="B106" i="958"/>
  <c r="B83" i="958"/>
  <c r="B108" i="958"/>
  <c r="B91" i="958"/>
  <c r="B90" i="958"/>
  <c r="B89" i="958"/>
  <c r="B107" i="958"/>
  <c r="B112" i="958"/>
  <c r="B110" i="958"/>
  <c r="B95" i="958"/>
  <c r="B104" i="958"/>
  <c r="B100" i="958"/>
  <c r="B93" i="958"/>
  <c r="B86" i="958"/>
  <c r="N83" i="958"/>
  <c r="B84" i="958"/>
  <c r="L83" i="958"/>
  <c r="B105" i="958"/>
  <c r="B99" i="958"/>
  <c r="B98" i="958"/>
  <c r="B97" i="958"/>
  <c r="AC12" i="958"/>
  <c r="B746" i="958"/>
  <c r="B402" i="958"/>
  <c r="B556" i="958"/>
  <c r="B634" i="958"/>
  <c r="B274" i="958"/>
  <c r="B528" i="958"/>
  <c r="B470" i="958"/>
  <c r="B366" i="958"/>
  <c r="B375" i="958"/>
  <c r="N93" i="958"/>
  <c r="L93" i="958"/>
  <c r="L94" i="958"/>
  <c r="N94" i="958"/>
  <c r="B266" i="958"/>
  <c r="B247" i="958"/>
  <c r="B271" i="958"/>
  <c r="B661" i="958"/>
  <c r="B635" i="958"/>
  <c r="B275" i="958"/>
  <c r="B735" i="958"/>
  <c r="B620" i="958"/>
  <c r="B449" i="958"/>
  <c r="B631" i="958"/>
  <c r="L624" i="958"/>
  <c r="B280" i="958"/>
  <c r="B244" i="958"/>
  <c r="B748" i="958"/>
  <c r="B778" i="958"/>
  <c r="B542" i="958"/>
  <c r="B419" i="958"/>
  <c r="B428" i="958"/>
  <c r="B272" i="958"/>
  <c r="B243" i="958"/>
  <c r="B716" i="958"/>
  <c r="B569" i="958"/>
  <c r="B418" i="958"/>
  <c r="B589" i="958"/>
  <c r="B264" i="958"/>
  <c r="B695" i="958"/>
  <c r="B707" i="958"/>
  <c r="B508" i="958"/>
  <c r="B397" i="958"/>
  <c r="N365" i="958"/>
  <c r="L365" i="958"/>
  <c r="N354" i="958"/>
  <c r="B260" i="958"/>
  <c r="B736" i="958"/>
  <c r="B637" i="958"/>
  <c r="B583" i="958"/>
  <c r="B484" i="958"/>
  <c r="B472" i="958"/>
  <c r="L744" i="958"/>
  <c r="B723" i="958"/>
  <c r="B782" i="958"/>
  <c r="B540" i="958"/>
  <c r="B607" i="958"/>
  <c r="N100" i="958"/>
  <c r="L100" i="958"/>
  <c r="N88" i="958"/>
  <c r="L88" i="958"/>
  <c r="B241" i="958"/>
  <c r="L502" i="958"/>
  <c r="N502" i="958"/>
  <c r="B254" i="958"/>
  <c r="B678" i="958"/>
  <c r="B250" i="958"/>
  <c r="B757" i="958"/>
  <c r="B733" i="958"/>
  <c r="B450" i="958"/>
  <c r="B255" i="958"/>
  <c r="B616" i="958"/>
  <c r="B604" i="958"/>
  <c r="B426" i="958"/>
  <c r="B465" i="958"/>
  <c r="B563" i="958"/>
  <c r="B292" i="958"/>
  <c r="B737" i="958"/>
  <c r="B652" i="958"/>
  <c r="B559" i="958"/>
  <c r="B398" i="958"/>
  <c r="B286" i="958"/>
  <c r="B237" i="958"/>
  <c r="B728" i="958"/>
  <c r="B638" i="958"/>
  <c r="B390" i="958"/>
  <c r="B427" i="958"/>
  <c r="B282" i="958"/>
  <c r="B734" i="958"/>
  <c r="B697" i="958"/>
  <c r="B502" i="958"/>
  <c r="B374" i="958"/>
  <c r="B385" i="958"/>
  <c r="B722" i="958"/>
  <c r="B621" i="958"/>
  <c r="B578" i="958"/>
  <c r="B473" i="958"/>
  <c r="B466" i="958"/>
  <c r="L89" i="958"/>
  <c r="N89" i="958"/>
  <c r="N92" i="958"/>
  <c r="L92" i="958"/>
  <c r="B239" i="958"/>
  <c r="I1032" i="958"/>
  <c r="I912" i="958"/>
  <c r="B424" i="958"/>
  <c r="L500" i="958"/>
  <c r="N500" i="958"/>
  <c r="B245" i="958"/>
  <c r="B665" i="958"/>
  <c r="B593" i="958"/>
  <c r="B560" i="958"/>
  <c r="B618" i="958"/>
  <c r="B588" i="958"/>
  <c r="B447" i="958"/>
  <c r="B487" i="958"/>
  <c r="B291" i="958"/>
  <c r="B768" i="958"/>
  <c r="B529" i="958"/>
  <c r="B514" i="958"/>
  <c r="B395" i="958"/>
  <c r="B404" i="958"/>
  <c r="B285" i="958"/>
  <c r="B248" i="958"/>
  <c r="B235" i="958"/>
  <c r="B584" i="958"/>
  <c r="B555" i="958"/>
  <c r="B412" i="958"/>
  <c r="B443" i="958"/>
  <c r="B277" i="958"/>
  <c r="B567" i="958"/>
  <c r="B537" i="958"/>
  <c r="B573" i="958"/>
  <c r="B238" i="958"/>
  <c r="B718" i="958"/>
  <c r="B576" i="958"/>
  <c r="B727" i="958"/>
  <c r="B433" i="958"/>
  <c r="B497" i="958"/>
  <c r="B257" i="958"/>
  <c r="B720" i="958"/>
  <c r="B691" i="958"/>
  <c r="B486" i="958"/>
  <c r="B582" i="958"/>
  <c r="B361" i="958"/>
  <c r="N85" i="958"/>
  <c r="L85" i="958"/>
  <c r="N90" i="958"/>
  <c r="L90" i="958"/>
  <c r="N96" i="958"/>
  <c r="L96" i="958"/>
  <c r="B249" i="958"/>
  <c r="B273" i="958"/>
  <c r="B709" i="958"/>
  <c r="B682" i="958"/>
  <c r="B481" i="958"/>
  <c r="B570" i="958"/>
  <c r="N382" i="958"/>
  <c r="L382" i="958"/>
  <c r="B283" i="958"/>
  <c r="B511" i="958"/>
  <c r="B451" i="958"/>
  <c r="B667" i="958"/>
  <c r="B290" i="958"/>
  <c r="B493" i="958"/>
  <c r="B441" i="958"/>
  <c r="B619" i="958"/>
  <c r="B364" i="958"/>
  <c r="B355" i="958"/>
  <c r="B284" i="958"/>
  <c r="B719" i="958"/>
  <c r="B614" i="958"/>
  <c r="B434" i="958"/>
  <c r="B623" i="958"/>
  <c r="B351" i="958"/>
  <c r="B276" i="958"/>
  <c r="B758" i="958"/>
  <c r="B415" i="958"/>
  <c r="B597" i="958"/>
  <c r="B350" i="958"/>
  <c r="B268" i="958"/>
  <c r="B749" i="958"/>
  <c r="B403" i="958"/>
  <c r="B492" i="958"/>
  <c r="B485" i="958"/>
  <c r="B731" i="958"/>
  <c r="B512" i="958"/>
  <c r="B480" i="958"/>
  <c r="B367" i="958"/>
  <c r="B387" i="958"/>
  <c r="B293" i="958"/>
  <c r="B712" i="958"/>
  <c r="B568" i="958"/>
  <c r="B612" i="958"/>
  <c r="B430" i="958"/>
  <c r="B491" i="958"/>
  <c r="N97" i="958"/>
  <c r="L97" i="958"/>
  <c r="N87" i="958"/>
  <c r="L87" i="958"/>
  <c r="B279" i="958"/>
  <c r="B97" i="955"/>
  <c r="B84" i="955"/>
  <c r="C82" i="955"/>
  <c r="N82" i="955"/>
  <c r="C82" i="956"/>
  <c r="B108" i="955"/>
  <c r="B91" i="955"/>
  <c r="B94" i="955"/>
  <c r="B99" i="956"/>
  <c r="B100" i="956"/>
  <c r="B86" i="955"/>
  <c r="B95" i="955"/>
  <c r="B103" i="955"/>
  <c r="B102" i="955"/>
  <c r="B104" i="956"/>
  <c r="B100" i="955"/>
  <c r="B99" i="955"/>
  <c r="B85" i="955"/>
  <c r="N82" i="956"/>
  <c r="B97" i="956"/>
  <c r="AC12" i="957"/>
  <c r="B104" i="955"/>
  <c r="B87" i="955"/>
  <c r="B95" i="956"/>
  <c r="B90" i="955"/>
  <c r="B105" i="955"/>
  <c r="B88" i="955"/>
  <c r="B94" i="956"/>
  <c r="B105" i="956"/>
  <c r="B96" i="956"/>
  <c r="B102" i="956"/>
  <c r="B89" i="955"/>
  <c r="B98" i="955"/>
  <c r="B106" i="955"/>
  <c r="B98" i="956"/>
  <c r="B455" i="957"/>
  <c r="B727" i="957"/>
  <c r="B471" i="957"/>
  <c r="B725" i="957"/>
  <c r="B457" i="957"/>
  <c r="B754" i="957"/>
  <c r="B492" i="957"/>
  <c r="B540" i="957"/>
  <c r="B400" i="957"/>
  <c r="B403" i="957"/>
  <c r="N111" i="957"/>
  <c r="L111" i="957"/>
  <c r="N502" i="957"/>
  <c r="L502" i="957"/>
  <c r="B269" i="957"/>
  <c r="B751" i="957"/>
  <c r="B678" i="957"/>
  <c r="B435" i="957"/>
  <c r="B488" i="957"/>
  <c r="N89" i="957"/>
  <c r="L89" i="957"/>
  <c r="N91" i="957"/>
  <c r="L91" i="957"/>
  <c r="N96" i="957"/>
  <c r="L96" i="957"/>
  <c r="B277" i="957"/>
  <c r="B249" i="957"/>
  <c r="B472" i="957"/>
  <c r="B499" i="957"/>
  <c r="B387" i="957"/>
  <c r="B260" i="957"/>
  <c r="B768" i="957"/>
  <c r="B635" i="957"/>
  <c r="B500" i="957"/>
  <c r="B385" i="957"/>
  <c r="B467" i="957"/>
  <c r="N455" i="957"/>
  <c r="L455" i="957"/>
  <c r="N444" i="957"/>
  <c r="B287" i="957"/>
  <c r="B266" i="957"/>
  <c r="B752" i="957"/>
  <c r="B616" i="957"/>
  <c r="B664" i="957"/>
  <c r="B274" i="957"/>
  <c r="B515" i="957"/>
  <c r="B585" i="957"/>
  <c r="B456" i="957"/>
  <c r="B415" i="957"/>
  <c r="B482" i="957"/>
  <c r="B722" i="957"/>
  <c r="B780" i="957"/>
  <c r="B576" i="957"/>
  <c r="B511" i="957"/>
  <c r="B465" i="957"/>
  <c r="B290" i="957"/>
  <c r="B264" i="957"/>
  <c r="B652" i="957"/>
  <c r="B562" i="957"/>
  <c r="B497" i="957"/>
  <c r="B458" i="957"/>
  <c r="B707" i="957"/>
  <c r="B776" i="957"/>
  <c r="B637" i="957"/>
  <c r="B461" i="957"/>
  <c r="N500" i="957"/>
  <c r="L500" i="957"/>
  <c r="B295" i="957"/>
  <c r="B586" i="957"/>
  <c r="B559" i="957"/>
  <c r="B537" i="957"/>
  <c r="B469" i="957"/>
  <c r="N93" i="957"/>
  <c r="L93" i="957"/>
  <c r="N95" i="957"/>
  <c r="L95" i="957"/>
  <c r="B261" i="957"/>
  <c r="B781" i="957"/>
  <c r="B695" i="957"/>
  <c r="B681" i="957"/>
  <c r="B601" i="957"/>
  <c r="B394" i="957"/>
  <c r="B233" i="957"/>
  <c r="B240" i="957"/>
  <c r="B721" i="957"/>
  <c r="B486" i="957"/>
  <c r="B577" i="957"/>
  <c r="B478" i="957"/>
  <c r="B510" i="957"/>
  <c r="B278" i="957"/>
  <c r="B280" i="957"/>
  <c r="B703" i="957"/>
  <c r="B481" i="957"/>
  <c r="B563" i="957"/>
  <c r="B443" i="957"/>
  <c r="B462" i="957"/>
  <c r="N352" i="957"/>
  <c r="L352" i="957"/>
  <c r="B244" i="957"/>
  <c r="B735" i="957"/>
  <c r="B473" i="957"/>
  <c r="B512" i="957"/>
  <c r="L714" i="957"/>
  <c r="B740" i="957"/>
  <c r="B575" i="957"/>
  <c r="B653" i="957"/>
  <c r="B410" i="957"/>
  <c r="B283" i="957"/>
  <c r="B734" i="957"/>
  <c r="B570" i="957"/>
  <c r="B409" i="957"/>
  <c r="B447" i="957"/>
  <c r="B701" i="957"/>
  <c r="B621" i="957"/>
  <c r="B544" i="957"/>
  <c r="B493" i="957"/>
  <c r="B282" i="957"/>
  <c r="B484" i="957"/>
  <c r="B518" i="957"/>
  <c r="B388" i="957"/>
  <c r="B396" i="957"/>
  <c r="N97" i="957"/>
  <c r="L97" i="957"/>
  <c r="N99" i="957"/>
  <c r="L99" i="957"/>
  <c r="B285" i="957"/>
  <c r="B235" i="957"/>
  <c r="B631" i="957"/>
  <c r="B607" i="957"/>
  <c r="B525" i="957"/>
  <c r="B445" i="957"/>
  <c r="B253" i="957"/>
  <c r="B723" i="957"/>
  <c r="B665" i="957"/>
  <c r="B618" i="957"/>
  <c r="I1141" i="957"/>
  <c r="I1154" i="957"/>
  <c r="I1150" i="957"/>
  <c r="I1155" i="957"/>
  <c r="I1149" i="957"/>
  <c r="I1153" i="957"/>
  <c r="I1151" i="957"/>
  <c r="I1152" i="957"/>
  <c r="B234" i="957"/>
  <c r="B705" i="957"/>
  <c r="B663" i="957"/>
  <c r="B615" i="957"/>
  <c r="B485" i="957"/>
  <c r="N350" i="957"/>
  <c r="L350" i="957"/>
  <c r="N339" i="957"/>
  <c r="AJ227" i="957"/>
  <c r="AJ298" i="957" s="1"/>
  <c r="I1158" i="957"/>
  <c r="I1159" i="957"/>
  <c r="I1163" i="957"/>
  <c r="I1157" i="957"/>
  <c r="I1161" i="957"/>
  <c r="I1160" i="957"/>
  <c r="I1156" i="957"/>
  <c r="I1162" i="957"/>
  <c r="B712" i="957"/>
  <c r="B728" i="957"/>
  <c r="B571" i="957"/>
  <c r="B421" i="957"/>
  <c r="B507" i="957"/>
  <c r="B279" i="957"/>
  <c r="B242" i="957"/>
  <c r="B710" i="957"/>
  <c r="B719" i="957"/>
  <c r="B560" i="957"/>
  <c r="B418" i="957"/>
  <c r="N382" i="957"/>
  <c r="L382" i="957"/>
  <c r="B720" i="957"/>
  <c r="B561" i="957"/>
  <c r="B634" i="957"/>
  <c r="B389" i="957"/>
  <c r="B426" i="957"/>
  <c r="N108" i="957"/>
  <c r="L108" i="957"/>
  <c r="B784" i="957"/>
  <c r="B698" i="957"/>
  <c r="B697" i="957"/>
  <c r="B622" i="957"/>
  <c r="N86" i="957"/>
  <c r="L86" i="957"/>
  <c r="L94" i="957"/>
  <c r="N94" i="957"/>
  <c r="B291" i="957"/>
  <c r="B706" i="957"/>
  <c r="B538" i="957"/>
  <c r="B606" i="957"/>
  <c r="B454" i="957"/>
  <c r="B380" i="957"/>
  <c r="L654" i="957"/>
  <c r="B552" i="957"/>
  <c r="B608" i="957"/>
  <c r="B476" i="957"/>
  <c r="B424" i="957"/>
  <c r="N517" i="957"/>
  <c r="L517" i="957"/>
  <c r="B270" i="957"/>
  <c r="B524" i="957"/>
  <c r="B605" i="957"/>
  <c r="B470" i="957"/>
  <c r="B419" i="957"/>
  <c r="B284" i="957"/>
  <c r="B258" i="957"/>
  <c r="B742" i="957"/>
  <c r="B589" i="957"/>
  <c r="B516" i="957"/>
  <c r="B411" i="957"/>
  <c r="B480" i="957"/>
  <c r="B731" i="957"/>
  <c r="B582" i="957"/>
  <c r="B636" i="957"/>
  <c r="B267" i="957"/>
  <c r="B246" i="957"/>
  <c r="B713" i="957"/>
  <c r="B556" i="957"/>
  <c r="B633" i="957"/>
  <c r="B501" i="957"/>
  <c r="N380" i="957"/>
  <c r="L380" i="957"/>
  <c r="N369" i="957"/>
  <c r="B259" i="957"/>
  <c r="B704" i="957"/>
  <c r="B716" i="957"/>
  <c r="B558" i="957"/>
  <c r="B417" i="957"/>
  <c r="B440" i="957"/>
  <c r="N113" i="957"/>
  <c r="L113" i="957"/>
  <c r="B231" i="957"/>
  <c r="B691" i="957"/>
  <c r="B613" i="957"/>
  <c r="B528" i="957"/>
  <c r="B464" i="957"/>
  <c r="L367" i="957"/>
  <c r="N367" i="957"/>
  <c r="N100" i="957"/>
  <c r="L100" i="957"/>
  <c r="N85" i="957"/>
  <c r="L85" i="957"/>
  <c r="L744" i="957"/>
  <c r="B783" i="957"/>
  <c r="B638" i="957"/>
  <c r="B514" i="957"/>
  <c r="B391" i="957"/>
  <c r="N397" i="957"/>
  <c r="L397" i="957"/>
  <c r="B292" i="957"/>
  <c r="B241" i="957"/>
  <c r="B778" i="957"/>
  <c r="B491" i="957"/>
  <c r="B383" i="957"/>
  <c r="B382" i="957"/>
  <c r="L564" i="957"/>
  <c r="L515" i="957"/>
  <c r="N515" i="957"/>
  <c r="AD287" i="957"/>
  <c r="B271" i="957"/>
  <c r="B753" i="957"/>
  <c r="B477" i="957"/>
  <c r="B379" i="957"/>
  <c r="B364" i="957"/>
  <c r="B272" i="957"/>
  <c r="B650" i="957"/>
  <c r="B724" i="957"/>
  <c r="B506" i="957"/>
  <c r="B451" i="957"/>
  <c r="B247" i="957"/>
  <c r="B614" i="957"/>
  <c r="B696" i="957"/>
  <c r="B466" i="957"/>
  <c r="L106" i="957"/>
  <c r="N106" i="957"/>
  <c r="B646" i="957"/>
  <c r="B541" i="957"/>
  <c r="B604" i="957"/>
  <c r="N110" i="957"/>
  <c r="L110" i="957"/>
  <c r="N230" i="957"/>
  <c r="B281" i="957"/>
  <c r="B289" i="957"/>
  <c r="B293" i="957"/>
  <c r="B236" i="957"/>
  <c r="B254" i="957"/>
  <c r="B255" i="957"/>
  <c r="B238" i="957"/>
  <c r="B256" i="957"/>
  <c r="B275" i="957"/>
  <c r="B265" i="957"/>
  <c r="B239" i="957"/>
  <c r="B248" i="957"/>
  <c r="B257" i="957"/>
  <c r="B250" i="957"/>
  <c r="B709" i="957"/>
  <c r="B553" i="957"/>
  <c r="B619" i="957"/>
  <c r="B412" i="957"/>
  <c r="N365" i="957"/>
  <c r="L365" i="957"/>
  <c r="L354" i="957" s="1"/>
  <c r="N354" i="957"/>
  <c r="N90" i="957"/>
  <c r="L90" i="957"/>
  <c r="N87" i="957"/>
  <c r="L87" i="957"/>
  <c r="B746" i="957"/>
  <c r="B509" i="957"/>
  <c r="B584" i="957"/>
  <c r="B487" i="957"/>
  <c r="L395" i="957"/>
  <c r="N395" i="957"/>
  <c r="N384" i="957"/>
  <c r="N427" i="957"/>
  <c r="L427" i="957"/>
  <c r="B288" i="957"/>
  <c r="B750" i="957"/>
  <c r="B679" i="957"/>
  <c r="B623" i="957"/>
  <c r="B597" i="957"/>
  <c r="B367" i="957"/>
  <c r="B245" i="957"/>
  <c r="B739" i="957"/>
  <c r="B676" i="957"/>
  <c r="B600" i="957"/>
  <c r="B578" i="957"/>
  <c r="B262" i="957"/>
  <c r="B599" i="957"/>
  <c r="B648" i="957"/>
  <c r="N412" i="957"/>
  <c r="L412" i="957"/>
  <c r="B666" i="957"/>
  <c r="B590" i="957"/>
  <c r="B555" i="957"/>
  <c r="B651" i="957"/>
  <c r="B588" i="957"/>
  <c r="B434" i="957"/>
  <c r="B286" i="957"/>
  <c r="B758" i="957"/>
  <c r="B694" i="957"/>
  <c r="B449" i="957"/>
  <c r="B494" i="957"/>
  <c r="N112" i="957"/>
  <c r="L112" i="957"/>
  <c r="B251" i="957"/>
  <c r="B661" i="957"/>
  <c r="B682" i="957"/>
  <c r="B536" i="957"/>
  <c r="B397" i="957"/>
  <c r="B428" i="957"/>
  <c r="N98" i="957"/>
  <c r="L98" i="957"/>
  <c r="AF22" i="957"/>
  <c r="N88" i="957"/>
  <c r="L88" i="957"/>
  <c r="B733" i="957"/>
  <c r="B668" i="957"/>
  <c r="B432" i="957"/>
  <c r="B479" i="957"/>
  <c r="L487" i="957"/>
  <c r="N487" i="957"/>
  <c r="N425" i="957"/>
  <c r="L425" i="957"/>
  <c r="L414" i="957" s="1"/>
  <c r="N414" i="957"/>
  <c r="B779" i="957"/>
  <c r="B603" i="957"/>
  <c r="B523" i="957"/>
  <c r="B439" i="957"/>
  <c r="B420" i="957"/>
  <c r="B232" i="957"/>
  <c r="B748" i="957"/>
  <c r="B593" i="957"/>
  <c r="B520" i="957"/>
  <c r="B433" i="957"/>
  <c r="B276" i="957"/>
  <c r="N489" i="957"/>
  <c r="B263" i="957"/>
  <c r="N410" i="957"/>
  <c r="L410" i="957"/>
  <c r="L399" i="957" s="1"/>
  <c r="N399" i="957"/>
  <c r="B503" i="957"/>
  <c r="B554" i="957"/>
  <c r="B442" i="957"/>
  <c r="B508" i="957"/>
  <c r="I1319" i="957"/>
  <c r="I1318" i="957"/>
  <c r="B495" i="957"/>
  <c r="B542" i="957"/>
  <c r="B463" i="957"/>
  <c r="N103" i="957"/>
  <c r="L103" i="957"/>
  <c r="B294" i="957"/>
  <c r="B612" i="957"/>
  <c r="B583" i="957"/>
  <c r="B539" i="957"/>
  <c r="B502" i="957"/>
  <c r="L109" i="957"/>
  <c r="N109" i="957"/>
  <c r="B749" i="957"/>
  <c r="B535" i="957"/>
  <c r="B592" i="957"/>
  <c r="B496" i="957"/>
  <c r="N84" i="957"/>
  <c r="L84" i="957"/>
  <c r="N92" i="957"/>
  <c r="L92" i="957"/>
  <c r="B268" i="957"/>
  <c r="B569" i="957"/>
  <c r="B620" i="957"/>
  <c r="B529" i="957"/>
  <c r="B450" i="957"/>
  <c r="B381" i="957"/>
  <c r="N485" i="957"/>
  <c r="L485" i="957"/>
  <c r="B777" i="957"/>
  <c r="B782" i="957"/>
  <c r="B591" i="957"/>
  <c r="B448" i="957"/>
  <c r="L457" i="957"/>
  <c r="N457" i="957"/>
  <c r="B252" i="957"/>
  <c r="B273" i="957"/>
  <c r="B237" i="957"/>
  <c r="B743" i="957"/>
  <c r="B755" i="957"/>
  <c r="B574" i="957"/>
  <c r="B436" i="957"/>
  <c r="B413" i="957"/>
  <c r="B708" i="957"/>
  <c r="B112" i="955"/>
  <c r="B112" i="956"/>
  <c r="N487" i="956"/>
  <c r="L487" i="956"/>
  <c r="N112" i="956"/>
  <c r="L112" i="956"/>
  <c r="B108" i="956"/>
  <c r="N97" i="956"/>
  <c r="L97" i="956"/>
  <c r="N93" i="956"/>
  <c r="L93" i="956"/>
  <c r="N440" i="956"/>
  <c r="L440" i="956"/>
  <c r="N429" i="956"/>
  <c r="N485" i="956"/>
  <c r="L485" i="956"/>
  <c r="N108" i="956"/>
  <c r="L108" i="956"/>
  <c r="B111" i="956"/>
  <c r="N427" i="956"/>
  <c r="L427" i="956"/>
  <c r="N89" i="956"/>
  <c r="L89" i="956"/>
  <c r="N100" i="956"/>
  <c r="L100" i="956"/>
  <c r="L109" i="956"/>
  <c r="N109" i="956"/>
  <c r="B115" i="956"/>
  <c r="L669" i="956"/>
  <c r="N425" i="956"/>
  <c r="L425" i="956"/>
  <c r="N414" i="956"/>
  <c r="L94" i="956"/>
  <c r="N94" i="956"/>
  <c r="N95" i="956"/>
  <c r="L95" i="956"/>
  <c r="N226" i="956"/>
  <c r="B232" i="956"/>
  <c r="B256" i="956"/>
  <c r="B235" i="956"/>
  <c r="B290" i="956"/>
  <c r="B278" i="956"/>
  <c r="B245" i="956"/>
  <c r="B292" i="956"/>
  <c r="B274" i="956"/>
  <c r="B233" i="956"/>
  <c r="B288" i="956"/>
  <c r="B270" i="956"/>
  <c r="B293" i="956"/>
  <c r="B283" i="956"/>
  <c r="B281" i="956"/>
  <c r="B227" i="956"/>
  <c r="B226" i="956"/>
  <c r="B254" i="956"/>
  <c r="B238" i="956"/>
  <c r="B264" i="956"/>
  <c r="B279" i="956"/>
  <c r="B262" i="956"/>
  <c r="B287" i="956"/>
  <c r="B275" i="956"/>
  <c r="B273" i="956"/>
  <c r="B240" i="956"/>
  <c r="B230" i="956"/>
  <c r="B258" i="956"/>
  <c r="B228" i="956"/>
  <c r="B242" i="956"/>
  <c r="B271" i="956"/>
  <c r="B285" i="956"/>
  <c r="B284" i="956"/>
  <c r="B267" i="956"/>
  <c r="B265" i="956"/>
  <c r="B239" i="956"/>
  <c r="B263" i="956"/>
  <c r="B277" i="956"/>
  <c r="B276" i="956"/>
  <c r="B259" i="956"/>
  <c r="B257" i="956"/>
  <c r="B234" i="956"/>
  <c r="B243" i="956"/>
  <c r="B250" i="956"/>
  <c r="B255" i="956"/>
  <c r="B269" i="956"/>
  <c r="B268" i="956"/>
  <c r="B251" i="956"/>
  <c r="B249" i="956"/>
  <c r="B244" i="956"/>
  <c r="B289" i="956"/>
  <c r="B248" i="956"/>
  <c r="B229" i="956"/>
  <c r="B295" i="956"/>
  <c r="B261" i="956"/>
  <c r="B260" i="956"/>
  <c r="B291" i="956"/>
  <c r="B241" i="956"/>
  <c r="B236" i="956"/>
  <c r="B266" i="956"/>
  <c r="B246" i="956"/>
  <c r="B231" i="956"/>
  <c r="B280" i="956"/>
  <c r="B294" i="956"/>
  <c r="B286" i="956"/>
  <c r="B253" i="956"/>
  <c r="B252" i="956"/>
  <c r="B282" i="956"/>
  <c r="B247" i="956"/>
  <c r="B237" i="956"/>
  <c r="B272" i="956"/>
  <c r="N111" i="956"/>
  <c r="L111" i="956"/>
  <c r="L714" i="956"/>
  <c r="N517" i="956"/>
  <c r="L517" i="956"/>
  <c r="N101" i="956"/>
  <c r="N98" i="956"/>
  <c r="L98" i="956"/>
  <c r="AF22" i="956"/>
  <c r="N85" i="956"/>
  <c r="L85" i="956"/>
  <c r="L654" i="956"/>
  <c r="L744" i="956"/>
  <c r="AC12" i="956"/>
  <c r="N113" i="956"/>
  <c r="L113" i="956"/>
  <c r="L502" i="956"/>
  <c r="N502" i="956"/>
  <c r="B109" i="956"/>
  <c r="B113" i="956"/>
  <c r="L515" i="956"/>
  <c r="N515" i="956"/>
  <c r="N90" i="956"/>
  <c r="L90" i="956"/>
  <c r="N87" i="956"/>
  <c r="L87" i="956"/>
  <c r="N500" i="956"/>
  <c r="L500" i="956"/>
  <c r="AD287" i="956"/>
  <c r="L729" i="956"/>
  <c r="N99" i="956"/>
  <c r="L99" i="956"/>
  <c r="N88" i="956"/>
  <c r="L88" i="956"/>
  <c r="I912" i="956"/>
  <c r="I1032" i="956"/>
  <c r="N352" i="956"/>
  <c r="L352" i="956"/>
  <c r="N412" i="956"/>
  <c r="L412" i="956"/>
  <c r="AJ227" i="956"/>
  <c r="AJ298" i="956" s="1"/>
  <c r="I1160" i="956"/>
  <c r="I1163" i="956"/>
  <c r="I1159" i="956"/>
  <c r="I1158" i="956"/>
  <c r="I1162" i="956"/>
  <c r="I1157" i="956"/>
  <c r="I1161" i="956"/>
  <c r="I1156" i="956"/>
  <c r="N91" i="956"/>
  <c r="L91" i="956"/>
  <c r="N92" i="956"/>
  <c r="L92" i="956"/>
  <c r="N350" i="956"/>
  <c r="L350" i="956"/>
  <c r="B701" i="956"/>
  <c r="B720" i="956"/>
  <c r="B731" i="956"/>
  <c r="B719" i="956"/>
  <c r="B605" i="956"/>
  <c r="B542" i="956"/>
  <c r="B737" i="956"/>
  <c r="B678" i="956"/>
  <c r="B607" i="956"/>
  <c r="B538" i="956"/>
  <c r="B612" i="956"/>
  <c r="B569" i="956"/>
  <c r="B462" i="956"/>
  <c r="B585" i="956"/>
  <c r="B451" i="956"/>
  <c r="B723" i="956"/>
  <c r="B599" i="956"/>
  <c r="B695" i="956"/>
  <c r="B622" i="956"/>
  <c r="B516" i="956"/>
  <c r="B588" i="956"/>
  <c r="B472" i="956"/>
  <c r="B502" i="956"/>
  <c r="B427" i="956"/>
  <c r="B582" i="956"/>
  <c r="B586" i="956"/>
  <c r="B412" i="956"/>
  <c r="B494" i="956"/>
  <c r="B487" i="956"/>
  <c r="B529" i="956"/>
  <c r="B375" i="956"/>
  <c r="B433" i="956"/>
  <c r="B528" i="956"/>
  <c r="B517" i="956"/>
  <c r="B387" i="956"/>
  <c r="B366" i="956"/>
  <c r="B388" i="956"/>
  <c r="B413" i="956"/>
  <c r="B784" i="956"/>
  <c r="B691" i="956"/>
  <c r="B709" i="956"/>
  <c r="B713" i="956"/>
  <c r="B703" i="956"/>
  <c r="B600" i="956"/>
  <c r="B536" i="956"/>
  <c r="B777" i="956"/>
  <c r="B665" i="956"/>
  <c r="B603" i="956"/>
  <c r="B525" i="956"/>
  <c r="B755" i="956"/>
  <c r="B567" i="956"/>
  <c r="B454" i="956"/>
  <c r="B540" i="956"/>
  <c r="B441" i="956"/>
  <c r="B712" i="956"/>
  <c r="B597" i="956"/>
  <c r="B636" i="956"/>
  <c r="B608" i="956"/>
  <c r="B716" i="956"/>
  <c r="B574" i="956"/>
  <c r="B467" i="956"/>
  <c r="B500" i="956"/>
  <c r="B389" i="956"/>
  <c r="B497" i="956"/>
  <c r="B535" i="956"/>
  <c r="B406" i="956"/>
  <c r="B477" i="956"/>
  <c r="B424" i="956"/>
  <c r="B455" i="956"/>
  <c r="B372" i="956"/>
  <c r="B430" i="956"/>
  <c r="B480" i="956"/>
  <c r="B436" i="956"/>
  <c r="B360" i="956"/>
  <c r="B383" i="956"/>
  <c r="B781" i="956"/>
  <c r="B631" i="956"/>
  <c r="B706" i="956"/>
  <c r="B757" i="956"/>
  <c r="B681" i="956"/>
  <c r="B591" i="956"/>
  <c r="B518" i="956"/>
  <c r="B753" i="956"/>
  <c r="B663" i="956"/>
  <c r="B593" i="956"/>
  <c r="B733" i="956"/>
  <c r="B724" i="956"/>
  <c r="B562" i="956"/>
  <c r="B448" i="956"/>
  <c r="B515" i="956"/>
  <c r="B421" i="956"/>
  <c r="B693" i="956"/>
  <c r="B592" i="956"/>
  <c r="B615" i="956"/>
  <c r="B590" i="956"/>
  <c r="B696" i="956"/>
  <c r="B537" i="956"/>
  <c r="B461" i="956"/>
  <c r="B488" i="956"/>
  <c r="B376" i="956"/>
  <c r="B466" i="956"/>
  <c r="B523" i="956"/>
  <c r="B391" i="956"/>
  <c r="B463" i="956"/>
  <c r="B370" i="956"/>
  <c r="B442" i="956"/>
  <c r="B368" i="956"/>
  <c r="B426" i="956"/>
  <c r="B476" i="956"/>
  <c r="B395" i="956"/>
  <c r="B357" i="956"/>
  <c r="B353" i="956"/>
  <c r="B750" i="956"/>
  <c r="B779" i="956"/>
  <c r="B676" i="956"/>
  <c r="B782" i="956"/>
  <c r="B667" i="956"/>
  <c r="B583" i="956"/>
  <c r="B510" i="956"/>
  <c r="B743" i="956"/>
  <c r="B653" i="956"/>
  <c r="B589" i="956"/>
  <c r="B680" i="956"/>
  <c r="B721" i="956"/>
  <c r="B544" i="956"/>
  <c r="B434" i="956"/>
  <c r="B501" i="956"/>
  <c r="B415" i="956"/>
  <c r="B679" i="956"/>
  <c r="B578" i="956"/>
  <c r="B707" i="956"/>
  <c r="B576" i="956"/>
  <c r="B694" i="956"/>
  <c r="B512" i="956"/>
  <c r="B554" i="956"/>
  <c r="B486" i="956"/>
  <c r="B359" i="956"/>
  <c r="B445" i="956"/>
  <c r="B514" i="956"/>
  <c r="B374" i="956"/>
  <c r="B457" i="956"/>
  <c r="B425" i="956"/>
  <c r="B364" i="956"/>
  <c r="B758" i="956"/>
  <c r="B418" i="956"/>
  <c r="B379" i="956"/>
  <c r="B381" i="956"/>
  <c r="N339" i="956"/>
  <c r="B739" i="956"/>
  <c r="B748" i="956"/>
  <c r="B783" i="956"/>
  <c r="B780" i="956"/>
  <c r="B664" i="956"/>
  <c r="B577" i="956"/>
  <c r="B749" i="956"/>
  <c r="B727" i="956"/>
  <c r="B650" i="956"/>
  <c r="B575" i="956"/>
  <c r="B651" i="956"/>
  <c r="B718" i="956"/>
  <c r="B493" i="956"/>
  <c r="B420" i="956"/>
  <c r="B496" i="956"/>
  <c r="B403" i="956"/>
  <c r="B668" i="956"/>
  <c r="B560" i="956"/>
  <c r="B698" i="956"/>
  <c r="B568" i="956"/>
  <c r="B623" i="956"/>
  <c r="B503" i="956"/>
  <c r="B524" i="956"/>
  <c r="B471" i="956"/>
  <c r="B443" i="956"/>
  <c r="B481" i="956"/>
  <c r="B355" i="956"/>
  <c r="B447" i="956"/>
  <c r="B417" i="956"/>
  <c r="B358" i="956"/>
  <c r="B555" i="956"/>
  <c r="B385" i="956"/>
  <c r="B365" i="956"/>
  <c r="B432" i="956"/>
  <c r="B367" i="956"/>
  <c r="B552" i="956"/>
  <c r="B736" i="956"/>
  <c r="B742" i="956"/>
  <c r="B768" i="956"/>
  <c r="B778" i="956"/>
  <c r="B649" i="956"/>
  <c r="B573" i="956"/>
  <c r="B746" i="956"/>
  <c r="B704" i="956"/>
  <c r="B648" i="956"/>
  <c r="B570" i="956"/>
  <c r="B646" i="956"/>
  <c r="B618" i="956"/>
  <c r="B485" i="956"/>
  <c r="B710" i="956"/>
  <c r="B478" i="956"/>
  <c r="B402" i="956"/>
  <c r="B652" i="956"/>
  <c r="B511" i="956"/>
  <c r="B666" i="956"/>
  <c r="B558" i="956"/>
  <c r="B620" i="956"/>
  <c r="B495" i="956"/>
  <c r="B520" i="956"/>
  <c r="B469" i="956"/>
  <c r="B428" i="956"/>
  <c r="B479" i="956"/>
  <c r="B508" i="956"/>
  <c r="B409" i="956"/>
  <c r="B350" i="956"/>
  <c r="B491" i="956"/>
  <c r="B361" i="956"/>
  <c r="B352" i="956"/>
  <c r="B400" i="956"/>
  <c r="B351" i="956"/>
  <c r="B482" i="956"/>
  <c r="B419" i="956"/>
  <c r="B722" i="956"/>
  <c r="B740" i="956"/>
  <c r="B752" i="956"/>
  <c r="B776" i="956"/>
  <c r="B633" i="956"/>
  <c r="B563" i="956"/>
  <c r="B735" i="956"/>
  <c r="B697" i="956"/>
  <c r="B637" i="956"/>
  <c r="B561" i="956"/>
  <c r="B616" i="956"/>
  <c r="B604" i="956"/>
  <c r="B473" i="956"/>
  <c r="B635" i="956"/>
  <c r="B470" i="956"/>
  <c r="B398" i="956"/>
  <c r="B638" i="956"/>
  <c r="B728" i="956"/>
  <c r="B661" i="956"/>
  <c r="B543" i="956"/>
  <c r="B606" i="956"/>
  <c r="B492" i="956"/>
  <c r="B509" i="956"/>
  <c r="B464" i="956"/>
  <c r="B411" i="956"/>
  <c r="B449" i="956"/>
  <c r="B506" i="956"/>
  <c r="B584" i="956"/>
  <c r="B404" i="956"/>
  <c r="B440" i="956"/>
  <c r="B410" i="956"/>
  <c r="B380" i="956"/>
  <c r="B405" i="956"/>
  <c r="B725" i="956"/>
  <c r="B708" i="956"/>
  <c r="B734" i="956"/>
  <c r="B738" i="956"/>
  <c r="B754" i="956"/>
  <c r="B619" i="956"/>
  <c r="B559" i="956"/>
  <c r="B751" i="956"/>
  <c r="B683" i="956"/>
  <c r="B613" i="956"/>
  <c r="B553" i="956"/>
  <c r="B614" i="956"/>
  <c r="B571" i="956"/>
  <c r="B465" i="956"/>
  <c r="B621" i="956"/>
  <c r="B458" i="956"/>
  <c r="B397" i="956"/>
  <c r="B601" i="956"/>
  <c r="B705" i="956"/>
  <c r="B634" i="956"/>
  <c r="B541" i="956"/>
  <c r="B598" i="956"/>
  <c r="B484" i="956"/>
  <c r="B507" i="956"/>
  <c r="B456" i="956"/>
  <c r="B682" i="956"/>
  <c r="B390" i="956"/>
  <c r="B439" i="956"/>
  <c r="B556" i="956"/>
  <c r="B499" i="956"/>
  <c r="B539" i="956"/>
  <c r="B382" i="956"/>
  <c r="B435" i="956"/>
  <c r="B396" i="956"/>
  <c r="B373" i="956"/>
  <c r="B394" i="956"/>
  <c r="B450" i="956"/>
  <c r="N410" i="956"/>
  <c r="L410" i="956"/>
  <c r="N399" i="956"/>
  <c r="N110" i="956"/>
  <c r="L110" i="956"/>
  <c r="B110" i="956"/>
  <c r="N474" i="956"/>
  <c r="I1319" i="956"/>
  <c r="I1318" i="956"/>
  <c r="N84" i="956"/>
  <c r="L84" i="956"/>
  <c r="N86" i="956"/>
  <c r="L86" i="956"/>
  <c r="L96" i="956"/>
  <c r="N96" i="956"/>
  <c r="L442" i="956"/>
  <c r="N442" i="956"/>
  <c r="B111" i="955"/>
  <c r="B110" i="955"/>
  <c r="B109" i="955"/>
  <c r="B100" i="954"/>
  <c r="L669" i="955"/>
  <c r="N101" i="955"/>
  <c r="L442" i="955"/>
  <c r="N442" i="955"/>
  <c r="N455" i="955"/>
  <c r="L455" i="955"/>
  <c r="N444" i="955"/>
  <c r="N337" i="955"/>
  <c r="L337" i="955"/>
  <c r="L654" i="955"/>
  <c r="B115" i="955"/>
  <c r="N103" i="955"/>
  <c r="L103" i="955"/>
  <c r="N84" i="955"/>
  <c r="L84" i="955"/>
  <c r="N92" i="955"/>
  <c r="L92" i="955"/>
  <c r="N440" i="955"/>
  <c r="L440" i="955"/>
  <c r="N429" i="955"/>
  <c r="N335" i="955"/>
  <c r="L335" i="955"/>
  <c r="N324" i="955"/>
  <c r="N397" i="955"/>
  <c r="L397" i="955"/>
  <c r="AJ227" i="955"/>
  <c r="AJ298" i="955" s="1"/>
  <c r="I1159" i="955"/>
  <c r="I1162" i="955"/>
  <c r="I1158" i="955"/>
  <c r="I1163" i="955"/>
  <c r="I1157" i="955"/>
  <c r="I1161" i="955"/>
  <c r="I1156" i="955"/>
  <c r="I1160" i="955"/>
  <c r="L472" i="955"/>
  <c r="N472" i="955"/>
  <c r="N89" i="955"/>
  <c r="L89" i="955"/>
  <c r="N91" i="955"/>
  <c r="L91" i="955"/>
  <c r="N96" i="955"/>
  <c r="L96" i="955"/>
  <c r="N487" i="955"/>
  <c r="L487" i="955"/>
  <c r="L714" i="955"/>
  <c r="L395" i="955"/>
  <c r="N395" i="955"/>
  <c r="N384" i="955"/>
  <c r="N427" i="955"/>
  <c r="L427" i="955"/>
  <c r="B113" i="955"/>
  <c r="N470" i="955"/>
  <c r="L470" i="955"/>
  <c r="N93" i="955"/>
  <c r="L93" i="955"/>
  <c r="N95" i="955"/>
  <c r="L95" i="955"/>
  <c r="L502" i="955"/>
  <c r="N502" i="955"/>
  <c r="L485" i="955"/>
  <c r="L474" i="955" s="1"/>
  <c r="N485" i="955"/>
  <c r="N382" i="955"/>
  <c r="L382" i="955"/>
  <c r="L425" i="955"/>
  <c r="N425" i="955"/>
  <c r="N414" i="955"/>
  <c r="N517" i="955"/>
  <c r="L517" i="955"/>
  <c r="N113" i="955"/>
  <c r="L113" i="955"/>
  <c r="N322" i="955"/>
  <c r="L322" i="955"/>
  <c r="N97" i="955"/>
  <c r="L97" i="955"/>
  <c r="N99" i="955"/>
  <c r="L99" i="955"/>
  <c r="N500" i="955"/>
  <c r="L500" i="955"/>
  <c r="N367" i="955"/>
  <c r="L367" i="955"/>
  <c r="L380" i="955"/>
  <c r="N380" i="955"/>
  <c r="N369" i="955"/>
  <c r="AC12" i="955"/>
  <c r="I1153" i="955"/>
  <c r="I1152" i="955"/>
  <c r="I1151" i="955"/>
  <c r="I1155" i="955"/>
  <c r="I1141" i="955"/>
  <c r="I1154" i="955"/>
  <c r="I1150" i="955"/>
  <c r="I1149" i="955"/>
  <c r="L515" i="955"/>
  <c r="N515" i="955"/>
  <c r="N110" i="955"/>
  <c r="L110" i="955"/>
  <c r="N320" i="955"/>
  <c r="L320" i="955"/>
  <c r="B784" i="955"/>
  <c r="B731" i="955"/>
  <c r="B703" i="955"/>
  <c r="B599" i="955"/>
  <c r="B708" i="955"/>
  <c r="B736" i="955"/>
  <c r="B621" i="955"/>
  <c r="B709" i="955"/>
  <c r="B622" i="955"/>
  <c r="B679" i="955"/>
  <c r="B754" i="955"/>
  <c r="B707" i="955"/>
  <c r="B584" i="955"/>
  <c r="B473" i="955"/>
  <c r="B742" i="955"/>
  <c r="B623" i="955"/>
  <c r="B561" i="955"/>
  <c r="B590" i="955"/>
  <c r="B508" i="955"/>
  <c r="B426" i="955"/>
  <c r="B367" i="955"/>
  <c r="B592" i="955"/>
  <c r="B469" i="955"/>
  <c r="B387" i="955"/>
  <c r="B436" i="955"/>
  <c r="B325" i="955"/>
  <c r="B470" i="955"/>
  <c r="B370" i="955"/>
  <c r="B372" i="955"/>
  <c r="B574" i="955"/>
  <c r="B421" i="955"/>
  <c r="B440" i="955"/>
  <c r="B608" i="955"/>
  <c r="B478" i="955"/>
  <c r="B343" i="955"/>
  <c r="B411" i="955"/>
  <c r="B606" i="955"/>
  <c r="B432" i="955"/>
  <c r="N309" i="955"/>
  <c r="B781" i="955"/>
  <c r="B713" i="955"/>
  <c r="B698" i="955"/>
  <c r="B582" i="955"/>
  <c r="B681" i="955"/>
  <c r="B721" i="955"/>
  <c r="B597" i="955"/>
  <c r="B682" i="955"/>
  <c r="B612" i="955"/>
  <c r="B668" i="955"/>
  <c r="B740" i="955"/>
  <c r="B701" i="955"/>
  <c r="B567" i="955"/>
  <c r="B465" i="955"/>
  <c r="B735" i="955"/>
  <c r="B613" i="955"/>
  <c r="B553" i="955"/>
  <c r="B667" i="955"/>
  <c r="B506" i="955"/>
  <c r="B425" i="955"/>
  <c r="B360" i="955"/>
  <c r="B568" i="955"/>
  <c r="B463" i="955"/>
  <c r="B383" i="955"/>
  <c r="B413" i="955"/>
  <c r="B598" i="955"/>
  <c r="B461" i="955"/>
  <c r="B359" i="955"/>
  <c r="B368" i="955"/>
  <c r="B559" i="955"/>
  <c r="B418" i="955"/>
  <c r="B588" i="955"/>
  <c r="B435" i="955"/>
  <c r="B600" i="955"/>
  <c r="B471" i="955"/>
  <c r="B335" i="955"/>
  <c r="B406" i="955"/>
  <c r="B562" i="955"/>
  <c r="B412" i="955"/>
  <c r="B750" i="955"/>
  <c r="B646" i="955"/>
  <c r="B676" i="955"/>
  <c r="B556" i="955"/>
  <c r="B663" i="955"/>
  <c r="B706" i="955"/>
  <c r="B571" i="955"/>
  <c r="B739" i="955"/>
  <c r="B586" i="955"/>
  <c r="B650" i="955"/>
  <c r="B737" i="955"/>
  <c r="B697" i="955"/>
  <c r="B543" i="955"/>
  <c r="B462" i="955"/>
  <c r="B716" i="955"/>
  <c r="B607" i="955"/>
  <c r="B538" i="955"/>
  <c r="B591" i="955"/>
  <c r="B497" i="955"/>
  <c r="B424" i="955"/>
  <c r="B357" i="955"/>
  <c r="B518" i="955"/>
  <c r="B447" i="955"/>
  <c r="B379" i="955"/>
  <c r="B404" i="955"/>
  <c r="B578" i="955"/>
  <c r="B455" i="955"/>
  <c r="B355" i="955"/>
  <c r="B618" i="955"/>
  <c r="B365" i="955"/>
  <c r="B503" i="955"/>
  <c r="B351" i="955"/>
  <c r="B555" i="955"/>
  <c r="B415" i="955"/>
  <c r="B583" i="955"/>
  <c r="B451" i="955"/>
  <c r="B321" i="955"/>
  <c r="B402" i="955"/>
  <c r="B507" i="955"/>
  <c r="B403" i="955"/>
  <c r="B777" i="955"/>
  <c r="B751" i="955"/>
  <c r="B666" i="955"/>
  <c r="B541" i="955"/>
  <c r="B638" i="955"/>
  <c r="B695" i="955"/>
  <c r="B554" i="955"/>
  <c r="B724" i="955"/>
  <c r="B569" i="955"/>
  <c r="B636" i="955"/>
  <c r="B727" i="955"/>
  <c r="B683" i="955"/>
  <c r="B528" i="955"/>
  <c r="B454" i="955"/>
  <c r="B705" i="955"/>
  <c r="B603" i="955"/>
  <c r="B525" i="955"/>
  <c r="B544" i="955"/>
  <c r="B482" i="955"/>
  <c r="B409" i="955"/>
  <c r="B353" i="955"/>
  <c r="B514" i="955"/>
  <c r="B443" i="955"/>
  <c r="B373" i="955"/>
  <c r="B397" i="955"/>
  <c r="B563" i="955"/>
  <c r="B450" i="955"/>
  <c r="B350" i="955"/>
  <c r="B499" i="955"/>
  <c r="B340" i="955"/>
  <c r="B487" i="955"/>
  <c r="B342" i="955"/>
  <c r="B524" i="955"/>
  <c r="B410" i="955"/>
  <c r="B577" i="955"/>
  <c r="B428" i="955"/>
  <c r="B635" i="955"/>
  <c r="B390" i="955"/>
  <c r="B502" i="955"/>
  <c r="B346" i="955"/>
  <c r="B783" i="955"/>
  <c r="B746" i="955"/>
  <c r="B661" i="955"/>
  <c r="B535" i="955"/>
  <c r="B779" i="955"/>
  <c r="B691" i="955"/>
  <c r="B539" i="955"/>
  <c r="B704" i="955"/>
  <c r="B552" i="955"/>
  <c r="B633" i="955"/>
  <c r="B725" i="955"/>
  <c r="B665" i="955"/>
  <c r="B516" i="955"/>
  <c r="B448" i="955"/>
  <c r="B694" i="955"/>
  <c r="B593" i="955"/>
  <c r="B501" i="955"/>
  <c r="B523" i="955"/>
  <c r="B477" i="955"/>
  <c r="B396" i="955"/>
  <c r="B349" i="955"/>
  <c r="B494" i="955"/>
  <c r="B419" i="955"/>
  <c r="B542" i="955"/>
  <c r="B391" i="955"/>
  <c r="B560" i="955"/>
  <c r="B445" i="955"/>
  <c r="B337" i="955"/>
  <c r="B492" i="955"/>
  <c r="B467" i="955"/>
  <c r="B338" i="955"/>
  <c r="B520" i="955"/>
  <c r="B380" i="955"/>
  <c r="B573" i="955"/>
  <c r="B389" i="955"/>
  <c r="B616" i="955"/>
  <c r="B385" i="955"/>
  <c r="B500" i="955"/>
  <c r="B336" i="955"/>
  <c r="B768" i="955"/>
  <c r="B733" i="955"/>
  <c r="B651" i="955"/>
  <c r="B509" i="955"/>
  <c r="B755" i="955"/>
  <c r="B678" i="955"/>
  <c r="B757" i="955"/>
  <c r="B696" i="955"/>
  <c r="B782" i="955"/>
  <c r="B780" i="955"/>
  <c r="B720" i="955"/>
  <c r="B619" i="955"/>
  <c r="B511" i="955"/>
  <c r="B434" i="955"/>
  <c r="B680" i="955"/>
  <c r="B589" i="955"/>
  <c r="B496" i="955"/>
  <c r="B517" i="955"/>
  <c r="B464" i="955"/>
  <c r="B395" i="955"/>
  <c r="B664" i="955"/>
  <c r="B488" i="955"/>
  <c r="B405" i="955"/>
  <c r="B540" i="955"/>
  <c r="B364" i="955"/>
  <c r="B537" i="955"/>
  <c r="B430" i="955"/>
  <c r="B330" i="955"/>
  <c r="B417" i="955"/>
  <c r="B442" i="955"/>
  <c r="B334" i="955"/>
  <c r="B458" i="955"/>
  <c r="B345" i="955"/>
  <c r="B558" i="955"/>
  <c r="B375" i="955"/>
  <c r="B529" i="955"/>
  <c r="B352" i="955"/>
  <c r="B495" i="955"/>
  <c r="B322" i="955"/>
  <c r="B752" i="955"/>
  <c r="B728" i="955"/>
  <c r="B634" i="955"/>
  <c r="B753" i="955"/>
  <c r="B748" i="955"/>
  <c r="B652" i="955"/>
  <c r="B734" i="955"/>
  <c r="B693" i="955"/>
  <c r="B776" i="955"/>
  <c r="B778" i="955"/>
  <c r="B712" i="955"/>
  <c r="B615" i="955"/>
  <c r="B493" i="955"/>
  <c r="B420" i="955"/>
  <c r="B648" i="955"/>
  <c r="B575" i="955"/>
  <c r="B614" i="955"/>
  <c r="B515" i="955"/>
  <c r="B457" i="955"/>
  <c r="B394" i="955"/>
  <c r="B585" i="955"/>
  <c r="B481" i="955"/>
  <c r="B400" i="955"/>
  <c r="B486" i="955"/>
  <c r="B361" i="955"/>
  <c r="B512" i="955"/>
  <c r="B376" i="955"/>
  <c r="B327" i="955"/>
  <c r="B398" i="955"/>
  <c r="B605" i="955"/>
  <c r="B433" i="955"/>
  <c r="B328" i="955"/>
  <c r="B456" i="955"/>
  <c r="B331" i="955"/>
  <c r="B536" i="955"/>
  <c r="B366" i="955"/>
  <c r="B476" i="955"/>
  <c r="B329" i="955"/>
  <c r="B491" i="955"/>
  <c r="B738" i="955"/>
  <c r="B718" i="955"/>
  <c r="B620" i="955"/>
  <c r="B723" i="955"/>
  <c r="B743" i="955"/>
  <c r="B649" i="955"/>
  <c r="B719" i="955"/>
  <c r="B653" i="955"/>
  <c r="B722" i="955"/>
  <c r="B758" i="955"/>
  <c r="B710" i="955"/>
  <c r="B601" i="955"/>
  <c r="B485" i="955"/>
  <c r="B749" i="955"/>
  <c r="B637" i="955"/>
  <c r="B570" i="955"/>
  <c r="B604" i="955"/>
  <c r="B510" i="955"/>
  <c r="B439" i="955"/>
  <c r="B381" i="955"/>
  <c r="B631" i="955"/>
  <c r="B472" i="955"/>
  <c r="B388" i="955"/>
  <c r="B484" i="955"/>
  <c r="B344" i="955"/>
  <c r="B479" i="955"/>
  <c r="B374" i="955"/>
  <c r="B323" i="955"/>
  <c r="B382" i="955"/>
  <c r="B576" i="955"/>
  <c r="B427" i="955"/>
  <c r="B320" i="955"/>
  <c r="B449" i="955"/>
  <c r="B480" i="955"/>
  <c r="B358" i="955"/>
  <c r="B466" i="955"/>
  <c r="B441" i="955"/>
  <c r="I1319" i="955"/>
  <c r="I1318" i="955"/>
  <c r="N86" i="955"/>
  <c r="L86" i="955"/>
  <c r="L94" i="955"/>
  <c r="N94" i="955"/>
  <c r="L365" i="955"/>
  <c r="N365" i="955"/>
  <c r="N354" i="955"/>
  <c r="N352" i="955"/>
  <c r="L352" i="955"/>
  <c r="N412" i="955"/>
  <c r="L412" i="955"/>
  <c r="N227" i="955"/>
  <c r="B228" i="955"/>
  <c r="B294" i="955"/>
  <c r="B236" i="955"/>
  <c r="B254" i="955"/>
  <c r="B255" i="955"/>
  <c r="B264" i="955"/>
  <c r="B281" i="955"/>
  <c r="B251" i="955"/>
  <c r="B276" i="955"/>
  <c r="B231" i="955"/>
  <c r="B288" i="955"/>
  <c r="B246" i="955"/>
  <c r="B247" i="955"/>
  <c r="B256" i="955"/>
  <c r="B268" i="955"/>
  <c r="B229" i="955"/>
  <c r="B230" i="955"/>
  <c r="B293" i="955"/>
  <c r="B238" i="955"/>
  <c r="B283" i="955"/>
  <c r="B239" i="955"/>
  <c r="B248" i="955"/>
  <c r="B282" i="955"/>
  <c r="B273" i="955"/>
  <c r="B260" i="955"/>
  <c r="B277" i="955"/>
  <c r="B274" i="955"/>
  <c r="B232" i="955"/>
  <c r="B227" i="955"/>
  <c r="B265" i="955"/>
  <c r="B284" i="955"/>
  <c r="B252" i="955"/>
  <c r="B269" i="955"/>
  <c r="B240" i="955"/>
  <c r="B290" i="955"/>
  <c r="B243" i="955"/>
  <c r="B257" i="955"/>
  <c r="B285" i="955"/>
  <c r="B261" i="955"/>
  <c r="B242" i="955"/>
  <c r="B278" i="955"/>
  <c r="B279" i="955"/>
  <c r="B249" i="955"/>
  <c r="B266" i="955"/>
  <c r="B275" i="955"/>
  <c r="B244" i="955"/>
  <c r="B253" i="955"/>
  <c r="B237" i="955"/>
  <c r="B295" i="955"/>
  <c r="B234" i="955"/>
  <c r="B270" i="955"/>
  <c r="B287" i="955"/>
  <c r="B271" i="955"/>
  <c r="B280" i="955"/>
  <c r="B289" i="955"/>
  <c r="B258" i="955"/>
  <c r="B286" i="955"/>
  <c r="B267" i="955"/>
  <c r="B233" i="955"/>
  <c r="B245" i="955"/>
  <c r="B235" i="955"/>
  <c r="B292" i="955"/>
  <c r="B262" i="955"/>
  <c r="B263" i="955"/>
  <c r="B272" i="955"/>
  <c r="B241" i="955"/>
  <c r="B250" i="955"/>
  <c r="B291" i="955"/>
  <c r="B259" i="955"/>
  <c r="N112" i="955"/>
  <c r="L112" i="955"/>
  <c r="N100" i="955"/>
  <c r="L100" i="955"/>
  <c r="N85" i="955"/>
  <c r="L85" i="955"/>
  <c r="N459" i="955"/>
  <c r="N350" i="955"/>
  <c r="L350" i="955"/>
  <c r="N339" i="955"/>
  <c r="N410" i="955"/>
  <c r="L410" i="955"/>
  <c r="N399" i="955"/>
  <c r="L109" i="955"/>
  <c r="N109" i="955"/>
  <c r="N90" i="955"/>
  <c r="L90" i="955"/>
  <c r="N87" i="955"/>
  <c r="L87" i="955"/>
  <c r="L729" i="955"/>
  <c r="L744" i="955"/>
  <c r="L457" i="955"/>
  <c r="N457" i="955"/>
  <c r="N111" i="955"/>
  <c r="L111" i="955"/>
  <c r="N98" i="955"/>
  <c r="L98" i="955"/>
  <c r="AF22" i="955"/>
  <c r="N88" i="955"/>
  <c r="L88" i="955"/>
  <c r="L699" i="955"/>
  <c r="B98" i="954"/>
  <c r="B99" i="954"/>
  <c r="B95" i="954"/>
  <c r="B87" i="954"/>
  <c r="L99" i="954"/>
  <c r="N99" i="954"/>
  <c r="L97" i="954"/>
  <c r="N97" i="954"/>
  <c r="I1319" i="954"/>
  <c r="I1318" i="954"/>
  <c r="N109" i="954"/>
  <c r="L109" i="954"/>
  <c r="B103" i="954"/>
  <c r="B102" i="954"/>
  <c r="B107" i="954"/>
  <c r="B105" i="954"/>
  <c r="N85" i="954"/>
  <c r="L85" i="954"/>
  <c r="L100" i="954"/>
  <c r="N100" i="954"/>
  <c r="B231" i="954"/>
  <c r="N226" i="954"/>
  <c r="B272" i="954"/>
  <c r="B237" i="954"/>
  <c r="B229" i="954"/>
  <c r="B288" i="954"/>
  <c r="B284" i="954"/>
  <c r="B255" i="954"/>
  <c r="B240" i="954"/>
  <c r="B258" i="954"/>
  <c r="B228" i="954"/>
  <c r="B265" i="954"/>
  <c r="B251" i="954"/>
  <c r="B232" i="954"/>
  <c r="B280" i="954"/>
  <c r="B295" i="954"/>
  <c r="B276" i="954"/>
  <c r="B282" i="954"/>
  <c r="B247" i="954"/>
  <c r="B293" i="954"/>
  <c r="B274" i="954"/>
  <c r="B239" i="954"/>
  <c r="B285" i="954"/>
  <c r="B268" i="954"/>
  <c r="B238" i="954"/>
  <c r="B226" i="954"/>
  <c r="B250" i="954"/>
  <c r="B243" i="954"/>
  <c r="B233" i="954"/>
  <c r="B253" i="954"/>
  <c r="B279" i="954"/>
  <c r="B277" i="954"/>
  <c r="B289" i="954"/>
  <c r="B266" i="954"/>
  <c r="B230" i="954"/>
  <c r="B256" i="954"/>
  <c r="B242" i="954"/>
  <c r="B252" i="954"/>
  <c r="B245" i="954"/>
  <c r="B264" i="954"/>
  <c r="B271" i="954"/>
  <c r="B269" i="954"/>
  <c r="B283" i="954"/>
  <c r="B260" i="954"/>
  <c r="B241" i="954"/>
  <c r="B291" i="954"/>
  <c r="B263" i="954"/>
  <c r="B261" i="954"/>
  <c r="B275" i="954"/>
  <c r="B227" i="954"/>
  <c r="B273" i="954"/>
  <c r="B286" i="954"/>
  <c r="B287" i="954"/>
  <c r="B259" i="954"/>
  <c r="B270" i="954"/>
  <c r="B278" i="954"/>
  <c r="B294" i="954"/>
  <c r="B236" i="954"/>
  <c r="B246" i="954"/>
  <c r="B249" i="954"/>
  <c r="B281" i="954"/>
  <c r="B244" i="954"/>
  <c r="B290" i="954"/>
  <c r="B248" i="954"/>
  <c r="B235" i="954"/>
  <c r="B292" i="954"/>
  <c r="B254" i="954"/>
  <c r="B267" i="954"/>
  <c r="B262" i="954"/>
  <c r="B234" i="954"/>
  <c r="B257" i="954"/>
  <c r="N104" i="954"/>
  <c r="L104" i="954"/>
  <c r="N457" i="954"/>
  <c r="L457" i="954"/>
  <c r="N397" i="954"/>
  <c r="L397" i="954"/>
  <c r="N108" i="954"/>
  <c r="L108" i="954"/>
  <c r="N337" i="954"/>
  <c r="L337" i="954"/>
  <c r="B112" i="954"/>
  <c r="AC12" i="954"/>
  <c r="B109" i="954"/>
  <c r="N89" i="954"/>
  <c r="L89" i="954"/>
  <c r="L91" i="954"/>
  <c r="N91" i="954"/>
  <c r="L455" i="954"/>
  <c r="N455" i="954"/>
  <c r="N444" i="954"/>
  <c r="L395" i="954"/>
  <c r="N395" i="954"/>
  <c r="N384" i="954"/>
  <c r="L654" i="954"/>
  <c r="N335" i="954"/>
  <c r="L335" i="954"/>
  <c r="L324" i="954" s="1"/>
  <c r="N324" i="954"/>
  <c r="B93" i="954"/>
  <c r="B85" i="954"/>
  <c r="B90" i="954"/>
  <c r="B88" i="954"/>
  <c r="N84" i="954"/>
  <c r="L84" i="954"/>
  <c r="N92" i="954"/>
  <c r="L92" i="954"/>
  <c r="I1152" i="954"/>
  <c r="I1155" i="954"/>
  <c r="I1151" i="954"/>
  <c r="I1154" i="954"/>
  <c r="I1149" i="954"/>
  <c r="I1150" i="954"/>
  <c r="I1153" i="954"/>
  <c r="I1141" i="954"/>
  <c r="N103" i="954"/>
  <c r="L103" i="954"/>
  <c r="AJ227" i="954"/>
  <c r="AJ298" i="954" s="1"/>
  <c r="I1159" i="954"/>
  <c r="I1163" i="954"/>
  <c r="I1158" i="954"/>
  <c r="I1161" i="954"/>
  <c r="I1157" i="954"/>
  <c r="I1160" i="954"/>
  <c r="I1162" i="954"/>
  <c r="I1156" i="954"/>
  <c r="B104" i="954"/>
  <c r="B89" i="954"/>
  <c r="B113" i="954"/>
  <c r="B91" i="954"/>
  <c r="B92" i="954"/>
  <c r="AF22" i="954"/>
  <c r="N98" i="954"/>
  <c r="L98" i="954"/>
  <c r="L95" i="954"/>
  <c r="N95" i="954"/>
  <c r="N94" i="954"/>
  <c r="L94" i="954"/>
  <c r="N101" i="954"/>
  <c r="N110" i="954"/>
  <c r="L110" i="954"/>
  <c r="B108" i="954"/>
  <c r="B115" i="954"/>
  <c r="B86" i="954"/>
  <c r="B106" i="954"/>
  <c r="B96" i="954"/>
  <c r="N88" i="954"/>
  <c r="L88" i="954"/>
  <c r="N96" i="954"/>
  <c r="L96" i="954"/>
  <c r="N112" i="954"/>
  <c r="L112" i="954"/>
  <c r="N322" i="954"/>
  <c r="L322" i="954"/>
  <c r="L714" i="954"/>
  <c r="N487" i="954"/>
  <c r="L487" i="954"/>
  <c r="B110" i="954"/>
  <c r="N82" i="954"/>
  <c r="B94" i="954"/>
  <c r="B111" i="954"/>
  <c r="N93" i="954"/>
  <c r="L93" i="954"/>
  <c r="N90" i="954"/>
  <c r="L90" i="954"/>
  <c r="L699" i="954"/>
  <c r="L459" i="954"/>
  <c r="N106" i="954"/>
  <c r="L106" i="954"/>
  <c r="L729" i="954"/>
  <c r="L624" i="954"/>
  <c r="N111" i="954"/>
  <c r="L111" i="954"/>
  <c r="N320" i="954"/>
  <c r="L320" i="954"/>
  <c r="B742" i="954"/>
  <c r="B777" i="954"/>
  <c r="B752" i="954"/>
  <c r="B723" i="954"/>
  <c r="B739" i="954"/>
  <c r="B753" i="954"/>
  <c r="B543" i="954"/>
  <c r="B682" i="954"/>
  <c r="B613" i="954"/>
  <c r="B750" i="954"/>
  <c r="B698" i="954"/>
  <c r="B590" i="954"/>
  <c r="B523" i="954"/>
  <c r="B695" i="954"/>
  <c r="B571" i="954"/>
  <c r="B600" i="954"/>
  <c r="B588" i="954"/>
  <c r="B461" i="954"/>
  <c r="B518" i="954"/>
  <c r="B525" i="954"/>
  <c r="B465" i="954"/>
  <c r="B394" i="954"/>
  <c r="B636" i="954"/>
  <c r="B481" i="954"/>
  <c r="B375" i="954"/>
  <c r="B569" i="954"/>
  <c r="B428" i="954"/>
  <c r="B406" i="954"/>
  <c r="B351" i="954"/>
  <c r="B508" i="954"/>
  <c r="B445" i="954"/>
  <c r="B359" i="954"/>
  <c r="B480" i="954"/>
  <c r="B329" i="954"/>
  <c r="N309" i="954"/>
  <c r="B457" i="954"/>
  <c r="B436" i="954"/>
  <c r="B418" i="954"/>
  <c r="B328" i="954"/>
  <c r="B355" i="954"/>
  <c r="B740" i="954"/>
  <c r="B743" i="954"/>
  <c r="B738" i="954"/>
  <c r="B716" i="954"/>
  <c r="B735" i="954"/>
  <c r="B737" i="954"/>
  <c r="B528" i="954"/>
  <c r="B679" i="954"/>
  <c r="B607" i="954"/>
  <c r="B728" i="954"/>
  <c r="B664" i="954"/>
  <c r="B585" i="954"/>
  <c r="B517" i="954"/>
  <c r="B693" i="954"/>
  <c r="B554" i="954"/>
  <c r="B591" i="954"/>
  <c r="B582" i="954"/>
  <c r="B450" i="954"/>
  <c r="B488" i="954"/>
  <c r="B514" i="954"/>
  <c r="B462" i="954"/>
  <c r="B381" i="954"/>
  <c r="B618" i="954"/>
  <c r="B463" i="954"/>
  <c r="B372" i="954"/>
  <c r="B561" i="954"/>
  <c r="B542" i="954"/>
  <c r="B400" i="954"/>
  <c r="B337" i="954"/>
  <c r="B500" i="954"/>
  <c r="B439" i="954"/>
  <c r="B430" i="954"/>
  <c r="B477" i="954"/>
  <c r="B469" i="954"/>
  <c r="B346" i="954"/>
  <c r="B417" i="954"/>
  <c r="B405" i="954"/>
  <c r="B320" i="954"/>
  <c r="B342" i="954"/>
  <c r="B734" i="954"/>
  <c r="B718" i="954"/>
  <c r="B731" i="954"/>
  <c r="B705" i="954"/>
  <c r="B727" i="954"/>
  <c r="B694" i="954"/>
  <c r="B516" i="954"/>
  <c r="B666" i="954"/>
  <c r="B603" i="954"/>
  <c r="B724" i="954"/>
  <c r="B638" i="954"/>
  <c r="B576" i="954"/>
  <c r="B512" i="954"/>
  <c r="B683" i="954"/>
  <c r="B721" i="954"/>
  <c r="B583" i="954"/>
  <c r="B553" i="954"/>
  <c r="B447" i="954"/>
  <c r="B652" i="954"/>
  <c r="B503" i="954"/>
  <c r="B454" i="954"/>
  <c r="B367" i="954"/>
  <c r="B612" i="954"/>
  <c r="B455" i="954"/>
  <c r="B368" i="954"/>
  <c r="B537" i="954"/>
  <c r="B524" i="954"/>
  <c r="B388" i="954"/>
  <c r="B648" i="954"/>
  <c r="B496" i="954"/>
  <c r="B433" i="954"/>
  <c r="B427" i="954"/>
  <c r="B470" i="954"/>
  <c r="B458" i="954"/>
  <c r="B451" i="954"/>
  <c r="B330" i="954"/>
  <c r="B385" i="954"/>
  <c r="B397" i="954"/>
  <c r="B338" i="954"/>
  <c r="B720" i="954"/>
  <c r="B712" i="954"/>
  <c r="B713" i="954"/>
  <c r="B696" i="954"/>
  <c r="B707" i="954"/>
  <c r="B663" i="954"/>
  <c r="B511" i="954"/>
  <c r="B653" i="954"/>
  <c r="B593" i="954"/>
  <c r="B701" i="954"/>
  <c r="B631" i="954"/>
  <c r="B568" i="954"/>
  <c r="B506" i="954"/>
  <c r="B680" i="954"/>
  <c r="B703" i="954"/>
  <c r="B577" i="954"/>
  <c r="B538" i="954"/>
  <c r="B443" i="954"/>
  <c r="B598" i="954"/>
  <c r="B501" i="954"/>
  <c r="B448" i="954"/>
  <c r="B360" i="954"/>
  <c r="B552" i="954"/>
  <c r="B426" i="954"/>
  <c r="B364" i="954"/>
  <c r="B471" i="954"/>
  <c r="B515" i="954"/>
  <c r="B387" i="954"/>
  <c r="B620" i="954"/>
  <c r="B491" i="954"/>
  <c r="B411" i="954"/>
  <c r="B421" i="954"/>
  <c r="B419" i="954"/>
  <c r="B370" i="954"/>
  <c r="B441" i="954"/>
  <c r="B327" i="954"/>
  <c r="B380" i="954"/>
  <c r="B374" i="954"/>
  <c r="B415" i="954"/>
  <c r="B331" i="954"/>
  <c r="B779" i="954"/>
  <c r="B757" i="954"/>
  <c r="B621" i="954"/>
  <c r="B608" i="954"/>
  <c r="B635" i="954"/>
  <c r="B472" i="954"/>
  <c r="B485" i="954"/>
  <c r="B495" i="954"/>
  <c r="B606" i="954"/>
  <c r="B373" i="954"/>
  <c r="B389" i="954"/>
  <c r="B340" i="954"/>
  <c r="B784" i="954"/>
  <c r="B709" i="954"/>
  <c r="B710" i="954"/>
  <c r="B646" i="954"/>
  <c r="B668" i="954"/>
  <c r="B681" i="954"/>
  <c r="B634" i="954"/>
  <c r="B493" i="954"/>
  <c r="B650" i="954"/>
  <c r="B589" i="954"/>
  <c r="B778" i="954"/>
  <c r="B622" i="954"/>
  <c r="B562" i="954"/>
  <c r="B782" i="954"/>
  <c r="B667" i="954"/>
  <c r="B678" i="954"/>
  <c r="B573" i="954"/>
  <c r="B494" i="954"/>
  <c r="B623" i="954"/>
  <c r="B592" i="954"/>
  <c r="B497" i="954"/>
  <c r="B434" i="954"/>
  <c r="B357" i="954"/>
  <c r="B507" i="954"/>
  <c r="B425" i="954"/>
  <c r="B358" i="954"/>
  <c r="B466" i="954"/>
  <c r="B502" i="954"/>
  <c r="B383" i="954"/>
  <c r="B556" i="954"/>
  <c r="B487" i="954"/>
  <c r="B410" i="954"/>
  <c r="B390" i="954"/>
  <c r="B413" i="954"/>
  <c r="B336" i="954"/>
  <c r="B391" i="954"/>
  <c r="B323" i="954"/>
  <c r="B344" i="954"/>
  <c r="B353" i="954"/>
  <c r="B412" i="954"/>
  <c r="B676" i="954"/>
  <c r="B733" i="954"/>
  <c r="B584" i="954"/>
  <c r="B570" i="954"/>
  <c r="B544" i="954"/>
  <c r="B614" i="954"/>
  <c r="B555" i="954"/>
  <c r="B396" i="954"/>
  <c r="B404" i="954"/>
  <c r="B456" i="954"/>
  <c r="B476" i="954"/>
  <c r="B398" i="954"/>
  <c r="B781" i="954"/>
  <c r="B706" i="954"/>
  <c r="B704" i="954"/>
  <c r="B749" i="954"/>
  <c r="B661" i="954"/>
  <c r="B665" i="954"/>
  <c r="B601" i="954"/>
  <c r="B722" i="954"/>
  <c r="B637" i="954"/>
  <c r="B575" i="954"/>
  <c r="B776" i="954"/>
  <c r="B619" i="954"/>
  <c r="B558" i="954"/>
  <c r="B780" i="954"/>
  <c r="B651" i="954"/>
  <c r="B633" i="954"/>
  <c r="B563" i="954"/>
  <c r="B484" i="954"/>
  <c r="B574" i="954"/>
  <c r="B578" i="954"/>
  <c r="B492" i="954"/>
  <c r="B420" i="954"/>
  <c r="B541" i="954"/>
  <c r="B499" i="954"/>
  <c r="B424" i="954"/>
  <c r="B649" i="954"/>
  <c r="B449" i="954"/>
  <c r="B479" i="954"/>
  <c r="B379" i="954"/>
  <c r="B540" i="954"/>
  <c r="B482" i="954"/>
  <c r="B409" i="954"/>
  <c r="B345" i="954"/>
  <c r="B403" i="954"/>
  <c r="B322" i="954"/>
  <c r="B352" i="954"/>
  <c r="B350" i="954"/>
  <c r="B402" i="954"/>
  <c r="B783" i="954"/>
  <c r="B751" i="954"/>
  <c r="B697" i="954"/>
  <c r="B736" i="954"/>
  <c r="B754" i="954"/>
  <c r="B559" i="954"/>
  <c r="B560" i="954"/>
  <c r="B539" i="954"/>
  <c r="B435" i="954"/>
  <c r="B535" i="954"/>
  <c r="B335" i="954"/>
  <c r="B349" i="954"/>
  <c r="B366" i="954"/>
  <c r="B748" i="954"/>
  <c r="B616" i="954"/>
  <c r="B768" i="954"/>
  <c r="B725" i="954"/>
  <c r="B746" i="954"/>
  <c r="B755" i="954"/>
  <c r="B567" i="954"/>
  <c r="B691" i="954"/>
  <c r="B615" i="954"/>
  <c r="B758" i="954"/>
  <c r="B708" i="954"/>
  <c r="B604" i="954"/>
  <c r="B529" i="954"/>
  <c r="B719" i="954"/>
  <c r="B597" i="954"/>
  <c r="B605" i="954"/>
  <c r="B599" i="954"/>
  <c r="B467" i="954"/>
  <c r="B520" i="954"/>
  <c r="B536" i="954"/>
  <c r="B473" i="954"/>
  <c r="B395" i="954"/>
  <c r="B509" i="954"/>
  <c r="B486" i="954"/>
  <c r="B382" i="954"/>
  <c r="B586" i="954"/>
  <c r="B432" i="954"/>
  <c r="B442" i="954"/>
  <c r="B365" i="954"/>
  <c r="B510" i="954"/>
  <c r="B464" i="954"/>
  <c r="B376" i="954"/>
  <c r="B321" i="954"/>
  <c r="B343" i="954"/>
  <c r="B325" i="954"/>
  <c r="B440" i="954"/>
  <c r="B478" i="954"/>
  <c r="B334" i="954"/>
  <c r="B361" i="954"/>
  <c r="N485" i="954"/>
  <c r="L485" i="954"/>
  <c r="C82" i="954"/>
  <c r="B97" i="954"/>
  <c r="N87" i="954"/>
  <c r="L87" i="954"/>
  <c r="L86" i="954"/>
  <c r="N86" i="954"/>
  <c r="L744" i="954"/>
  <c r="N113" i="954"/>
  <c r="L113" i="954"/>
  <c r="I1150" i="953"/>
  <c r="I1155" i="953"/>
  <c r="I1149" i="953"/>
  <c r="I1153" i="953"/>
  <c r="I1152" i="953"/>
  <c r="I1151" i="953"/>
  <c r="I1141" i="953"/>
  <c r="I44" i="953" s="1"/>
  <c r="I1154" i="953"/>
  <c r="B257" i="953"/>
  <c r="L111" i="953"/>
  <c r="N111" i="953"/>
  <c r="N410" i="953"/>
  <c r="L410" i="953"/>
  <c r="N399" i="953"/>
  <c r="N425" i="953"/>
  <c r="L425" i="953"/>
  <c r="N414" i="953"/>
  <c r="L515" i="953"/>
  <c r="N515" i="953"/>
  <c r="B262" i="953"/>
  <c r="N322" i="953"/>
  <c r="L322" i="953"/>
  <c r="N86" i="953"/>
  <c r="L86" i="953"/>
  <c r="N94" i="953"/>
  <c r="L94" i="953"/>
  <c r="N335" i="953"/>
  <c r="L335" i="953"/>
  <c r="N324" i="953"/>
  <c r="B294" i="953"/>
  <c r="B243" i="953"/>
  <c r="B248" i="953"/>
  <c r="B247" i="953"/>
  <c r="B250" i="953"/>
  <c r="B278" i="953"/>
  <c r="N113" i="953"/>
  <c r="L113" i="953"/>
  <c r="L744" i="953"/>
  <c r="B264" i="953"/>
  <c r="N320" i="953"/>
  <c r="L320" i="953"/>
  <c r="B781" i="953"/>
  <c r="B718" i="953"/>
  <c r="B731" i="953"/>
  <c r="B727" i="953"/>
  <c r="B638" i="953"/>
  <c r="B562" i="953"/>
  <c r="B782" i="953"/>
  <c r="B758" i="953"/>
  <c r="B706" i="953"/>
  <c r="B592" i="953"/>
  <c r="B697" i="953"/>
  <c r="B695" i="953"/>
  <c r="B691" i="953"/>
  <c r="B709" i="953"/>
  <c r="B514" i="953"/>
  <c r="B441" i="953"/>
  <c r="B563" i="953"/>
  <c r="B426" i="953"/>
  <c r="B509" i="953"/>
  <c r="B419" i="953"/>
  <c r="B537" i="953"/>
  <c r="B430" i="953"/>
  <c r="B357" i="953"/>
  <c r="B559" i="953"/>
  <c r="B415" i="953"/>
  <c r="B448" i="953"/>
  <c r="B538" i="953"/>
  <c r="B456" i="953"/>
  <c r="B439" i="953"/>
  <c r="B373" i="953"/>
  <c r="B476" i="953"/>
  <c r="B389" i="953"/>
  <c r="B543" i="953"/>
  <c r="B418" i="953"/>
  <c r="B345" i="953"/>
  <c r="B382" i="953"/>
  <c r="N309" i="953"/>
  <c r="B364" i="953"/>
  <c r="B350" i="953"/>
  <c r="B344" i="953"/>
  <c r="B750" i="953"/>
  <c r="B712" i="953"/>
  <c r="B713" i="953"/>
  <c r="B725" i="953"/>
  <c r="B616" i="953"/>
  <c r="B558" i="953"/>
  <c r="B776" i="953"/>
  <c r="B754" i="953"/>
  <c r="B679" i="953"/>
  <c r="B588" i="953"/>
  <c r="B683" i="953"/>
  <c r="B678" i="953"/>
  <c r="B680" i="953"/>
  <c r="B676" i="953"/>
  <c r="B508" i="953"/>
  <c r="B421" i="953"/>
  <c r="B560" i="953"/>
  <c r="B425" i="953"/>
  <c r="B507" i="953"/>
  <c r="B623" i="953"/>
  <c r="B511" i="953"/>
  <c r="B420" i="953"/>
  <c r="B353" i="953"/>
  <c r="B556" i="953"/>
  <c r="B621" i="953"/>
  <c r="B443" i="953"/>
  <c r="B515" i="953"/>
  <c r="B445" i="953"/>
  <c r="B436" i="953"/>
  <c r="B365" i="953"/>
  <c r="B462" i="953"/>
  <c r="B376" i="953"/>
  <c r="B524" i="953"/>
  <c r="B417" i="953"/>
  <c r="B342" i="953"/>
  <c r="B372" i="953"/>
  <c r="B405" i="953"/>
  <c r="B361" i="953"/>
  <c r="B370" i="953"/>
  <c r="B331" i="953"/>
  <c r="B739" i="953"/>
  <c r="B710" i="953"/>
  <c r="B646" i="953"/>
  <c r="B723" i="953"/>
  <c r="B608" i="953"/>
  <c r="B544" i="953"/>
  <c r="B742" i="953"/>
  <c r="B696" i="953"/>
  <c r="B668" i="953"/>
  <c r="B578" i="953"/>
  <c r="B665" i="953"/>
  <c r="B664" i="953"/>
  <c r="B667" i="953"/>
  <c r="B634" i="953"/>
  <c r="B501" i="953"/>
  <c r="B622" i="953"/>
  <c r="B553" i="953"/>
  <c r="B424" i="953"/>
  <c r="B492" i="953"/>
  <c r="B620" i="953"/>
  <c r="B502" i="953"/>
  <c r="B396" i="953"/>
  <c r="B349" i="953"/>
  <c r="B535" i="953"/>
  <c r="B603" i="953"/>
  <c r="B427" i="953"/>
  <c r="B503" i="953"/>
  <c r="B648" i="953"/>
  <c r="B406" i="953"/>
  <c r="B351" i="953"/>
  <c r="B454" i="953"/>
  <c r="B359" i="953"/>
  <c r="B518" i="953"/>
  <c r="B413" i="953"/>
  <c r="B338" i="953"/>
  <c r="B327" i="953"/>
  <c r="B398" i="953"/>
  <c r="B358" i="953"/>
  <c r="B336" i="953"/>
  <c r="B329" i="953"/>
  <c r="B736" i="953"/>
  <c r="B704" i="953"/>
  <c r="B753" i="953"/>
  <c r="B707" i="953"/>
  <c r="B604" i="953"/>
  <c r="B529" i="953"/>
  <c r="B728" i="953"/>
  <c r="B693" i="953"/>
  <c r="B650" i="953"/>
  <c r="B574" i="953"/>
  <c r="B661" i="953"/>
  <c r="B651" i="953"/>
  <c r="B652" i="953"/>
  <c r="B631" i="953"/>
  <c r="B496" i="953"/>
  <c r="B619" i="953"/>
  <c r="B528" i="953"/>
  <c r="B597" i="953"/>
  <c r="B484" i="953"/>
  <c r="B613" i="953"/>
  <c r="B479" i="953"/>
  <c r="B395" i="953"/>
  <c r="B607" i="953"/>
  <c r="B500" i="953"/>
  <c r="B567" i="953"/>
  <c r="B612" i="953"/>
  <c r="B493" i="953"/>
  <c r="B600" i="953"/>
  <c r="B400" i="953"/>
  <c r="B614" i="953"/>
  <c r="B449" i="953"/>
  <c r="B340" i="953"/>
  <c r="B494" i="953"/>
  <c r="B412" i="953"/>
  <c r="B334" i="953"/>
  <c r="B321" i="953"/>
  <c r="B335" i="953"/>
  <c r="B355" i="953"/>
  <c r="B428" i="953"/>
  <c r="B722" i="953"/>
  <c r="B783" i="953"/>
  <c r="B737" i="953"/>
  <c r="B705" i="953"/>
  <c r="B590" i="953"/>
  <c r="B523" i="953"/>
  <c r="B720" i="953"/>
  <c r="B653" i="953"/>
  <c r="B636" i="953"/>
  <c r="B751" i="953"/>
  <c r="B649" i="953"/>
  <c r="B748" i="953"/>
  <c r="B618" i="953"/>
  <c r="B615" i="953"/>
  <c r="B478" i="953"/>
  <c r="B586" i="953"/>
  <c r="B486" i="953"/>
  <c r="B583" i="953"/>
  <c r="B473" i="953"/>
  <c r="B599" i="953"/>
  <c r="B465" i="953"/>
  <c r="B394" i="953"/>
  <c r="B605" i="953"/>
  <c r="B477" i="953"/>
  <c r="B525" i="953"/>
  <c r="B593" i="953"/>
  <c r="B485" i="953"/>
  <c r="B569" i="953"/>
  <c r="B388" i="953"/>
  <c r="B589" i="953"/>
  <c r="B434" i="953"/>
  <c r="B488" i="953"/>
  <c r="B390" i="953"/>
  <c r="B328" i="953"/>
  <c r="B330" i="953"/>
  <c r="B404" i="953"/>
  <c r="B385" i="953"/>
  <c r="B708" i="953"/>
  <c r="B768" i="953"/>
  <c r="B719" i="953"/>
  <c r="B703" i="953"/>
  <c r="B585" i="953"/>
  <c r="B517" i="953"/>
  <c r="B682" i="953"/>
  <c r="B749" i="953"/>
  <c r="B633" i="953"/>
  <c r="B746" i="953"/>
  <c r="B637" i="953"/>
  <c r="B740" i="953"/>
  <c r="B721" i="953"/>
  <c r="B570" i="953"/>
  <c r="B470" i="953"/>
  <c r="B584" i="953"/>
  <c r="B481" i="953"/>
  <c r="B561" i="953"/>
  <c r="B471" i="953"/>
  <c r="B554" i="953"/>
  <c r="B440" i="953"/>
  <c r="B381" i="953"/>
  <c r="B601" i="953"/>
  <c r="B469" i="953"/>
  <c r="B497" i="953"/>
  <c r="B591" i="953"/>
  <c r="B472" i="953"/>
  <c r="B510" i="953"/>
  <c r="B387" i="953"/>
  <c r="B555" i="953"/>
  <c r="B411" i="953"/>
  <c r="B457" i="953"/>
  <c r="B380" i="953"/>
  <c r="B320" i="953"/>
  <c r="B374" i="953"/>
  <c r="B322" i="953"/>
  <c r="B397" i="953"/>
  <c r="B325" i="953"/>
  <c r="B777" i="953"/>
  <c r="B752" i="953"/>
  <c r="B757" i="953"/>
  <c r="B681" i="953"/>
  <c r="B576" i="953"/>
  <c r="B512" i="953"/>
  <c r="B780" i="953"/>
  <c r="B733" i="953"/>
  <c r="B606" i="953"/>
  <c r="B735" i="953"/>
  <c r="B755" i="953"/>
  <c r="B698" i="953"/>
  <c r="B716" i="953"/>
  <c r="B539" i="953"/>
  <c r="B458" i="953"/>
  <c r="B582" i="953"/>
  <c r="B463" i="953"/>
  <c r="B520" i="953"/>
  <c r="B467" i="953"/>
  <c r="B552" i="953"/>
  <c r="B435" i="953"/>
  <c r="B367" i="953"/>
  <c r="B575" i="953"/>
  <c r="B461" i="953"/>
  <c r="B495" i="953"/>
  <c r="B542" i="953"/>
  <c r="B466" i="953"/>
  <c r="B491" i="953"/>
  <c r="B383" i="953"/>
  <c r="B499" i="953"/>
  <c r="B410" i="953"/>
  <c r="B635" i="953"/>
  <c r="B447" i="953"/>
  <c r="B366" i="953"/>
  <c r="B343" i="953"/>
  <c r="B403" i="953"/>
  <c r="B375" i="953"/>
  <c r="B323" i="953"/>
  <c r="B784" i="953"/>
  <c r="B743" i="953"/>
  <c r="B738" i="953"/>
  <c r="B734" i="953"/>
  <c r="B663" i="953"/>
  <c r="B568" i="953"/>
  <c r="B506" i="953"/>
  <c r="B778" i="953"/>
  <c r="B724" i="953"/>
  <c r="B598" i="953"/>
  <c r="B701" i="953"/>
  <c r="B666" i="953"/>
  <c r="B694" i="953"/>
  <c r="B779" i="953"/>
  <c r="B536" i="953"/>
  <c r="B451" i="953"/>
  <c r="B577" i="953"/>
  <c r="B455" i="953"/>
  <c r="B516" i="953"/>
  <c r="B442" i="953"/>
  <c r="B541" i="953"/>
  <c r="B433" i="953"/>
  <c r="B360" i="953"/>
  <c r="B573" i="953"/>
  <c r="B450" i="953"/>
  <c r="B487" i="953"/>
  <c r="B540" i="953"/>
  <c r="B464" i="953"/>
  <c r="B482" i="953"/>
  <c r="B379" i="953"/>
  <c r="B480" i="953"/>
  <c r="B409" i="953"/>
  <c r="B571" i="953"/>
  <c r="B432" i="953"/>
  <c r="B352" i="953"/>
  <c r="B402" i="953"/>
  <c r="B337" i="953"/>
  <c r="B391" i="953"/>
  <c r="B368" i="953"/>
  <c r="B346" i="953"/>
  <c r="N100" i="953"/>
  <c r="L100" i="953"/>
  <c r="L85" i="953"/>
  <c r="N85" i="953"/>
  <c r="B292" i="953"/>
  <c r="B275" i="953"/>
  <c r="B251" i="953"/>
  <c r="B295" i="953"/>
  <c r="B270" i="953"/>
  <c r="B256" i="953"/>
  <c r="N472" i="953"/>
  <c r="L472" i="953"/>
  <c r="I1319" i="953"/>
  <c r="I1318" i="953"/>
  <c r="N90" i="953"/>
  <c r="L90" i="953"/>
  <c r="L87" i="953"/>
  <c r="N87" i="953"/>
  <c r="B283" i="953"/>
  <c r="B273" i="953"/>
  <c r="L699" i="953"/>
  <c r="B249" i="953"/>
  <c r="B280" i="953"/>
  <c r="B288" i="953"/>
  <c r="B238" i="953"/>
  <c r="N352" i="953"/>
  <c r="L352" i="953"/>
  <c r="N470" i="953"/>
  <c r="L470" i="953"/>
  <c r="L669" i="953"/>
  <c r="B289" i="953"/>
  <c r="N98" i="953"/>
  <c r="L98" i="953"/>
  <c r="AF22" i="953"/>
  <c r="L88" i="953"/>
  <c r="N88" i="953"/>
  <c r="B281" i="953"/>
  <c r="N442" i="953"/>
  <c r="L442" i="953"/>
  <c r="L624" i="953"/>
  <c r="B290" i="953"/>
  <c r="B240" i="953"/>
  <c r="B274" i="953"/>
  <c r="B282" i="953"/>
  <c r="B244" i="953"/>
  <c r="N350" i="953"/>
  <c r="L350" i="953"/>
  <c r="N339" i="953"/>
  <c r="B287" i="953"/>
  <c r="N108" i="953"/>
  <c r="L108" i="953"/>
  <c r="L714" i="953"/>
  <c r="B291" i="953"/>
  <c r="L549" i="953"/>
  <c r="N84" i="953"/>
  <c r="L84" i="953"/>
  <c r="L92" i="953"/>
  <c r="N92" i="953"/>
  <c r="B271" i="953"/>
  <c r="B241" i="953"/>
  <c r="N440" i="953"/>
  <c r="L440" i="953"/>
  <c r="N429" i="953"/>
  <c r="B237" i="953"/>
  <c r="B261" i="953"/>
  <c r="B285" i="953"/>
  <c r="B268" i="953"/>
  <c r="B276" i="953"/>
  <c r="N110" i="953"/>
  <c r="L110" i="953"/>
  <c r="B239" i="953"/>
  <c r="B279" i="953"/>
  <c r="N89" i="953"/>
  <c r="L89" i="953"/>
  <c r="N91" i="953"/>
  <c r="L91" i="953"/>
  <c r="L96" i="953"/>
  <c r="N96" i="953"/>
  <c r="B269" i="953"/>
  <c r="B236" i="953"/>
  <c r="B272" i="953"/>
  <c r="B253" i="953"/>
  <c r="B265" i="953"/>
  <c r="N502" i="953"/>
  <c r="L502" i="953"/>
  <c r="B284" i="953"/>
  <c r="N112" i="953"/>
  <c r="L112" i="953"/>
  <c r="AD287" i="953"/>
  <c r="L729" i="953"/>
  <c r="B245" i="953"/>
  <c r="B277" i="953"/>
  <c r="N93" i="953"/>
  <c r="L93" i="953"/>
  <c r="N95" i="953"/>
  <c r="L95" i="953"/>
  <c r="B255" i="953"/>
  <c r="B252" i="953"/>
  <c r="B266" i="953"/>
  <c r="B286" i="953"/>
  <c r="N500" i="953"/>
  <c r="L500" i="953"/>
  <c r="B259" i="953"/>
  <c r="N109" i="953"/>
  <c r="L109" i="953"/>
  <c r="N412" i="953"/>
  <c r="L412" i="953"/>
  <c r="L427" i="953"/>
  <c r="N427" i="953"/>
  <c r="N517" i="953"/>
  <c r="L517" i="953"/>
  <c r="B254" i="953"/>
  <c r="N489" i="953"/>
  <c r="N97" i="953"/>
  <c r="L97" i="953"/>
  <c r="N99" i="953"/>
  <c r="L99" i="953"/>
  <c r="N337" i="953"/>
  <c r="L337" i="953"/>
  <c r="B263" i="953"/>
  <c r="B293" i="953"/>
  <c r="B242" i="953"/>
  <c r="B258" i="953"/>
  <c r="B615" i="952"/>
  <c r="B614" i="952"/>
  <c r="B494" i="952"/>
  <c r="B285" i="952"/>
  <c r="B492" i="952"/>
  <c r="L90" i="952"/>
  <c r="N90" i="952"/>
  <c r="B696" i="952"/>
  <c r="B753" i="952"/>
  <c r="B435" i="952"/>
  <c r="B367" i="952"/>
  <c r="N106" i="952"/>
  <c r="L106" i="952"/>
  <c r="B252" i="952"/>
  <c r="B742" i="952"/>
  <c r="B708" i="952"/>
  <c r="B608" i="952"/>
  <c r="B679" i="952"/>
  <c r="B583" i="952"/>
  <c r="B502" i="952"/>
  <c r="B279" i="952"/>
  <c r="B540" i="952"/>
  <c r="B593" i="952"/>
  <c r="B389" i="952"/>
  <c r="B374" i="952"/>
  <c r="B413" i="952"/>
  <c r="B784" i="952"/>
  <c r="B590" i="952"/>
  <c r="B666" i="952"/>
  <c r="B520" i="952"/>
  <c r="B405" i="952"/>
  <c r="B265" i="952"/>
  <c r="B651" i="952"/>
  <c r="B723" i="952"/>
  <c r="B577" i="952"/>
  <c r="B349" i="952"/>
  <c r="B383" i="952"/>
  <c r="B232" i="952"/>
  <c r="N427" i="952"/>
  <c r="L427" i="952"/>
  <c r="B652" i="952"/>
  <c r="B512" i="952"/>
  <c r="B495" i="952"/>
  <c r="L744" i="952"/>
  <c r="B276" i="952"/>
  <c r="N350" i="952"/>
  <c r="L350" i="952"/>
  <c r="N339" i="952"/>
  <c r="B578" i="952"/>
  <c r="B693" i="952"/>
  <c r="B436" i="952"/>
  <c r="B358" i="952"/>
  <c r="B390" i="952"/>
  <c r="B636" i="952"/>
  <c r="B712" i="952"/>
  <c r="B484" i="952"/>
  <c r="L91" i="952"/>
  <c r="N91" i="952"/>
  <c r="L98" i="952"/>
  <c r="AF22" i="952"/>
  <c r="N98" i="952"/>
  <c r="B273" i="952"/>
  <c r="B716" i="952"/>
  <c r="B648" i="952"/>
  <c r="B691" i="952"/>
  <c r="B758" i="952"/>
  <c r="N110" i="952"/>
  <c r="L110" i="952"/>
  <c r="N457" i="952"/>
  <c r="L457" i="952"/>
  <c r="B274" i="952"/>
  <c r="B727" i="952"/>
  <c r="B653" i="952"/>
  <c r="B605" i="952"/>
  <c r="B470" i="952"/>
  <c r="B280" i="952"/>
  <c r="N425" i="952"/>
  <c r="L425" i="952"/>
  <c r="N414" i="952"/>
  <c r="B588" i="952"/>
  <c r="B515" i="952"/>
  <c r="B443" i="952"/>
  <c r="B409" i="952"/>
  <c r="B388" i="952"/>
  <c r="B267" i="952"/>
  <c r="B264" i="952"/>
  <c r="L107" i="952"/>
  <c r="N107" i="952"/>
  <c r="B735" i="952"/>
  <c r="B463" i="952"/>
  <c r="B508" i="952"/>
  <c r="B485" i="952"/>
  <c r="L517" i="952"/>
  <c r="N517" i="952"/>
  <c r="B574" i="952"/>
  <c r="B746" i="952"/>
  <c r="B553" i="952"/>
  <c r="B395" i="952"/>
  <c r="L95" i="952"/>
  <c r="N95" i="952"/>
  <c r="N89" i="952"/>
  <c r="L89" i="952"/>
  <c r="N84" i="952"/>
  <c r="L84" i="952"/>
  <c r="L337" i="952"/>
  <c r="N337" i="952"/>
  <c r="B722" i="952"/>
  <c r="B558" i="952"/>
  <c r="B582" i="952"/>
  <c r="B427" i="952"/>
  <c r="N104" i="952"/>
  <c r="L104" i="952"/>
  <c r="L455" i="952"/>
  <c r="N455" i="952"/>
  <c r="N444" i="952"/>
  <c r="B241" i="952"/>
  <c r="B743" i="952"/>
  <c r="B544" i="952"/>
  <c r="B664" i="952"/>
  <c r="B620" i="952"/>
  <c r="B457" i="952"/>
  <c r="B734" i="952"/>
  <c r="B600" i="952"/>
  <c r="B421" i="952"/>
  <c r="B245" i="952"/>
  <c r="B598" i="952"/>
  <c r="B563" i="952"/>
  <c r="B450" i="952"/>
  <c r="B419" i="952"/>
  <c r="B487" i="952"/>
  <c r="L564" i="952"/>
  <c r="B231" i="952"/>
  <c r="B661" i="952"/>
  <c r="B517" i="952"/>
  <c r="B503" i="952"/>
  <c r="B286" i="952"/>
  <c r="B737" i="952"/>
  <c r="B481" i="952"/>
  <c r="B536" i="952"/>
  <c r="B364" i="952"/>
  <c r="B381" i="952"/>
  <c r="N227" i="952"/>
  <c r="B283" i="952"/>
  <c r="B271" i="952"/>
  <c r="B250" i="952"/>
  <c r="B234" i="952"/>
  <c r="B288" i="952"/>
  <c r="B287" i="952"/>
  <c r="B236" i="952"/>
  <c r="B270" i="952"/>
  <c r="B779" i="952"/>
  <c r="B584" i="952"/>
  <c r="B372" i="952"/>
  <c r="B365" i="952"/>
  <c r="N442" i="952"/>
  <c r="L442" i="952"/>
  <c r="N515" i="952"/>
  <c r="L515" i="952"/>
  <c r="B733" i="952"/>
  <c r="B455" i="952"/>
  <c r="B497" i="952"/>
  <c r="B350" i="952"/>
  <c r="N99" i="952"/>
  <c r="L99" i="952"/>
  <c r="N93" i="952"/>
  <c r="L93" i="952"/>
  <c r="L335" i="952"/>
  <c r="N335" i="952"/>
  <c r="N324" i="952"/>
  <c r="B256" i="952"/>
  <c r="B623" i="952"/>
  <c r="B678" i="952"/>
  <c r="B472" i="952"/>
  <c r="B496" i="952"/>
  <c r="B500" i="952"/>
  <c r="N112" i="952"/>
  <c r="L112" i="952"/>
  <c r="B237" i="952"/>
  <c r="N470" i="952"/>
  <c r="L470" i="952"/>
  <c r="B667" i="952"/>
  <c r="B707" i="952"/>
  <c r="N485" i="952"/>
  <c r="L485" i="952"/>
  <c r="B281" i="952"/>
  <c r="N352" i="952"/>
  <c r="L352" i="952"/>
  <c r="B736" i="952"/>
  <c r="B433" i="952"/>
  <c r="B571" i="952"/>
  <c r="AJ227" i="952"/>
  <c r="AJ298" i="952" s="1"/>
  <c r="I1159" i="952"/>
  <c r="I1162" i="952"/>
  <c r="I1158" i="952"/>
  <c r="I1161" i="952"/>
  <c r="I1157" i="952"/>
  <c r="I1160" i="952"/>
  <c r="I1156" i="952"/>
  <c r="I1163" i="952"/>
  <c r="B456" i="952"/>
  <c r="B292" i="952"/>
  <c r="B376" i="952"/>
  <c r="B294" i="952"/>
  <c r="B607" i="952"/>
  <c r="B467" i="952"/>
  <c r="B291" i="952"/>
  <c r="B289" i="952"/>
  <c r="B516" i="952"/>
  <c r="B451" i="952"/>
  <c r="B555" i="952"/>
  <c r="B633" i="952"/>
  <c r="B412" i="952"/>
  <c r="B385" i="952"/>
  <c r="B400" i="952"/>
  <c r="B246" i="952"/>
  <c r="N502" i="952"/>
  <c r="L502" i="952"/>
  <c r="B752" i="952"/>
  <c r="B755" i="952"/>
  <c r="B509" i="952"/>
  <c r="B499" i="952"/>
  <c r="B258" i="952"/>
  <c r="I1319" i="952"/>
  <c r="I1318" i="952"/>
  <c r="L699" i="952"/>
  <c r="B537" i="952"/>
  <c r="B570" i="952"/>
  <c r="B359" i="952"/>
  <c r="B370" i="952"/>
  <c r="B387" i="952"/>
  <c r="B255" i="952"/>
  <c r="B227" i="952"/>
  <c r="B592" i="952"/>
  <c r="B538" i="952"/>
  <c r="B447" i="952"/>
  <c r="B415" i="952"/>
  <c r="B345" i="952"/>
  <c r="L594" i="952"/>
  <c r="B290" i="952"/>
  <c r="B601" i="952"/>
  <c r="B375" i="952"/>
  <c r="B518" i="952"/>
  <c r="B493" i="952"/>
  <c r="L669" i="952"/>
  <c r="I1154" i="952"/>
  <c r="I1150" i="952"/>
  <c r="I1149" i="952"/>
  <c r="I1153" i="952"/>
  <c r="I1141" i="952"/>
  <c r="I43" i="952" s="1"/>
  <c r="I1152" i="952"/>
  <c r="I1155" i="952"/>
  <c r="I1151" i="952"/>
  <c r="B263" i="952"/>
  <c r="B277" i="952"/>
  <c r="B676" i="952"/>
  <c r="B663" i="952"/>
  <c r="B552" i="952"/>
  <c r="B542" i="952"/>
  <c r="B462" i="952"/>
  <c r="N440" i="952"/>
  <c r="L440" i="952"/>
  <c r="N429" i="952"/>
  <c r="B239" i="952"/>
  <c r="B748" i="952"/>
  <c r="B567" i="952"/>
  <c r="B650" i="952"/>
  <c r="B477" i="952"/>
  <c r="B482" i="952"/>
  <c r="N85" i="952"/>
  <c r="L85" i="952"/>
  <c r="N97" i="952"/>
  <c r="L97" i="952"/>
  <c r="B262" i="952"/>
  <c r="B560" i="952"/>
  <c r="B682" i="952"/>
  <c r="B491" i="952"/>
  <c r="B394" i="952"/>
  <c r="N105" i="952"/>
  <c r="L105" i="952"/>
  <c r="B243" i="952"/>
  <c r="B562" i="952"/>
  <c r="B718" i="952"/>
  <c r="B668" i="952"/>
  <c r="B478" i="952"/>
  <c r="B425" i="952"/>
  <c r="N397" i="952"/>
  <c r="L397" i="952"/>
  <c r="B680" i="952"/>
  <c r="B480" i="952"/>
  <c r="B665" i="952"/>
  <c r="B404" i="952"/>
  <c r="B434" i="952"/>
  <c r="B589" i="952"/>
  <c r="B782" i="952"/>
  <c r="B486" i="952"/>
  <c r="B340" i="952"/>
  <c r="B368" i="952"/>
  <c r="B397" i="952"/>
  <c r="B284" i="952"/>
  <c r="B706" i="952"/>
  <c r="B778" i="952"/>
  <c r="B554" i="952"/>
  <c r="B603" i="952"/>
  <c r="B402" i="952"/>
  <c r="L382" i="952"/>
  <c r="N382" i="952"/>
  <c r="B268" i="952"/>
  <c r="B646" i="952"/>
  <c r="B703" i="952"/>
  <c r="B466" i="952"/>
  <c r="B418" i="952"/>
  <c r="L729" i="952"/>
  <c r="B616" i="952"/>
  <c r="B634" i="952"/>
  <c r="B539" i="952"/>
  <c r="B525" i="952"/>
  <c r="B351" i="952"/>
  <c r="N87" i="952"/>
  <c r="L87" i="952"/>
  <c r="N86" i="952"/>
  <c r="L86" i="952"/>
  <c r="B233" i="952"/>
  <c r="B269" i="952"/>
  <c r="B701" i="952"/>
  <c r="B426" i="952"/>
  <c r="B488" i="952"/>
  <c r="B638" i="952"/>
  <c r="N111" i="952"/>
  <c r="L111" i="952"/>
  <c r="B248" i="952"/>
  <c r="B235" i="952"/>
  <c r="B731" i="952"/>
  <c r="B576" i="952"/>
  <c r="B649" i="952"/>
  <c r="B396" i="952"/>
  <c r="B724" i="952"/>
  <c r="B373" i="952"/>
  <c r="B295" i="952"/>
  <c r="B681" i="952"/>
  <c r="B597" i="952"/>
  <c r="B535" i="952"/>
  <c r="B585" i="952"/>
  <c r="B697" i="952"/>
  <c r="B473" i="952"/>
  <c r="B253" i="952"/>
  <c r="N500" i="952"/>
  <c r="L500" i="952"/>
  <c r="B749" i="952"/>
  <c r="B635" i="952"/>
  <c r="B357" i="952"/>
  <c r="B740" i="952"/>
  <c r="B528" i="952"/>
  <c r="B454" i="952"/>
  <c r="N395" i="952"/>
  <c r="L395" i="952"/>
  <c r="N384" i="952"/>
  <c r="B604" i="952"/>
  <c r="B710" i="952"/>
  <c r="B575" i="952"/>
  <c r="B442" i="952"/>
  <c r="B720" i="952"/>
  <c r="B511" i="952"/>
  <c r="B591" i="952"/>
  <c r="B417" i="952"/>
  <c r="B411" i="952"/>
  <c r="B618" i="952"/>
  <c r="B382" i="952"/>
  <c r="B430" i="952"/>
  <c r="B586" i="952"/>
  <c r="N103" i="952"/>
  <c r="L103" i="952"/>
  <c r="B275" i="952"/>
  <c r="B713" i="952"/>
  <c r="B705" i="952"/>
  <c r="B471" i="952"/>
  <c r="B439" i="952"/>
  <c r="B344" i="952"/>
  <c r="B272" i="952"/>
  <c r="L380" i="952"/>
  <c r="N380" i="952"/>
  <c r="N369" i="952"/>
  <c r="B259" i="952"/>
  <c r="B754" i="952"/>
  <c r="B719" i="952"/>
  <c r="B556" i="952"/>
  <c r="B352" i="952"/>
  <c r="L412" i="952"/>
  <c r="N412" i="952"/>
  <c r="B781" i="952"/>
  <c r="B698" i="952"/>
  <c r="B449" i="952"/>
  <c r="B406" i="952"/>
  <c r="B342" i="952"/>
  <c r="N88" i="952"/>
  <c r="L88" i="952"/>
  <c r="N100" i="952"/>
  <c r="L100" i="952"/>
  <c r="B260" i="952"/>
  <c r="B543" i="952"/>
  <c r="B637" i="952"/>
  <c r="B458" i="952"/>
  <c r="B476" i="952"/>
  <c r="N109" i="952"/>
  <c r="L109" i="952"/>
  <c r="B254" i="952"/>
  <c r="N96" i="952"/>
  <c r="L96" i="952"/>
  <c r="B391" i="952"/>
  <c r="B238" i="952"/>
  <c r="B424" i="952"/>
  <c r="B440" i="952"/>
  <c r="B523" i="952"/>
  <c r="B750" i="952"/>
  <c r="B621" i="952"/>
  <c r="B622" i="952"/>
  <c r="B469" i="952"/>
  <c r="B244" i="952"/>
  <c r="B704" i="952"/>
  <c r="B768" i="952"/>
  <c r="B757" i="952"/>
  <c r="B514" i="952"/>
  <c r="B501" i="952"/>
  <c r="L472" i="952"/>
  <c r="N472" i="952"/>
  <c r="B266" i="952"/>
  <c r="B293" i="952"/>
  <c r="B694" i="952"/>
  <c r="B529" i="952"/>
  <c r="B569" i="952"/>
  <c r="B379" i="952"/>
  <c r="B355" i="952"/>
  <c r="B738" i="952"/>
  <c r="B725" i="952"/>
  <c r="B506" i="952"/>
  <c r="B465" i="952"/>
  <c r="N504" i="952"/>
  <c r="B247" i="952"/>
  <c r="B709" i="952"/>
  <c r="B780" i="952"/>
  <c r="B561" i="952"/>
  <c r="B612" i="952"/>
  <c r="B403" i="952"/>
  <c r="B242" i="952"/>
  <c r="B777" i="952"/>
  <c r="B721" i="952"/>
  <c r="B559" i="952"/>
  <c r="B343" i="952"/>
  <c r="B380" i="952"/>
  <c r="N487" i="952"/>
  <c r="L487" i="952"/>
  <c r="B278" i="952"/>
  <c r="B366" i="952"/>
  <c r="B739" i="952"/>
  <c r="B568" i="952"/>
  <c r="B613" i="952"/>
  <c r="B445" i="952"/>
  <c r="B410" i="952"/>
  <c r="L410" i="952"/>
  <c r="N410" i="952"/>
  <c r="N399" i="952"/>
  <c r="B728" i="952"/>
  <c r="B695" i="952"/>
  <c r="B541" i="952"/>
  <c r="B361" i="952"/>
  <c r="N92" i="952"/>
  <c r="L92" i="952"/>
  <c r="B282" i="952"/>
  <c r="B783" i="952"/>
  <c r="B776" i="952"/>
  <c r="B524" i="952"/>
  <c r="B510" i="952"/>
  <c r="B337" i="952"/>
  <c r="N489" i="952"/>
  <c r="N113" i="952"/>
  <c r="L113" i="952"/>
  <c r="N459" i="952"/>
  <c r="B261" i="952"/>
  <c r="L494" i="80"/>
  <c r="L490" i="80"/>
  <c r="N44" i="953" l="1"/>
  <c r="L44" i="953"/>
  <c r="L354" i="956"/>
  <c r="N43" i="952"/>
  <c r="L43" i="952"/>
  <c r="N42" i="953"/>
  <c r="L42" i="953"/>
  <c r="N46" i="953"/>
  <c r="L46" i="953"/>
  <c r="I974" i="953"/>
  <c r="I23" i="953"/>
  <c r="I83" i="953"/>
  <c r="I104" i="953"/>
  <c r="I1034" i="952"/>
  <c r="I45" i="952"/>
  <c r="B56" i="952" s="1"/>
  <c r="B43" i="952"/>
  <c r="B41" i="952"/>
  <c r="B39" i="952"/>
  <c r="B37" i="952"/>
  <c r="N22" i="952"/>
  <c r="B32" i="952"/>
  <c r="B28" i="952"/>
  <c r="B24" i="952"/>
  <c r="B44" i="952"/>
  <c r="B42" i="952"/>
  <c r="B40" i="952"/>
  <c r="B38" i="952"/>
  <c r="N23" i="952"/>
  <c r="B34" i="952"/>
  <c r="B30" i="952"/>
  <c r="B26" i="952"/>
  <c r="N37" i="952"/>
  <c r="B35" i="952"/>
  <c r="B33" i="952"/>
  <c r="B31" i="952"/>
  <c r="B29" i="952"/>
  <c r="B27" i="952"/>
  <c r="B25" i="952"/>
  <c r="L37" i="952"/>
  <c r="B23" i="952"/>
  <c r="I94" i="952"/>
  <c r="I108" i="952"/>
  <c r="I102" i="952"/>
  <c r="I115" i="952"/>
  <c r="I83" i="952"/>
  <c r="L354" i="955"/>
  <c r="I912" i="959"/>
  <c r="L444" i="960"/>
  <c r="L354" i="961"/>
  <c r="L339" i="958"/>
  <c r="L474" i="954"/>
  <c r="L369" i="957"/>
  <c r="L474" i="961"/>
  <c r="L339" i="959"/>
  <c r="L504" i="957"/>
  <c r="L369" i="952"/>
  <c r="L489" i="952"/>
  <c r="L459" i="959"/>
  <c r="L399" i="956"/>
  <c r="L309" i="953"/>
  <c r="L504" i="960"/>
  <c r="L429" i="952"/>
  <c r="L459" i="955"/>
  <c r="L399" i="958"/>
  <c r="L414" i="952"/>
  <c r="L369" i="961"/>
  <c r="L384" i="952"/>
  <c r="L459" i="952"/>
  <c r="L384" i="961"/>
  <c r="L459" i="957"/>
  <c r="L324" i="952"/>
  <c r="L429" i="953"/>
  <c r="L474" i="957"/>
  <c r="L459" i="960"/>
  <c r="L504" i="952"/>
  <c r="L474" i="956"/>
  <c r="L324" i="955"/>
  <c r="L489" i="956"/>
  <c r="L339" i="957"/>
  <c r="L369" i="960"/>
  <c r="L309" i="955"/>
  <c r="L489" i="955"/>
  <c r="L369" i="955"/>
  <c r="L339" i="956"/>
  <c r="L489" i="957"/>
  <c r="L429" i="959"/>
  <c r="L444" i="959"/>
  <c r="L369" i="959"/>
  <c r="L444" i="961"/>
  <c r="L504" i="956"/>
  <c r="L504" i="955"/>
  <c r="L414" i="956"/>
  <c r="L399" i="961"/>
  <c r="K544" i="80"/>
  <c r="L399" i="952"/>
  <c r="L474" i="952"/>
  <c r="L459" i="953"/>
  <c r="L489" i="958"/>
  <c r="L489" i="959"/>
  <c r="L309" i="954"/>
  <c r="L324" i="956"/>
  <c r="L504" i="953"/>
  <c r="L489" i="953"/>
  <c r="L384" i="954"/>
  <c r="L339" i="955"/>
  <c r="L354" i="959"/>
  <c r="L384" i="960"/>
  <c r="L444" i="952"/>
  <c r="L444" i="954"/>
  <c r="L354" i="958"/>
  <c r="L414" i="958"/>
  <c r="L399" i="959"/>
  <c r="L82" i="961"/>
  <c r="L101" i="961"/>
  <c r="I912" i="961"/>
  <c r="I1032" i="961"/>
  <c r="L324" i="961"/>
  <c r="L414" i="961"/>
  <c r="L101" i="959"/>
  <c r="L82" i="959"/>
  <c r="L101" i="960"/>
  <c r="I1032" i="960"/>
  <c r="I912" i="960"/>
  <c r="L324" i="960"/>
  <c r="L414" i="960"/>
  <c r="L82" i="960"/>
  <c r="L309" i="960"/>
  <c r="L429" i="960"/>
  <c r="L101" i="956"/>
  <c r="L101" i="957"/>
  <c r="L369" i="958"/>
  <c r="L82" i="958"/>
  <c r="J73" i="958" s="1"/>
  <c r="J3" i="958" s="1"/>
  <c r="L82" i="957"/>
  <c r="L444" i="957"/>
  <c r="L384" i="957"/>
  <c r="I1032" i="957"/>
  <c r="I912" i="957"/>
  <c r="L82" i="956"/>
  <c r="L429" i="956"/>
  <c r="L101" i="954"/>
  <c r="L82" i="955"/>
  <c r="L101" i="955"/>
  <c r="L384" i="955"/>
  <c r="L444" i="955"/>
  <c r="L399" i="955"/>
  <c r="L429" i="955"/>
  <c r="I1032" i="955"/>
  <c r="I912" i="955"/>
  <c r="L414" i="955"/>
  <c r="L82" i="954"/>
  <c r="I1032" i="954"/>
  <c r="I912" i="954"/>
  <c r="I1032" i="953"/>
  <c r="I912" i="953"/>
  <c r="L399" i="953"/>
  <c r="L324" i="953"/>
  <c r="L339" i="953"/>
  <c r="L414" i="953"/>
  <c r="L339" i="952"/>
  <c r="I1032" i="952"/>
  <c r="I912" i="952"/>
  <c r="L489" i="80"/>
  <c r="L491" i="80"/>
  <c r="L492" i="80"/>
  <c r="L485" i="80"/>
  <c r="L493" i="80"/>
  <c r="L486" i="80"/>
  <c r="L487" i="80"/>
  <c r="L488" i="80"/>
  <c r="N70" i="953" l="1"/>
  <c r="B56" i="953"/>
  <c r="B48" i="953"/>
  <c r="B43" i="953"/>
  <c r="B41" i="953"/>
  <c r="B39" i="953"/>
  <c r="B37" i="953"/>
  <c r="N22" i="953"/>
  <c r="C70" i="953"/>
  <c r="B61" i="953"/>
  <c r="B53" i="953"/>
  <c r="B45" i="953"/>
  <c r="B58" i="953"/>
  <c r="B50" i="953"/>
  <c r="N36" i="953"/>
  <c r="B34" i="953"/>
  <c r="B32" i="953"/>
  <c r="B30" i="953"/>
  <c r="B28" i="953"/>
  <c r="B26" i="953"/>
  <c r="B55" i="953"/>
  <c r="B47" i="953"/>
  <c r="B24" i="953"/>
  <c r="B60" i="953"/>
  <c r="B52" i="953"/>
  <c r="B44" i="953"/>
  <c r="B42" i="953"/>
  <c r="B40" i="953"/>
  <c r="B38" i="953"/>
  <c r="B57" i="953"/>
  <c r="B49" i="953"/>
  <c r="N23" i="953"/>
  <c r="B54" i="953"/>
  <c r="B46" i="953"/>
  <c r="N37" i="953"/>
  <c r="B35" i="953"/>
  <c r="B33" i="953"/>
  <c r="B31" i="953"/>
  <c r="B29" i="953"/>
  <c r="B27" i="953"/>
  <c r="B25" i="953"/>
  <c r="B59" i="953"/>
  <c r="B51" i="953"/>
  <c r="L37" i="953"/>
  <c r="L36" i="953" s="1"/>
  <c r="B23" i="953"/>
  <c r="B63" i="953"/>
  <c r="B67" i="953"/>
  <c r="B65" i="953"/>
  <c r="B69" i="953"/>
  <c r="B64" i="953"/>
  <c r="B66" i="953"/>
  <c r="B68" i="953"/>
  <c r="N104" i="953"/>
  <c r="L104" i="953"/>
  <c r="L101" i="953" s="1"/>
  <c r="P76" i="953"/>
  <c r="N101" i="953"/>
  <c r="B113" i="953"/>
  <c r="B87" i="953"/>
  <c r="B106" i="953"/>
  <c r="N83" i="953"/>
  <c r="B102" i="953"/>
  <c r="B85" i="953"/>
  <c r="B105" i="953"/>
  <c r="B98" i="953"/>
  <c r="B83" i="953"/>
  <c r="B115" i="953"/>
  <c r="B104" i="953"/>
  <c r="B90" i="953"/>
  <c r="B108" i="953"/>
  <c r="N82" i="953"/>
  <c r="B109" i="953"/>
  <c r="B99" i="953"/>
  <c r="L83" i="953"/>
  <c r="L82" i="953" s="1"/>
  <c r="B97" i="953"/>
  <c r="B111" i="953"/>
  <c r="B103" i="953"/>
  <c r="B95" i="953"/>
  <c r="B110" i="953"/>
  <c r="B93" i="953"/>
  <c r="B96" i="953"/>
  <c r="B94" i="953"/>
  <c r="B91" i="953"/>
  <c r="B100" i="953"/>
  <c r="B89" i="953"/>
  <c r="B92" i="953"/>
  <c r="C82" i="953"/>
  <c r="B112" i="953"/>
  <c r="B86" i="953"/>
  <c r="AC12" i="953"/>
  <c r="B88" i="953"/>
  <c r="B107" i="953"/>
  <c r="B84" i="953"/>
  <c r="B64" i="952"/>
  <c r="B63" i="952"/>
  <c r="B65" i="952"/>
  <c r="B69" i="952"/>
  <c r="B59" i="952"/>
  <c r="B46" i="952"/>
  <c r="B66" i="952"/>
  <c r="B68" i="952"/>
  <c r="B60" i="952"/>
  <c r="B58" i="952"/>
  <c r="B45" i="952"/>
  <c r="B67" i="952"/>
  <c r="B52" i="952"/>
  <c r="B49" i="952"/>
  <c r="B55" i="952"/>
  <c r="B51" i="952"/>
  <c r="B50" i="952"/>
  <c r="B54" i="952"/>
  <c r="B61" i="952"/>
  <c r="B47" i="952"/>
  <c r="N36" i="952"/>
  <c r="B57" i="952"/>
  <c r="C70" i="952"/>
  <c r="B53" i="952"/>
  <c r="N70" i="952"/>
  <c r="B48" i="952"/>
  <c r="N45" i="952"/>
  <c r="L45" i="952"/>
  <c r="L36" i="952" s="1"/>
  <c r="N108" i="952"/>
  <c r="L108" i="952"/>
  <c r="N94" i="952"/>
  <c r="L94" i="952"/>
  <c r="B83" i="952"/>
  <c r="N83" i="952"/>
  <c r="L83" i="952"/>
  <c r="B104" i="952"/>
  <c r="B88" i="952"/>
  <c r="B111" i="952"/>
  <c r="B100" i="952"/>
  <c r="AC12" i="952"/>
  <c r="B115" i="952"/>
  <c r="B97" i="952"/>
  <c r="B99" i="952"/>
  <c r="B105" i="952"/>
  <c r="C82" i="952"/>
  <c r="B94" i="952"/>
  <c r="B84" i="952"/>
  <c r="B109" i="952"/>
  <c r="B93" i="952"/>
  <c r="B92" i="952"/>
  <c r="B87" i="952"/>
  <c r="B95" i="952"/>
  <c r="B90" i="952"/>
  <c r="B85" i="952"/>
  <c r="B102" i="952"/>
  <c r="B113" i="952"/>
  <c r="B107" i="952"/>
  <c r="B89" i="952"/>
  <c r="B96" i="952"/>
  <c r="B86" i="952"/>
  <c r="B110" i="952"/>
  <c r="B91" i="952"/>
  <c r="B112" i="952"/>
  <c r="N82" i="952"/>
  <c r="B103" i="952"/>
  <c r="B98" i="952"/>
  <c r="B106" i="952"/>
  <c r="B108" i="952"/>
  <c r="N114" i="952"/>
  <c r="N115" i="952"/>
  <c r="L115" i="952"/>
  <c r="L114" i="952" s="1"/>
  <c r="P76" i="952"/>
  <c r="N102" i="952"/>
  <c r="L102" i="952"/>
  <c r="N101" i="952"/>
  <c r="J73" i="961"/>
  <c r="J3" i="961" s="1"/>
  <c r="J73" i="959"/>
  <c r="J3" i="959" s="1"/>
  <c r="J73" i="960"/>
  <c r="J3" i="960" s="1"/>
  <c r="J73" i="956"/>
  <c r="J3" i="956" s="1"/>
  <c r="J73" i="957"/>
  <c r="J3" i="957" s="1"/>
  <c r="J73" i="955"/>
  <c r="J3" i="955" s="1"/>
  <c r="J73" i="953"/>
  <c r="J73" i="954"/>
  <c r="J3" i="954" s="1"/>
  <c r="L82" i="952" l="1"/>
  <c r="L101" i="952"/>
  <c r="J3" i="953"/>
  <c r="J73" i="952"/>
  <c r="J3" i="952" s="1"/>
  <c r="K215" i="80"/>
  <c r="K213" i="80"/>
  <c r="K209" i="80"/>
  <c r="K220" i="80"/>
  <c r="K219" i="80"/>
  <c r="K216" i="80"/>
  <c r="K206" i="80"/>
  <c r="K207" i="80"/>
  <c r="K222" i="80"/>
  <c r="K205" i="80"/>
  <c r="K15" i="80"/>
  <c r="K208" i="80"/>
  <c r="K214" i="80"/>
  <c r="K218" i="80"/>
  <c r="L580" i="80"/>
  <c r="L579" i="80"/>
  <c r="L578" i="80"/>
  <c r="L577" i="80"/>
  <c r="L576" i="80"/>
  <c r="L575" i="80"/>
  <c r="L574" i="80"/>
  <c r="L573" i="80"/>
  <c r="L572" i="80"/>
  <c r="L571" i="80"/>
  <c r="L570" i="80"/>
  <c r="L569" i="80"/>
  <c r="L568" i="80"/>
  <c r="L567" i="80"/>
  <c r="L566" i="80"/>
  <c r="L565" i="80"/>
  <c r="L564" i="80"/>
  <c r="L563" i="80"/>
  <c r="L562" i="80"/>
  <c r="L561" i="80"/>
  <c r="L560" i="80"/>
  <c r="L559" i="80"/>
  <c r="L558" i="80"/>
  <c r="L557" i="80"/>
  <c r="L556" i="80"/>
  <c r="L555" i="80"/>
  <c r="L554" i="80"/>
  <c r="L553" i="80"/>
  <c r="L552" i="80"/>
  <c r="L551" i="80"/>
  <c r="L550" i="80"/>
  <c r="L549" i="80"/>
  <c r="L548" i="80"/>
  <c r="L547" i="80"/>
  <c r="L545" i="80"/>
  <c r="L544" i="80"/>
  <c r="L543" i="80"/>
  <c r="L542" i="80"/>
  <c r="L541" i="80"/>
  <c r="L540" i="80"/>
  <c r="L539" i="80"/>
  <c r="L537" i="80"/>
  <c r="L502" i="80"/>
  <c r="L501" i="80"/>
  <c r="L500" i="80"/>
  <c r="L499" i="80"/>
  <c r="L498" i="80"/>
  <c r="L497" i="80"/>
  <c r="L496" i="80"/>
  <c r="L495" i="80"/>
  <c r="L446" i="80"/>
  <c r="L445" i="80"/>
  <c r="L444" i="80"/>
  <c r="L443" i="80"/>
  <c r="L442" i="80"/>
  <c r="L441" i="80"/>
  <c r="L440" i="80"/>
  <c r="L439" i="80"/>
  <c r="L438" i="80"/>
  <c r="L437" i="80"/>
  <c r="L436" i="80"/>
  <c r="L435" i="80"/>
  <c r="L434" i="80"/>
  <c r="L433" i="80"/>
  <c r="L432" i="80"/>
  <c r="L431" i="80"/>
  <c r="L430" i="80"/>
  <c r="L429" i="80"/>
  <c r="L428" i="80"/>
  <c r="L427" i="80"/>
  <c r="L426" i="80"/>
  <c r="L425" i="80"/>
  <c r="L424" i="80"/>
  <c r="L423" i="80"/>
  <c r="L422" i="80"/>
  <c r="L421" i="80"/>
  <c r="L420" i="80"/>
  <c r="L419" i="80"/>
  <c r="L331" i="80"/>
  <c r="L330" i="80"/>
  <c r="L329" i="80"/>
  <c r="L328" i="80"/>
  <c r="L327" i="80"/>
  <c r="L326" i="80"/>
  <c r="L325" i="80"/>
  <c r="L324" i="80"/>
  <c r="L323" i="80"/>
  <c r="L322" i="80"/>
  <c r="L321" i="80"/>
  <c r="L320" i="80"/>
  <c r="L319" i="80"/>
  <c r="L318" i="80"/>
  <c r="L317" i="80"/>
  <c r="L316" i="80"/>
  <c r="L315" i="80"/>
  <c r="L314" i="80"/>
  <c r="L313" i="80"/>
  <c r="L312" i="80"/>
  <c r="L311" i="80"/>
  <c r="L310" i="80"/>
  <c r="L309" i="80"/>
  <c r="L308" i="80"/>
  <c r="L307" i="80"/>
  <c r="L306" i="80"/>
  <c r="L305" i="80"/>
  <c r="L291" i="80"/>
  <c r="L289" i="80"/>
  <c r="L288" i="80"/>
  <c r="L287" i="80"/>
  <c r="L286" i="80"/>
  <c r="L284" i="80"/>
  <c r="L283" i="80"/>
  <c r="L282" i="80"/>
  <c r="L281" i="80"/>
  <c r="L279" i="80"/>
  <c r="L278" i="80"/>
  <c r="L277" i="80"/>
  <c r="L275" i="80"/>
  <c r="L274" i="80"/>
  <c r="L273" i="80"/>
  <c r="L272" i="80"/>
  <c r="L271" i="80"/>
  <c r="L270" i="80"/>
  <c r="L269" i="80"/>
  <c r="L268" i="80"/>
  <c r="L267" i="80"/>
  <c r="L266" i="80"/>
  <c r="L265" i="80"/>
  <c r="L264" i="80"/>
  <c r="L263" i="80"/>
  <c r="L262" i="80"/>
  <c r="L261" i="80"/>
  <c r="L260" i="80"/>
  <c r="L259" i="80"/>
  <c r="L258" i="80"/>
  <c r="L257" i="80"/>
  <c r="L256" i="80"/>
  <c r="L255" i="80"/>
  <c r="L254" i="80"/>
  <c r="L253" i="80"/>
  <c r="L252" i="80"/>
  <c r="L251" i="80"/>
  <c r="L250" i="80"/>
  <c r="L249" i="80"/>
  <c r="L248" i="80"/>
  <c r="L247" i="80"/>
  <c r="L246" i="80"/>
  <c r="L245" i="80"/>
  <c r="L244" i="80"/>
  <c r="L243" i="80"/>
  <c r="L242" i="80"/>
  <c r="L241" i="80"/>
  <c r="L240" i="80"/>
  <c r="L239" i="80"/>
  <c r="L238" i="80"/>
  <c r="L237" i="80"/>
  <c r="L236" i="80"/>
  <c r="L235" i="80"/>
  <c r="L234" i="80"/>
  <c r="L233" i="80"/>
  <c r="L232" i="80"/>
  <c r="L231" i="80"/>
  <c r="L230" i="80"/>
  <c r="L229" i="80"/>
  <c r="L228" i="80"/>
  <c r="L227" i="80"/>
  <c r="L226" i="80"/>
  <c r="L225" i="80"/>
  <c r="L224" i="80"/>
  <c r="L223" i="80"/>
  <c r="L222" i="80"/>
  <c r="L221" i="80"/>
  <c r="L220" i="80"/>
  <c r="L219" i="80"/>
  <c r="L218" i="80"/>
  <c r="L217" i="80"/>
  <c r="L216" i="80"/>
  <c r="L215" i="80"/>
  <c r="L214" i="80"/>
  <c r="L213" i="80"/>
  <c r="L212" i="80"/>
  <c r="L211" i="80"/>
  <c r="L210" i="80"/>
  <c r="L209" i="80"/>
  <c r="L208" i="80"/>
  <c r="L207" i="80"/>
  <c r="L206" i="80"/>
  <c r="L205" i="80"/>
  <c r="L204" i="80"/>
  <c r="L203" i="80"/>
  <c r="L132" i="80"/>
  <c r="L131" i="80"/>
  <c r="L130" i="80"/>
  <c r="L129" i="80"/>
  <c r="K25" i="80" l="1"/>
  <c r="W6" i="80"/>
  <c r="W6" i="911"/>
  <c r="X6" i="911"/>
  <c r="V6" i="80"/>
  <c r="M87" i="911" l="1"/>
  <c r="L26" i="80" l="1"/>
  <c r="L25" i="80"/>
  <c r="L24" i="80"/>
  <c r="L23" i="80"/>
  <c r="L22" i="80"/>
  <c r="L21" i="80"/>
  <c r="L20" i="80"/>
  <c r="L19" i="80"/>
  <c r="L18" i="80"/>
  <c r="L17" i="80"/>
  <c r="L16" i="80"/>
  <c r="K26" i="80" l="1"/>
  <c r="K24" i="80"/>
  <c r="L447" i="80"/>
  <c r="K288" i="80" l="1"/>
  <c r="K289" i="80"/>
  <c r="K14" i="80" l="1"/>
  <c r="K284" i="80"/>
  <c r="K282" i="80"/>
  <c r="K283" i="80"/>
  <c r="K287" i="80"/>
  <c r="K281" i="80"/>
  <c r="L617" i="80"/>
  <c r="K192" i="80" l="1"/>
  <c r="K189" i="80"/>
  <c r="K193" i="80"/>
  <c r="K191" i="80"/>
  <c r="K190" i="80"/>
  <c r="K195" i="80"/>
  <c r="K194" i="80"/>
  <c r="K578" i="80"/>
  <c r="K196" i="80"/>
  <c r="L196" i="80"/>
  <c r="L189" i="80"/>
  <c r="L190" i="80"/>
  <c r="L195" i="80"/>
  <c r="L191" i="80"/>
  <c r="L192" i="80"/>
  <c r="L193" i="80"/>
  <c r="L194" i="80"/>
  <c r="O189" i="80"/>
  <c r="O196" i="80"/>
  <c r="O195" i="80"/>
  <c r="O193" i="80"/>
  <c r="O192" i="80"/>
  <c r="O190" i="80"/>
  <c r="O194" i="80"/>
  <c r="O191" i="80"/>
  <c r="M190" i="80" l="1"/>
  <c r="M193" i="80"/>
  <c r="M189" i="80"/>
  <c r="M192" i="80"/>
  <c r="M196" i="80"/>
  <c r="M191" i="80"/>
  <c r="M194" i="80"/>
  <c r="M195" i="80"/>
  <c r="BN37" i="56" l="1"/>
  <c r="K242" i="80" l="1"/>
  <c r="K243" i="80"/>
  <c r="O410" i="80"/>
  <c r="O276" i="80"/>
  <c r="O280" i="80"/>
  <c r="O285" i="80"/>
  <c r="O290" i="80"/>
  <c r="O292" i="80"/>
  <c r="O293" i="80"/>
  <c r="O294" i="80"/>
  <c r="O295" i="80"/>
  <c r="O296" i="80"/>
  <c r="O297" i="80"/>
  <c r="O298" i="80"/>
  <c r="O299" i="80"/>
  <c r="O300" i="80"/>
  <c r="O301" i="80"/>
  <c r="O302" i="80"/>
  <c r="O303" i="80"/>
  <c r="O27" i="80"/>
  <c r="T56" i="194"/>
  <c r="T53" i="194"/>
  <c r="T59" i="194"/>
  <c r="T52" i="194"/>
  <c r="T54" i="194"/>
  <c r="T58" i="194"/>
  <c r="T60" i="194"/>
  <c r="T61" i="194"/>
  <c r="T57" i="194"/>
  <c r="T55" i="194"/>
  <c r="O627" i="80" l="1"/>
  <c r="O626" i="80"/>
  <c r="BK6" i="56" l="1"/>
  <c r="Q6" i="56"/>
  <c r="Q5" i="56"/>
  <c r="N6" i="56"/>
  <c r="N5" i="56"/>
  <c r="G33" i="55"/>
  <c r="L32" i="55"/>
  <c r="K129" i="80" l="1"/>
  <c r="AA38" i="53"/>
  <c r="O129" i="80"/>
  <c r="L33" i="55"/>
  <c r="G34" i="55" s="1"/>
  <c r="N86" i="53"/>
  <c r="N85" i="53"/>
  <c r="O80" i="53" l="1"/>
  <c r="N80" i="53"/>
  <c r="K109" i="53" s="1"/>
  <c r="K108" i="53"/>
  <c r="P6" i="56"/>
  <c r="P5" i="56"/>
  <c r="P4" i="56"/>
  <c r="P3" i="56"/>
  <c r="P36" i="56" l="1"/>
  <c r="P33" i="56"/>
  <c r="P37" i="56"/>
  <c r="P35" i="56"/>
  <c r="P34" i="56"/>
  <c r="P32" i="56"/>
  <c r="P7" i="56"/>
  <c r="P10" i="56"/>
  <c r="P9" i="56"/>
  <c r="P8" i="56"/>
  <c r="P11" i="56"/>
  <c r="N84" i="53"/>
  <c r="O84" i="53"/>
  <c r="K244" i="80" l="1"/>
  <c r="M244" i="80" s="1"/>
  <c r="K274" i="80"/>
  <c r="K241" i="80"/>
  <c r="O243" i="80"/>
  <c r="O244" i="80"/>
  <c r="O274" i="80"/>
  <c r="O242" i="80"/>
  <c r="O241" i="80"/>
  <c r="M243" i="80"/>
  <c r="M242" i="80"/>
  <c r="L158" i="53" l="1"/>
  <c r="L157" i="53"/>
  <c r="L156" i="53"/>
  <c r="L155" i="53"/>
  <c r="L154" i="53"/>
  <c r="L153" i="53"/>
  <c r="L152" i="53"/>
  <c r="L151" i="53"/>
  <c r="L150" i="53"/>
  <c r="L149" i="53"/>
  <c r="BB37" i="56"/>
  <c r="BD37" i="56"/>
  <c r="BH37" i="56"/>
  <c r="AY37" i="56"/>
  <c r="BA37" i="56"/>
  <c r="BE37" i="56"/>
  <c r="BG37" i="56"/>
  <c r="BF37" i="56"/>
  <c r="BC37" i="56"/>
  <c r="AZ37" i="56"/>
  <c r="K579" i="80" l="1"/>
  <c r="K580" i="80"/>
  <c r="M580" i="80" s="1"/>
  <c r="O579" i="80"/>
  <c r="O580" i="80"/>
  <c r="O287" i="80"/>
  <c r="O26" i="80"/>
  <c r="K185" i="80" l="1"/>
  <c r="K184" i="80"/>
  <c r="K162" i="80"/>
  <c r="K182" i="80"/>
  <c r="K168" i="80"/>
  <c r="K164" i="80"/>
  <c r="K187" i="80"/>
  <c r="K166" i="80"/>
  <c r="K186" i="80"/>
  <c r="K183" i="80"/>
  <c r="K179" i="80"/>
  <c r="K180" i="80"/>
  <c r="K177" i="80"/>
  <c r="K178" i="80"/>
  <c r="K160" i="80"/>
  <c r="K181" i="80"/>
  <c r="L164" i="80"/>
  <c r="L179" i="80"/>
  <c r="L177" i="80"/>
  <c r="L160" i="80"/>
  <c r="L184" i="80"/>
  <c r="L180" i="80"/>
  <c r="L187" i="80"/>
  <c r="L186" i="80"/>
  <c r="L178" i="80"/>
  <c r="L158" i="80"/>
  <c r="L185" i="80"/>
  <c r="L162" i="80"/>
  <c r="L183" i="80"/>
  <c r="L166" i="80"/>
  <c r="L181" i="80"/>
  <c r="L182" i="80"/>
  <c r="L168" i="80"/>
  <c r="O181" i="80"/>
  <c r="O187" i="80"/>
  <c r="O162" i="80"/>
  <c r="O184" i="80"/>
  <c r="O186" i="80"/>
  <c r="O164" i="80"/>
  <c r="O182" i="80"/>
  <c r="O166" i="80"/>
  <c r="O179" i="80"/>
  <c r="O183" i="80"/>
  <c r="O160" i="80"/>
  <c r="O185" i="80"/>
  <c r="O177" i="80"/>
  <c r="O180" i="80"/>
  <c r="O178" i="80"/>
  <c r="O168" i="80"/>
  <c r="M185" i="80" l="1"/>
  <c r="M179" i="80"/>
  <c r="M160" i="80"/>
  <c r="M177" i="80"/>
  <c r="K158" i="80"/>
  <c r="M158" i="80" s="1"/>
  <c r="M162" i="80"/>
  <c r="M164" i="80"/>
  <c r="M181" i="80"/>
  <c r="M183" i="80"/>
  <c r="M187" i="80"/>
  <c r="M166" i="80"/>
  <c r="M168" i="80"/>
  <c r="O158" i="80"/>
  <c r="K259" i="80" l="1"/>
  <c r="K263" i="80"/>
  <c r="K264" i="80"/>
  <c r="K260" i="80"/>
  <c r="O263" i="80"/>
  <c r="O259" i="80"/>
  <c r="O260" i="80"/>
  <c r="O264" i="80"/>
  <c r="O625" i="80"/>
  <c r="L148" i="80" l="1"/>
  <c r="L149" i="80"/>
  <c r="L150" i="80"/>
  <c r="L151" i="80"/>
  <c r="L152" i="80"/>
  <c r="L153" i="80"/>
  <c r="L135" i="80"/>
  <c r="L146" i="80"/>
  <c r="L138" i="80"/>
  <c r="L140" i="80"/>
  <c r="L141" i="80"/>
  <c r="L143" i="80"/>
  <c r="L144" i="80"/>
  <c r="L133" i="80"/>
  <c r="L145" i="80"/>
  <c r="L137" i="80"/>
  <c r="L147" i="80"/>
  <c r="BK3" i="56"/>
  <c r="BK4" i="56"/>
  <c r="BK5" i="56"/>
  <c r="BK7" i="56"/>
  <c r="BK8" i="56"/>
  <c r="BK9" i="56"/>
  <c r="BK10" i="56"/>
  <c r="BK11" i="56"/>
  <c r="BK12" i="56"/>
  <c r="BK13" i="56"/>
  <c r="BK14" i="56"/>
  <c r="BK15" i="56"/>
  <c r="BK16" i="56"/>
  <c r="BK17" i="56"/>
  <c r="BK18" i="56"/>
  <c r="BK19" i="56"/>
  <c r="BK20" i="56"/>
  <c r="BK21" i="56"/>
  <c r="BK22" i="56"/>
  <c r="BK23" i="56"/>
  <c r="BK24" i="56"/>
  <c r="BK25" i="56"/>
  <c r="BK26" i="56"/>
  <c r="BK27" i="56"/>
  <c r="BK28" i="56"/>
  <c r="BK29" i="56"/>
  <c r="BK30" i="56"/>
  <c r="BK31" i="56"/>
  <c r="BK32" i="56"/>
  <c r="BK33" i="56"/>
  <c r="BK34" i="56"/>
  <c r="BK35" i="56"/>
  <c r="BK36" i="56"/>
  <c r="BK37" i="56"/>
  <c r="BK2" i="56"/>
  <c r="E12" i="53"/>
  <c r="K150" i="80" l="1"/>
  <c r="M150" i="80" s="1"/>
  <c r="K149" i="80"/>
  <c r="M149" i="80" s="1"/>
  <c r="O149" i="80"/>
  <c r="O150" i="80"/>
  <c r="K23" i="80" l="1"/>
  <c r="O23" i="80"/>
  <c r="M410" i="80"/>
  <c r="M259" i="80"/>
  <c r="M260" i="80"/>
  <c r="M274" i="80"/>
  <c r="M276" i="80"/>
  <c r="M280" i="80"/>
  <c r="M285" i="80"/>
  <c r="M287" i="80"/>
  <c r="M290" i="80"/>
  <c r="M292" i="80"/>
  <c r="M293" i="80"/>
  <c r="M294" i="80"/>
  <c r="M295" i="80"/>
  <c r="M296" i="80"/>
  <c r="M297" i="80"/>
  <c r="M298" i="80"/>
  <c r="M299" i="80"/>
  <c r="M300" i="80"/>
  <c r="M301" i="80"/>
  <c r="M302" i="80"/>
  <c r="M303" i="80"/>
  <c r="M129" i="80" l="1"/>
  <c r="M26" i="80"/>
  <c r="M27" i="80"/>
  <c r="M24" i="80" l="1"/>
  <c r="O24" i="80"/>
  <c r="L382" i="80" l="1"/>
  <c r="L378" i="80"/>
  <c r="L380" i="80"/>
  <c r="L519" i="80"/>
  <c r="L381" i="80"/>
  <c r="L388" i="80"/>
  <c r="L534" i="80"/>
  <c r="L526" i="80"/>
  <c r="L395" i="80"/>
  <c r="L387" i="80"/>
  <c r="L533" i="80"/>
  <c r="L525" i="80"/>
  <c r="L390" i="80"/>
  <c r="L520" i="80"/>
  <c r="L527" i="80"/>
  <c r="L386" i="80"/>
  <c r="L524" i="80"/>
  <c r="L393" i="80"/>
  <c r="L385" i="80"/>
  <c r="L531" i="80"/>
  <c r="L523" i="80"/>
  <c r="L528" i="80"/>
  <c r="L389" i="80"/>
  <c r="L394" i="80"/>
  <c r="L532" i="80"/>
  <c r="L392" i="80"/>
  <c r="L384" i="80"/>
  <c r="L530" i="80"/>
  <c r="L522" i="80"/>
  <c r="L363" i="80"/>
  <c r="L391" i="80"/>
  <c r="L383" i="80"/>
  <c r="L529" i="80"/>
  <c r="L521" i="80"/>
  <c r="L362" i="80"/>
  <c r="L360" i="80" l="1"/>
  <c r="L359" i="80"/>
  <c r="L358" i="80"/>
  <c r="L357" i="80"/>
  <c r="L356" i="80"/>
  <c r="L361" i="80"/>
  <c r="K176" i="80" l="1"/>
  <c r="K175" i="80"/>
  <c r="K188" i="80"/>
  <c r="L482" i="80"/>
  <c r="L480" i="80"/>
  <c r="L484" i="80"/>
  <c r="L483" i="80"/>
  <c r="L481" i="80"/>
  <c r="L175" i="80"/>
  <c r="L479" i="80"/>
  <c r="L176" i="80"/>
  <c r="L478" i="80"/>
  <c r="L188" i="80"/>
  <c r="L477" i="80"/>
  <c r="O175" i="80"/>
  <c r="O188" i="80"/>
  <c r="O176" i="80"/>
  <c r="M180" i="80"/>
  <c r="M182" i="80"/>
  <c r="M184" i="80"/>
  <c r="M186" i="80"/>
  <c r="M178" i="80"/>
  <c r="M176" i="80" l="1"/>
  <c r="M188" i="80"/>
  <c r="M175" i="80"/>
  <c r="C129" i="54"/>
  <c r="F142" i="54" l="1"/>
  <c r="F134" i="54"/>
  <c r="R6" i="56" s="1"/>
  <c r="F141" i="54"/>
  <c r="F139" i="54"/>
  <c r="F138" i="54"/>
  <c r="F137" i="54"/>
  <c r="F132" i="54"/>
  <c r="R4" i="56" s="1"/>
  <c r="F136" i="54"/>
  <c r="F129" i="54"/>
  <c r="F135" i="54"/>
  <c r="F130" i="54"/>
  <c r="F133" i="54"/>
  <c r="F140" i="54"/>
  <c r="F131" i="54"/>
  <c r="R3" i="56" s="1"/>
  <c r="K568" i="80" l="1"/>
  <c r="M568" i="80" s="1"/>
  <c r="K560" i="80"/>
  <c r="M560" i="80" s="1"/>
  <c r="O568" i="80"/>
  <c r="O560" i="80"/>
  <c r="K569" i="80" l="1"/>
  <c r="M569" i="80" s="1"/>
  <c r="K559" i="80"/>
  <c r="M559" i="80" s="1"/>
  <c r="O569" i="80"/>
  <c r="O559" i="80"/>
  <c r="BM2" i="56"/>
  <c r="BM6" i="56" s="1"/>
  <c r="BL2" i="56"/>
  <c r="BL6" i="56" s="1"/>
  <c r="C17" i="53"/>
  <c r="K556" i="80" l="1"/>
  <c r="M556" i="80" s="1"/>
  <c r="K555" i="80"/>
  <c r="M555" i="80" s="1"/>
  <c r="O556" i="80"/>
  <c r="O555" i="80"/>
  <c r="F11" i="53"/>
  <c r="C8" i="53"/>
  <c r="C7" i="53"/>
  <c r="K595" i="80" l="1"/>
  <c r="L597" i="80"/>
  <c r="L596" i="80"/>
  <c r="L595" i="80"/>
  <c r="O595" i="80"/>
  <c r="M595" i="80" l="1"/>
  <c r="BM36" i="56"/>
  <c r="BL31" i="56"/>
  <c r="BL20" i="56" l="1"/>
  <c r="BL21" i="56"/>
  <c r="BL3" i="56"/>
  <c r="BL37" i="56"/>
  <c r="BL12" i="56"/>
  <c r="BL28" i="56"/>
  <c r="BL29" i="56"/>
  <c r="BL36" i="56"/>
  <c r="BL4" i="56"/>
  <c r="BL13" i="56"/>
  <c r="BM10" i="56"/>
  <c r="BM18" i="56"/>
  <c r="BM34" i="56"/>
  <c r="BM13" i="56"/>
  <c r="BM37" i="56"/>
  <c r="BM7" i="56"/>
  <c r="BM15" i="56"/>
  <c r="BM23" i="56"/>
  <c r="BM31" i="56"/>
  <c r="BM26" i="56"/>
  <c r="BM4" i="56"/>
  <c r="BM21" i="56"/>
  <c r="BM29" i="56"/>
  <c r="BL8" i="56"/>
  <c r="BL16" i="56"/>
  <c r="BL24" i="56"/>
  <c r="BL32" i="56"/>
  <c r="BM9" i="56"/>
  <c r="BM17" i="56"/>
  <c r="BM25" i="56"/>
  <c r="BM33" i="56"/>
  <c r="BL10" i="56"/>
  <c r="BL18" i="56"/>
  <c r="BL26" i="56"/>
  <c r="BL34" i="56"/>
  <c r="BM8" i="56"/>
  <c r="BL11" i="56"/>
  <c r="BM16" i="56"/>
  <c r="BL19" i="56"/>
  <c r="BM24" i="56"/>
  <c r="BL27" i="56"/>
  <c r="BM32" i="56"/>
  <c r="BL35" i="56"/>
  <c r="BL5" i="56"/>
  <c r="BM11" i="56"/>
  <c r="BL22" i="56"/>
  <c r="BM27" i="56"/>
  <c r="BL30" i="56"/>
  <c r="BM35" i="56"/>
  <c r="BL14" i="56"/>
  <c r="BM19" i="56"/>
  <c r="BM5" i="56"/>
  <c r="BL9" i="56"/>
  <c r="BM14" i="56"/>
  <c r="BL17" i="56"/>
  <c r="BM22" i="56"/>
  <c r="BL25" i="56"/>
  <c r="BM30" i="56"/>
  <c r="BL33" i="56"/>
  <c r="BM3" i="56"/>
  <c r="BL7" i="56"/>
  <c r="BM12" i="56"/>
  <c r="BL15" i="56"/>
  <c r="BM20" i="56"/>
  <c r="BL23" i="56"/>
  <c r="BM28" i="56"/>
  <c r="K573" i="80" l="1"/>
  <c r="M573" i="80" s="1"/>
  <c r="K201" i="80"/>
  <c r="K575" i="80"/>
  <c r="M575" i="80" s="1"/>
  <c r="K198" i="80"/>
  <c r="K200" i="80"/>
  <c r="K199" i="80"/>
  <c r="K574" i="80"/>
  <c r="M574" i="80" s="1"/>
  <c r="K197" i="80"/>
  <c r="L200" i="80"/>
  <c r="L198" i="80"/>
  <c r="L197" i="80"/>
  <c r="L201" i="80"/>
  <c r="L199" i="80"/>
  <c r="O575" i="80"/>
  <c r="O574" i="80"/>
  <c r="O573" i="80"/>
  <c r="O198" i="80"/>
  <c r="O199" i="80"/>
  <c r="O201" i="80"/>
  <c r="O197" i="80"/>
  <c r="O200" i="80"/>
  <c r="M200" i="80" l="1"/>
  <c r="M197" i="80"/>
  <c r="M201" i="80"/>
  <c r="M198" i="80"/>
  <c r="M199" i="80"/>
  <c r="V538" i="80"/>
  <c r="L538" i="80" l="1"/>
  <c r="L535" i="80"/>
  <c r="L536" i="80"/>
  <c r="K265" i="80" l="1"/>
  <c r="M265" i="80" s="1"/>
  <c r="O265" i="80"/>
  <c r="K111" i="53"/>
  <c r="Q8" i="56"/>
  <c r="K131" i="80" l="1"/>
  <c r="M131" i="80" s="1"/>
  <c r="K231" i="80"/>
  <c r="M231" i="80" s="1"/>
  <c r="K240" i="80"/>
  <c r="M240" i="80" s="1"/>
  <c r="K245" i="80"/>
  <c r="M245" i="80" s="1"/>
  <c r="O231" i="80"/>
  <c r="O245" i="80"/>
  <c r="O240" i="80"/>
  <c r="O131" i="80"/>
  <c r="M241" i="80"/>
  <c r="E68" i="55"/>
  <c r="D68" i="55"/>
  <c r="C68" i="55"/>
  <c r="L67" i="55"/>
  <c r="C40" i="53"/>
  <c r="L68" i="55" l="1"/>
  <c r="D69" i="55" s="1"/>
  <c r="E69" i="55" l="1"/>
  <c r="C69" i="55"/>
  <c r="L69" i="55" l="1"/>
  <c r="C70" i="55" s="1"/>
  <c r="D70" i="55" l="1"/>
  <c r="E70" i="55"/>
  <c r="BJ2" i="56"/>
  <c r="C18" i="53"/>
  <c r="C14" i="53"/>
  <c r="C11" i="53"/>
  <c r="BJ8" i="56" l="1"/>
  <c r="BJ6" i="56"/>
  <c r="AH2" i="56"/>
  <c r="AH6" i="56" s="1"/>
  <c r="L70" i="55"/>
  <c r="BJ4" i="56"/>
  <c r="BJ14" i="56"/>
  <c r="BJ22" i="56"/>
  <c r="BJ30" i="56"/>
  <c r="BJ3" i="56"/>
  <c r="BJ5" i="56"/>
  <c r="BJ15" i="56"/>
  <c r="BJ23" i="56"/>
  <c r="BJ31" i="56"/>
  <c r="BJ7" i="56"/>
  <c r="BJ16" i="56"/>
  <c r="BJ24" i="56"/>
  <c r="BJ32" i="56"/>
  <c r="BJ20" i="56"/>
  <c r="BJ9" i="56"/>
  <c r="BJ17" i="56"/>
  <c r="BJ25" i="56"/>
  <c r="BJ33" i="56"/>
  <c r="BJ10" i="56"/>
  <c r="BJ18" i="56"/>
  <c r="BJ26" i="56"/>
  <c r="BJ34" i="56"/>
  <c r="BJ11" i="56"/>
  <c r="BJ19" i="56"/>
  <c r="BJ27" i="56"/>
  <c r="BJ35" i="56"/>
  <c r="BJ12" i="56"/>
  <c r="BJ28" i="56"/>
  <c r="BJ36" i="56"/>
  <c r="BJ13" i="56"/>
  <c r="BJ21" i="56"/>
  <c r="BJ29" i="56"/>
  <c r="BJ37" i="56"/>
  <c r="I28" i="194"/>
  <c r="I21" i="194"/>
  <c r="I27" i="194"/>
  <c r="I25" i="194"/>
  <c r="I24" i="194"/>
  <c r="I22" i="194"/>
  <c r="I26" i="194"/>
  <c r="I20" i="194"/>
  <c r="I29" i="194"/>
  <c r="I23" i="194"/>
  <c r="N81" i="53" l="1"/>
  <c r="C4" i="53"/>
  <c r="C3" i="53"/>
  <c r="AC15" i="960" l="1"/>
  <c r="AC15" i="961"/>
  <c r="AC15" i="959"/>
  <c r="AC15" i="957"/>
  <c r="AC15" i="958"/>
  <c r="AC15" i="956"/>
  <c r="AC15" i="954"/>
  <c r="AC15" i="955"/>
  <c r="AC15" i="953"/>
  <c r="AC15" i="952"/>
  <c r="AC17" i="952" s="1"/>
  <c r="P41" i="53"/>
  <c r="P40" i="53"/>
  <c r="R40" i="53" s="1"/>
  <c r="L111" i="53"/>
  <c r="AL7" i="56" s="1"/>
  <c r="AF17" i="952" l="1"/>
  <c r="AE17" i="952"/>
  <c r="K247" i="80"/>
  <c r="M247" i="80" s="1"/>
  <c r="O247" i="80"/>
  <c r="M71" i="55"/>
  <c r="B68" i="55" s="1"/>
  <c r="K543" i="80" l="1"/>
  <c r="M543" i="80" s="1"/>
  <c r="M544" i="80"/>
  <c r="O544" i="80"/>
  <c r="O543" i="80"/>
  <c r="O206" i="80"/>
  <c r="B71" i="55"/>
  <c r="E71" i="55"/>
  <c r="U8" i="56" s="1"/>
  <c r="C71" i="55"/>
  <c r="D71" i="55"/>
  <c r="T8" i="56" s="1"/>
  <c r="BI2" i="56"/>
  <c r="BI6" i="56" s="1"/>
  <c r="L71" i="55" l="1"/>
  <c r="S8" i="56"/>
  <c r="AB8" i="56" s="1"/>
  <c r="BI4" i="56"/>
  <c r="BI8" i="56"/>
  <c r="BI21" i="56"/>
  <c r="BI12" i="56"/>
  <c r="BI35" i="56"/>
  <c r="BI34" i="56"/>
  <c r="BI10" i="56"/>
  <c r="BI37" i="56"/>
  <c r="BI20" i="56"/>
  <c r="BI11" i="56"/>
  <c r="BI33" i="56"/>
  <c r="BI25" i="56"/>
  <c r="BI17" i="56"/>
  <c r="BI9" i="56"/>
  <c r="BI13" i="56"/>
  <c r="BI28" i="56"/>
  <c r="BI19" i="56"/>
  <c r="BI18" i="56"/>
  <c r="BI32" i="56"/>
  <c r="BI24" i="56"/>
  <c r="BI16" i="56"/>
  <c r="BI7" i="56"/>
  <c r="BI31" i="56"/>
  <c r="BI23" i="56"/>
  <c r="BI15" i="56"/>
  <c r="BI5" i="56"/>
  <c r="BI29" i="56"/>
  <c r="BI36" i="56"/>
  <c r="BI27" i="56"/>
  <c r="BI26" i="56"/>
  <c r="BI3" i="56"/>
  <c r="BI30" i="56"/>
  <c r="BI22" i="56"/>
  <c r="BI14" i="56"/>
  <c r="K577" i="80" l="1"/>
  <c r="M577" i="80" s="1"/>
  <c r="K570" i="80"/>
  <c r="M570" i="80" s="1"/>
  <c r="K572" i="80"/>
  <c r="M572" i="80" s="1"/>
  <c r="K576" i="80"/>
  <c r="M576" i="80" s="1"/>
  <c r="K571" i="80"/>
  <c r="M571" i="80" s="1"/>
  <c r="O570" i="80"/>
  <c r="O571" i="80"/>
  <c r="O572" i="80"/>
  <c r="O576" i="80"/>
  <c r="O577" i="80"/>
  <c r="O578" i="80"/>
  <c r="AM8" i="56"/>
  <c r="AN8" i="56" s="1"/>
  <c r="AO8" i="56" s="1"/>
  <c r="M578" i="80"/>
  <c r="AX2" i="56" l="1"/>
  <c r="AX8" i="56" l="1"/>
  <c r="AX6" i="56"/>
  <c r="AB37" i="56"/>
  <c r="AX4" i="56"/>
  <c r="AX37" i="56"/>
  <c r="AX23" i="56"/>
  <c r="AX24" i="56"/>
  <c r="AX16" i="56"/>
  <c r="AX15" i="56"/>
  <c r="AX7" i="56"/>
  <c r="AX32" i="56"/>
  <c r="AX31" i="56"/>
  <c r="AX3" i="56"/>
  <c r="AX5" i="56"/>
  <c r="AX21" i="56"/>
  <c r="AX13" i="56"/>
  <c r="AX36" i="56"/>
  <c r="AX20" i="56"/>
  <c r="AX35" i="56"/>
  <c r="AX27" i="56"/>
  <c r="AX19" i="56"/>
  <c r="AX11" i="56"/>
  <c r="AX34" i="56"/>
  <c r="AX26" i="56"/>
  <c r="AX18" i="56"/>
  <c r="AX10" i="56"/>
  <c r="AX29" i="56"/>
  <c r="AX28" i="56"/>
  <c r="AX12" i="56"/>
  <c r="AX33" i="56"/>
  <c r="AX25" i="56"/>
  <c r="AX17" i="56"/>
  <c r="AX9" i="56"/>
  <c r="AX30" i="56"/>
  <c r="AX22" i="56"/>
  <c r="AX14" i="56"/>
  <c r="K561" i="80" l="1"/>
  <c r="M561" i="80" s="1"/>
  <c r="O561" i="80"/>
  <c r="B32" i="58" l="1"/>
  <c r="AD2" i="56"/>
  <c r="AC2" i="56"/>
  <c r="AC6" i="56" s="1"/>
  <c r="G75" i="960" l="1"/>
  <c r="G302" i="961"/>
  <c r="F5" i="961"/>
  <c r="G218" i="960"/>
  <c r="G130" i="960"/>
  <c r="G75" i="961"/>
  <c r="G130" i="961"/>
  <c r="G130" i="958"/>
  <c r="G218" i="957"/>
  <c r="F5" i="960"/>
  <c r="G302" i="959"/>
  <c r="G130" i="959"/>
  <c r="G218" i="958"/>
  <c r="G218" i="961"/>
  <c r="G302" i="960"/>
  <c r="G75" i="959"/>
  <c r="F5" i="959"/>
  <c r="G302" i="958"/>
  <c r="G75" i="956"/>
  <c r="G302" i="955"/>
  <c r="G130" i="955"/>
  <c r="G75" i="958"/>
  <c r="F5" i="958"/>
  <c r="G218" i="956"/>
  <c r="G302" i="956"/>
  <c r="G218" i="955"/>
  <c r="G75" i="955"/>
  <c r="G218" i="959"/>
  <c r="G75" i="957"/>
  <c r="G302" i="957"/>
  <c r="G130" i="956"/>
  <c r="G130" i="957"/>
  <c r="F5" i="954"/>
  <c r="G302" i="953"/>
  <c r="F5" i="955"/>
  <c r="G130" i="954"/>
  <c r="F5" i="957"/>
  <c r="G130" i="953"/>
  <c r="G75" i="953"/>
  <c r="F5" i="956"/>
  <c r="G218" i="953"/>
  <c r="G302" i="952"/>
  <c r="F5" i="953"/>
  <c r="F5" i="952"/>
  <c r="G218" i="954"/>
  <c r="G75" i="954"/>
  <c r="G130" i="952"/>
  <c r="G75" i="952"/>
  <c r="G302" i="954"/>
  <c r="G218" i="952"/>
  <c r="AD8" i="56"/>
  <c r="AD6" i="56"/>
  <c r="AE6" i="56" s="1"/>
  <c r="AC37" i="56"/>
  <c r="AC8" i="56"/>
  <c r="M33" i="58"/>
  <c r="AD5" i="56"/>
  <c r="AD37" i="56"/>
  <c r="AD22" i="56"/>
  <c r="AD29" i="56"/>
  <c r="AD28" i="56"/>
  <c r="AD12" i="56"/>
  <c r="AD27" i="56"/>
  <c r="AD34" i="56"/>
  <c r="AD26" i="56"/>
  <c r="AD18" i="56"/>
  <c r="AD10" i="56"/>
  <c r="AD30" i="56"/>
  <c r="AD4" i="56"/>
  <c r="AD21" i="56"/>
  <c r="AD20" i="56"/>
  <c r="AD19" i="56"/>
  <c r="AD33" i="56"/>
  <c r="AD25" i="56"/>
  <c r="AD17" i="56"/>
  <c r="AD9" i="56"/>
  <c r="AD14" i="56"/>
  <c r="AD3" i="56"/>
  <c r="AD13" i="56"/>
  <c r="AD36" i="56"/>
  <c r="AD35" i="56"/>
  <c r="AD11" i="56"/>
  <c r="AD32" i="56"/>
  <c r="AD24" i="56"/>
  <c r="AD16" i="56"/>
  <c r="AD7" i="56"/>
  <c r="AD31" i="56"/>
  <c r="AD23" i="56"/>
  <c r="AD15" i="56"/>
  <c r="AE8" i="56" l="1"/>
  <c r="AE37" i="56"/>
  <c r="Q11" i="56"/>
  <c r="G58" i="55"/>
  <c r="L62" i="55"/>
  <c r="F63" i="55" l="1"/>
  <c r="Z42" i="53" l="1"/>
  <c r="L63" i="55"/>
  <c r="C42" i="53" l="1"/>
  <c r="F64" i="55"/>
  <c r="H50" i="54"/>
  <c r="M50" i="54" s="1"/>
  <c r="G50" i="54"/>
  <c r="L50" i="54" s="1"/>
  <c r="F50" i="54"/>
  <c r="K50" i="54" s="1"/>
  <c r="E50" i="54"/>
  <c r="J50" i="54" s="1"/>
  <c r="H49" i="54"/>
  <c r="M49" i="54" s="1"/>
  <c r="G49" i="54"/>
  <c r="L49" i="54" s="1"/>
  <c r="F49" i="54"/>
  <c r="K49" i="54" s="1"/>
  <c r="E49" i="54"/>
  <c r="J49" i="54" s="1"/>
  <c r="P42" i="53" s="1"/>
  <c r="M66" i="55" s="1"/>
  <c r="B66" i="55" s="1"/>
  <c r="M48" i="54"/>
  <c r="L48" i="54"/>
  <c r="K48" i="54"/>
  <c r="J48" i="54"/>
  <c r="B63" i="55" l="1"/>
  <c r="R42" i="53"/>
  <c r="L64" i="55"/>
  <c r="F65" i="55" s="1"/>
  <c r="L57" i="55"/>
  <c r="Y41" i="53"/>
  <c r="F66" i="55" l="1"/>
  <c r="V11" i="56" s="1"/>
  <c r="AB11" i="56" s="1"/>
  <c r="AM11" i="56" s="1"/>
  <c r="L65" i="55"/>
  <c r="N9" i="56"/>
  <c r="R9" i="56" s="1"/>
  <c r="L58" i="55"/>
  <c r="R41" i="53"/>
  <c r="C41" i="53"/>
  <c r="AL11" i="56" l="1"/>
  <c r="AN11" i="56"/>
  <c r="AO11" i="56" s="1"/>
  <c r="AA41" i="53"/>
  <c r="M61" i="55"/>
  <c r="P136" i="53"/>
  <c r="N44" i="53"/>
  <c r="N43" i="53"/>
  <c r="B58" i="55" l="1"/>
  <c r="G59" i="55"/>
  <c r="L59" i="55" s="1"/>
  <c r="B61" i="55"/>
  <c r="K110" i="53"/>
  <c r="G60" i="55" l="1"/>
  <c r="G61" i="55" s="1"/>
  <c r="X71" i="194"/>
  <c r="X75" i="194"/>
  <c r="X70" i="194"/>
  <c r="X72" i="194"/>
  <c r="X73" i="194"/>
  <c r="X74" i="194"/>
  <c r="X68" i="194"/>
  <c r="X69" i="194"/>
  <c r="X67" i="194"/>
  <c r="L60" i="55" l="1"/>
  <c r="L61" i="55"/>
  <c r="W9" i="56"/>
  <c r="AB9" i="56" l="1"/>
  <c r="W71" i="194"/>
  <c r="V67" i="194"/>
  <c r="W67" i="194"/>
  <c r="W73" i="194"/>
  <c r="W72" i="194"/>
  <c r="W74" i="194"/>
  <c r="W70" i="194"/>
  <c r="U66" i="194"/>
  <c r="W68" i="194"/>
  <c r="W75" i="194"/>
  <c r="W69" i="194"/>
  <c r="AM9" i="56" l="1"/>
  <c r="AL9" i="56" s="1"/>
  <c r="C67" i="194"/>
  <c r="R69" i="194"/>
  <c r="U67" i="194"/>
  <c r="V70" i="194"/>
  <c r="R71" i="194"/>
  <c r="S66" i="194"/>
  <c r="R68" i="194"/>
  <c r="V71" i="194"/>
  <c r="R67" i="194"/>
  <c r="U75" i="194"/>
  <c r="U74" i="194"/>
  <c r="V72" i="194"/>
  <c r="V73" i="194"/>
  <c r="S67" i="194"/>
  <c r="S71" i="194"/>
  <c r="R70" i="194"/>
  <c r="S73" i="194"/>
  <c r="U72" i="194"/>
  <c r="V69" i="194"/>
  <c r="V68" i="194"/>
  <c r="R74" i="194"/>
  <c r="S74" i="194"/>
  <c r="V74" i="194"/>
  <c r="R72" i="194"/>
  <c r="S70" i="194"/>
  <c r="R73" i="194"/>
  <c r="V75" i="194"/>
  <c r="U70" i="194"/>
  <c r="S68" i="194"/>
  <c r="U69" i="194"/>
  <c r="R75" i="194"/>
  <c r="S72" i="194"/>
  <c r="S75" i="194"/>
  <c r="S69" i="194"/>
  <c r="U68" i="194"/>
  <c r="R66" i="194"/>
  <c r="U73" i="194"/>
  <c r="U71" i="194"/>
  <c r="AN9" i="56" l="1"/>
  <c r="AO9" i="56" s="1"/>
  <c r="C68" i="194"/>
  <c r="C69" i="194"/>
  <c r="C70" i="194"/>
  <c r="C71" i="194"/>
  <c r="C72" i="194"/>
  <c r="C73" i="194"/>
  <c r="C74" i="194"/>
  <c r="C75" i="194"/>
  <c r="G67" i="194"/>
  <c r="G68" i="194"/>
  <c r="G69" i="194"/>
  <c r="G70" i="194"/>
  <c r="G71" i="194"/>
  <c r="G72" i="194"/>
  <c r="G73" i="194"/>
  <c r="G74" i="194"/>
  <c r="G75" i="194"/>
  <c r="T70" i="194"/>
  <c r="T73" i="194"/>
  <c r="T68" i="194"/>
  <c r="T75" i="194"/>
  <c r="T71" i="194"/>
  <c r="T74" i="194"/>
  <c r="T69" i="194"/>
  <c r="T67" i="194"/>
  <c r="T72" i="194"/>
  <c r="V66" i="194"/>
  <c r="X66" i="194"/>
  <c r="K271" i="80" l="1"/>
  <c r="M271" i="80" s="1"/>
  <c r="O271" i="80"/>
  <c r="E27" i="53"/>
  <c r="E24" i="53"/>
  <c r="W66" i="194"/>
  <c r="G66" i="194" l="1"/>
  <c r="D66" i="194"/>
  <c r="Q3" i="56"/>
  <c r="Q4" i="56"/>
  <c r="R5" i="56"/>
  <c r="Q10" i="56"/>
  <c r="R10" i="56" s="1"/>
  <c r="N7" i="56"/>
  <c r="R7" i="56" s="1"/>
  <c r="C35" i="53"/>
  <c r="C36" i="53"/>
  <c r="C37" i="53"/>
  <c r="C38" i="53"/>
  <c r="C39" i="53"/>
  <c r="Z39" i="53"/>
  <c r="F28" i="55"/>
  <c r="C33" i="53"/>
  <c r="O43" i="53"/>
  <c r="C43" i="53" s="1"/>
  <c r="O44" i="53"/>
  <c r="C44" i="53" s="1"/>
  <c r="K154" i="80" l="1"/>
  <c r="K237" i="80"/>
  <c r="M237" i="80" s="1"/>
  <c r="K235" i="80"/>
  <c r="M235" i="80" s="1"/>
  <c r="K155" i="80"/>
  <c r="K236" i="80"/>
  <c r="M236" i="80" s="1"/>
  <c r="L154" i="80"/>
  <c r="L155" i="80"/>
  <c r="O236" i="80"/>
  <c r="O237" i="80"/>
  <c r="O235" i="80"/>
  <c r="O155" i="80"/>
  <c r="O154" i="80"/>
  <c r="M154" i="80" l="1"/>
  <c r="M155" i="80"/>
  <c r="F33" i="53"/>
  <c r="O68" i="194" l="1"/>
  <c r="O73" i="194"/>
  <c r="O71" i="194"/>
  <c r="O74" i="194"/>
  <c r="O69" i="194"/>
  <c r="O72" i="194"/>
  <c r="O75" i="194"/>
  <c r="O70" i="194"/>
  <c r="O67" i="194"/>
  <c r="T66" i="194" l="1"/>
  <c r="C66" i="194" s="1"/>
  <c r="O66" i="194" l="1"/>
  <c r="O63" i="194" l="1"/>
  <c r="O64" i="194"/>
  <c r="O65" i="194"/>
  <c r="F66" i="194"/>
  <c r="H66" i="194" s="1"/>
  <c r="AU2" i="56"/>
  <c r="AU6" i="56" s="1"/>
  <c r="AU37" i="56" l="1"/>
  <c r="AU8" i="56"/>
  <c r="AU4" i="56"/>
  <c r="AU14" i="56"/>
  <c r="AU22" i="56"/>
  <c r="AU30" i="56"/>
  <c r="AU5" i="56"/>
  <c r="AU15" i="56"/>
  <c r="AU23" i="56"/>
  <c r="AU31" i="56"/>
  <c r="AU26" i="56"/>
  <c r="AU34" i="56"/>
  <c r="AU19" i="56"/>
  <c r="AU35" i="56"/>
  <c r="AU28" i="56"/>
  <c r="AU21" i="56"/>
  <c r="AU7" i="56"/>
  <c r="AU16" i="56"/>
  <c r="AU24" i="56"/>
  <c r="AU32" i="56"/>
  <c r="AU18" i="56"/>
  <c r="AU11" i="56"/>
  <c r="AU12" i="56"/>
  <c r="AU36" i="56"/>
  <c r="AU13" i="56"/>
  <c r="AU3" i="56"/>
  <c r="AU9" i="56"/>
  <c r="AU17" i="56"/>
  <c r="AU25" i="56"/>
  <c r="AU33" i="56"/>
  <c r="AU10" i="56"/>
  <c r="AU27" i="56"/>
  <c r="AU20" i="56"/>
  <c r="AU29" i="56"/>
  <c r="D72" i="194"/>
  <c r="F72" i="194" s="1"/>
  <c r="H72" i="194" s="1"/>
  <c r="D67" i="194"/>
  <c r="F67" i="194" s="1"/>
  <c r="H67" i="194" s="1"/>
  <c r="D70" i="194"/>
  <c r="F70" i="194" s="1"/>
  <c r="H70" i="194" s="1"/>
  <c r="D71" i="194"/>
  <c r="F71" i="194" s="1"/>
  <c r="H71" i="194" s="1"/>
  <c r="D75" i="194"/>
  <c r="F75" i="194" s="1"/>
  <c r="H75" i="194" s="1"/>
  <c r="D68" i="194"/>
  <c r="F68" i="194" s="1"/>
  <c r="H68" i="194" s="1"/>
  <c r="D69" i="194"/>
  <c r="F69" i="194" s="1"/>
  <c r="H69" i="194" s="1"/>
  <c r="D74" i="194"/>
  <c r="F74" i="194" s="1"/>
  <c r="H74" i="194" s="1"/>
  <c r="D73" i="194"/>
  <c r="F73" i="194" s="1"/>
  <c r="H73" i="194" s="1"/>
  <c r="S54" i="194"/>
  <c r="R55" i="194"/>
  <c r="I52" i="194"/>
  <c r="D53" i="194"/>
  <c r="D61" i="194"/>
  <c r="S59" i="194"/>
  <c r="R54" i="194"/>
  <c r="R56" i="194"/>
  <c r="D52" i="194"/>
  <c r="R59" i="194"/>
  <c r="S58" i="194"/>
  <c r="D55" i="194"/>
  <c r="S52" i="194"/>
  <c r="R52" i="194"/>
  <c r="D56" i="194"/>
  <c r="R61" i="194"/>
  <c r="S56" i="194"/>
  <c r="S57" i="194"/>
  <c r="R57" i="194"/>
  <c r="D58" i="194"/>
  <c r="R53" i="194"/>
  <c r="S61" i="194"/>
  <c r="D59" i="194"/>
  <c r="D54" i="194"/>
  <c r="R60" i="194"/>
  <c r="R58" i="194"/>
  <c r="D60" i="194"/>
  <c r="D57" i="194"/>
  <c r="S55" i="194"/>
  <c r="S53" i="194"/>
  <c r="S60" i="194"/>
  <c r="O16" i="194" l="1"/>
  <c r="L471" i="80" l="1"/>
  <c r="L470" i="80"/>
  <c r="L476" i="80"/>
  <c r="L468" i="80"/>
  <c r="L467" i="80"/>
  <c r="L474" i="80"/>
  <c r="L466" i="80"/>
  <c r="L469" i="80"/>
  <c r="L473" i="80"/>
  <c r="L465" i="80"/>
  <c r="L475" i="80"/>
  <c r="L472" i="80"/>
  <c r="L464" i="80"/>
  <c r="L463" i="80" l="1"/>
  <c r="L134" i="80" l="1"/>
  <c r="V599" i="80"/>
  <c r="Y84" i="194"/>
  <c r="V80" i="194"/>
  <c r="W114" i="194"/>
  <c r="Y230" i="194"/>
  <c r="R149" i="194"/>
  <c r="Y103" i="194"/>
  <c r="R174" i="194"/>
  <c r="AD234" i="194"/>
  <c r="S234" i="194"/>
  <c r="R103" i="194"/>
  <c r="R241" i="194"/>
  <c r="R235" i="194"/>
  <c r="V247" i="194"/>
  <c r="R238" i="194"/>
  <c r="R142" i="194"/>
  <c r="Y136" i="194"/>
  <c r="Y139" i="194"/>
  <c r="U243" i="194"/>
  <c r="R137" i="194"/>
  <c r="R112" i="194"/>
  <c r="AD131" i="194"/>
  <c r="R193" i="194"/>
  <c r="S236" i="194"/>
  <c r="R140" i="194"/>
  <c r="Y101" i="194"/>
  <c r="AD199" i="194"/>
  <c r="R170" i="194"/>
  <c r="AA240" i="194"/>
  <c r="Y246" i="194"/>
  <c r="AD246" i="194"/>
  <c r="AA235" i="194"/>
  <c r="AA243" i="194"/>
  <c r="Y91" i="194"/>
  <c r="Y221" i="194"/>
  <c r="R248" i="194"/>
  <c r="Y196" i="194"/>
  <c r="Y142" i="194"/>
  <c r="Y219" i="194"/>
  <c r="R111" i="194"/>
  <c r="Y186" i="194"/>
  <c r="V237" i="194"/>
  <c r="R86" i="194"/>
  <c r="Y82" i="194"/>
  <c r="R88" i="194"/>
  <c r="R135" i="194"/>
  <c r="S247" i="194"/>
  <c r="Y124" i="194"/>
  <c r="U241" i="194"/>
  <c r="AA241" i="194"/>
  <c r="R207" i="194"/>
  <c r="W131" i="194"/>
  <c r="Y241" i="194"/>
  <c r="AC244" i="194"/>
  <c r="R144" i="194"/>
  <c r="Y224" i="194"/>
  <c r="R117" i="194"/>
  <c r="Y175" i="194"/>
  <c r="S244" i="194"/>
  <c r="AC245" i="194"/>
  <c r="Y89" i="194"/>
  <c r="R220" i="194"/>
  <c r="AC80" i="194"/>
  <c r="Y98" i="194"/>
  <c r="V97" i="194"/>
  <c r="V216" i="194"/>
  <c r="R179" i="194"/>
  <c r="S249" i="194"/>
  <c r="S241" i="194"/>
  <c r="Y176" i="194"/>
  <c r="R229" i="194"/>
  <c r="R187" i="194"/>
  <c r="AC131" i="194"/>
  <c r="S240" i="194"/>
  <c r="Y211" i="194"/>
  <c r="Y239" i="194"/>
  <c r="W235" i="194"/>
  <c r="W182" i="194"/>
  <c r="Y185" i="194"/>
  <c r="V245" i="194"/>
  <c r="U237" i="194"/>
  <c r="R105" i="194"/>
  <c r="R188" i="194"/>
  <c r="AD237" i="194"/>
  <c r="R110" i="194"/>
  <c r="Y236" i="194"/>
  <c r="Y106" i="194"/>
  <c r="V182" i="194"/>
  <c r="Y212" i="194"/>
  <c r="R186" i="194"/>
  <c r="AC240" i="194"/>
  <c r="Y127" i="194"/>
  <c r="R136" i="194"/>
  <c r="Y189" i="194"/>
  <c r="Z237" i="194"/>
  <c r="R239" i="194"/>
  <c r="T235" i="194"/>
  <c r="R145" i="194"/>
  <c r="Y247" i="194"/>
  <c r="Y172" i="194"/>
  <c r="R163" i="194"/>
  <c r="AA237" i="194"/>
  <c r="Y204" i="194"/>
  <c r="R175" i="194"/>
  <c r="R127" i="194"/>
  <c r="W243" i="194"/>
  <c r="Y244" i="194"/>
  <c r="AB243" i="194"/>
  <c r="Y94" i="194"/>
  <c r="Z248" i="194"/>
  <c r="U246" i="194"/>
  <c r="AD165" i="194"/>
  <c r="AC243" i="194"/>
  <c r="V238" i="194"/>
  <c r="Y109" i="194"/>
  <c r="R94" i="194"/>
  <c r="AD240" i="194"/>
  <c r="V243" i="194"/>
  <c r="Y238" i="194"/>
  <c r="R119" i="194"/>
  <c r="Y171" i="194"/>
  <c r="U245" i="194"/>
  <c r="R228" i="194"/>
  <c r="R200" i="194"/>
  <c r="R176" i="194"/>
  <c r="Y93" i="194"/>
  <c r="Y111" i="194"/>
  <c r="AB234" i="194"/>
  <c r="Y156" i="194"/>
  <c r="R242" i="194"/>
  <c r="Z241" i="194"/>
  <c r="T234" i="194"/>
  <c r="Y128" i="194"/>
  <c r="Y168" i="194"/>
  <c r="R234" i="194"/>
  <c r="V235" i="194"/>
  <c r="AC234" i="194"/>
  <c r="R212" i="194"/>
  <c r="R172" i="194"/>
  <c r="Y160" i="194"/>
  <c r="Y161" i="194"/>
  <c r="R243" i="194"/>
  <c r="AD148" i="194"/>
  <c r="AD243" i="194"/>
  <c r="Y237" i="194"/>
  <c r="W242" i="194"/>
  <c r="U234" i="194"/>
  <c r="Y203" i="194"/>
  <c r="R217" i="194"/>
  <c r="AB239" i="194"/>
  <c r="U239" i="194"/>
  <c r="R205" i="194"/>
  <c r="Y235" i="194"/>
  <c r="R221" i="194"/>
  <c r="R152" i="194"/>
  <c r="Y201" i="194"/>
  <c r="W80" i="194"/>
  <c r="R162" i="194"/>
  <c r="Y105" i="194"/>
  <c r="Y133" i="194"/>
  <c r="W237" i="194"/>
  <c r="Y195" i="194"/>
  <c r="S242" i="194"/>
  <c r="Y87" i="194"/>
  <c r="Z246" i="194"/>
  <c r="R226" i="194"/>
  <c r="Y120" i="194"/>
  <c r="Y191" i="194"/>
  <c r="V114" i="194"/>
  <c r="R246" i="194"/>
  <c r="AD97" i="194"/>
  <c r="AC216" i="194"/>
  <c r="Y137" i="194"/>
  <c r="R128" i="194"/>
  <c r="V233" i="194"/>
  <c r="R129" i="194"/>
  <c r="AD242" i="194"/>
  <c r="Y205" i="194"/>
  <c r="AB246" i="194"/>
  <c r="S246" i="194"/>
  <c r="AC241" i="194"/>
  <c r="AA242" i="194"/>
  <c r="W236" i="194"/>
  <c r="R123" i="194"/>
  <c r="AC242" i="194"/>
  <c r="Y123" i="194"/>
  <c r="AC235" i="194"/>
  <c r="AC148" i="194"/>
  <c r="AD80" i="194"/>
  <c r="R85" i="194"/>
  <c r="R230" i="194"/>
  <c r="R158" i="194"/>
  <c r="AB240" i="194"/>
  <c r="Y226" i="194"/>
  <c r="T237" i="194"/>
  <c r="R102" i="194"/>
  <c r="S238" i="194"/>
  <c r="R115" i="194"/>
  <c r="Y242" i="194"/>
  <c r="R203" i="194"/>
  <c r="V239" i="194"/>
  <c r="U240" i="194"/>
  <c r="U247" i="194"/>
  <c r="R218" i="194"/>
  <c r="AA238" i="194"/>
  <c r="AC233" i="194"/>
  <c r="W244" i="194"/>
  <c r="AB238" i="194"/>
  <c r="Z244" i="194"/>
  <c r="V242" i="194"/>
  <c r="Y104" i="194"/>
  <c r="Y138" i="194"/>
  <c r="Y122" i="194"/>
  <c r="R139" i="194"/>
  <c r="R213" i="194"/>
  <c r="R83" i="194"/>
  <c r="Y223" i="194"/>
  <c r="R196" i="194"/>
  <c r="AD241" i="194"/>
  <c r="AD182" i="194"/>
  <c r="AB245" i="194"/>
  <c r="R169" i="194"/>
  <c r="R134" i="194"/>
  <c r="Y174" i="194"/>
  <c r="Y115" i="194"/>
  <c r="R108" i="194"/>
  <c r="Y155" i="194"/>
  <c r="Y157" i="194"/>
  <c r="AC247" i="194"/>
  <c r="W234" i="194"/>
  <c r="AB247" i="194"/>
  <c r="Y193" i="194"/>
  <c r="R87" i="194"/>
  <c r="R138" i="194"/>
  <c r="R154" i="194"/>
  <c r="R155" i="194"/>
  <c r="Y225" i="194"/>
  <c r="R120" i="194"/>
  <c r="Z239" i="194"/>
  <c r="R183" i="194"/>
  <c r="Y92" i="194"/>
  <c r="Z242" i="194"/>
  <c r="Y188" i="194"/>
  <c r="Y154" i="194"/>
  <c r="AC238" i="194"/>
  <c r="W238" i="194"/>
  <c r="Y245" i="194"/>
  <c r="Y150" i="194"/>
  <c r="AD239" i="194"/>
  <c r="T236" i="194"/>
  <c r="R180" i="194"/>
  <c r="V199" i="194"/>
  <c r="Y153" i="194"/>
  <c r="Y208" i="194"/>
  <c r="Y210" i="194"/>
  <c r="R247" i="194"/>
  <c r="R197" i="194"/>
  <c r="U236" i="194"/>
  <c r="R245" i="194"/>
  <c r="R132" i="194"/>
  <c r="V240" i="194"/>
  <c r="Y184" i="194"/>
  <c r="Y173" i="194"/>
  <c r="Y159" i="194"/>
  <c r="R209" i="194"/>
  <c r="Y132" i="194"/>
  <c r="R171" i="194"/>
  <c r="Y220" i="194"/>
  <c r="AD114" i="194"/>
  <c r="V148" i="194"/>
  <c r="R90" i="194"/>
  <c r="R143" i="194"/>
  <c r="Y183" i="194"/>
  <c r="Y152" i="194"/>
  <c r="Y194" i="194"/>
  <c r="R237" i="194"/>
  <c r="AC97" i="194"/>
  <c r="V131" i="194"/>
  <c r="S245" i="194"/>
  <c r="Y158" i="194"/>
  <c r="R101" i="194"/>
  <c r="R99" i="194"/>
  <c r="R84" i="194"/>
  <c r="Y222" i="194"/>
  <c r="U238" i="194"/>
  <c r="R240" i="194"/>
  <c r="W165" i="194"/>
  <c r="W216" i="194"/>
  <c r="R98" i="194"/>
  <c r="T243" i="194"/>
  <c r="R173" i="194"/>
  <c r="AB235" i="194"/>
  <c r="R194" i="194"/>
  <c r="V236" i="194"/>
  <c r="R109" i="194"/>
  <c r="R244" i="194"/>
  <c r="AC236" i="194"/>
  <c r="AC199" i="194"/>
  <c r="AD245" i="194"/>
  <c r="R81" i="194"/>
  <c r="AC114" i="194"/>
  <c r="R156" i="194"/>
  <c r="R153" i="194"/>
  <c r="Y126" i="194"/>
  <c r="Y227" i="194"/>
  <c r="R167" i="194"/>
  <c r="R211" i="194"/>
  <c r="W148" i="194"/>
  <c r="W240" i="194"/>
  <c r="R184" i="194"/>
  <c r="Y177" i="194"/>
  <c r="W233" i="194"/>
  <c r="S243" i="194"/>
  <c r="T238" i="194"/>
  <c r="Y110" i="194"/>
  <c r="Y102" i="194"/>
  <c r="Y107" i="194"/>
  <c r="Y151" i="194"/>
  <c r="R133" i="194"/>
  <c r="R210" i="194"/>
  <c r="R121" i="194"/>
  <c r="R100" i="194"/>
  <c r="Y192" i="194"/>
  <c r="Y90" i="194"/>
  <c r="Z247" i="194"/>
  <c r="R159" i="194"/>
  <c r="R125" i="194"/>
  <c r="Y213" i="194"/>
  <c r="U244" i="194"/>
  <c r="R126" i="194"/>
  <c r="R224" i="194"/>
  <c r="Y88" i="194"/>
  <c r="Y121" i="194"/>
  <c r="T242" i="194"/>
  <c r="AD238" i="194"/>
  <c r="R192" i="194"/>
  <c r="Y162" i="194"/>
  <c r="T241" i="194"/>
  <c r="Y117" i="194"/>
  <c r="R151" i="194"/>
  <c r="R190" i="194"/>
  <c r="Y145" i="194"/>
  <c r="Y202" i="194"/>
  <c r="Y119" i="194"/>
  <c r="U242" i="194"/>
  <c r="R206" i="194"/>
  <c r="U235" i="194"/>
  <c r="R161" i="194"/>
  <c r="R185" i="194"/>
  <c r="Y240" i="194"/>
  <c r="Y217" i="194"/>
  <c r="W245" i="194"/>
  <c r="V244" i="194"/>
  <c r="R124" i="194"/>
  <c r="Z238" i="194"/>
  <c r="Z234" i="194"/>
  <c r="Y141" i="194"/>
  <c r="T240" i="194"/>
  <c r="W199" i="194"/>
  <c r="Y206" i="194"/>
  <c r="Y209" i="194"/>
  <c r="AC237" i="194"/>
  <c r="Y143" i="194"/>
  <c r="Y100" i="194"/>
  <c r="Y135" i="194"/>
  <c r="Y170" i="194"/>
  <c r="Y144" i="194"/>
  <c r="Z235" i="194"/>
  <c r="R231" i="194"/>
  <c r="R177" i="194"/>
  <c r="R106" i="194"/>
  <c r="AB242" i="194"/>
  <c r="R201" i="194"/>
  <c r="R93" i="194"/>
  <c r="Y166" i="194"/>
  <c r="R116" i="194"/>
  <c r="AB241" i="194"/>
  <c r="Y140" i="194"/>
  <c r="S237" i="194"/>
  <c r="Y190" i="194"/>
  <c r="W97" i="194"/>
  <c r="R95" i="194"/>
  <c r="W239" i="194"/>
  <c r="AC239" i="194"/>
  <c r="V165" i="194"/>
  <c r="R208" i="194"/>
  <c r="V246" i="194"/>
  <c r="R150" i="194"/>
  <c r="W241" i="194"/>
  <c r="V234" i="194"/>
  <c r="AA239" i="194"/>
  <c r="R227" i="194"/>
  <c r="T239" i="194"/>
  <c r="Y207" i="194"/>
  <c r="S248" i="194"/>
  <c r="R191" i="194"/>
  <c r="Y134" i="194"/>
  <c r="Y187" i="194"/>
  <c r="R214" i="194"/>
  <c r="Y178" i="194"/>
  <c r="AB237" i="194"/>
  <c r="AA234" i="194"/>
  <c r="AB236" i="194"/>
  <c r="AB244" i="194"/>
  <c r="R222" i="194"/>
  <c r="AD236" i="194"/>
  <c r="R168" i="194"/>
  <c r="Y179" i="194"/>
  <c r="W246" i="194"/>
  <c r="S239" i="194"/>
  <c r="R157" i="194"/>
  <c r="Y83" i="194"/>
  <c r="R189" i="194"/>
  <c r="Y81" i="194"/>
  <c r="Y218" i="194"/>
  <c r="AC182" i="194"/>
  <c r="Y125" i="194"/>
  <c r="R219" i="194"/>
  <c r="AD233" i="194"/>
  <c r="Y234" i="194"/>
  <c r="R166" i="194"/>
  <c r="Y116" i="194"/>
  <c r="R104" i="194"/>
  <c r="Y229" i="194"/>
  <c r="Y99" i="194"/>
  <c r="AD244" i="194"/>
  <c r="R118" i="194"/>
  <c r="R160" i="194"/>
  <c r="Y200" i="194"/>
  <c r="Z240" i="194"/>
  <c r="Y228" i="194"/>
  <c r="R89" i="194"/>
  <c r="R122" i="194"/>
  <c r="R178" i="194"/>
  <c r="Y85" i="194"/>
  <c r="R202" i="194"/>
  <c r="R91" i="194"/>
  <c r="AA236" i="194"/>
  <c r="AC246" i="194"/>
  <c r="R236" i="194"/>
  <c r="W247" i="194"/>
  <c r="Y118" i="194"/>
  <c r="R195" i="194"/>
  <c r="Z243" i="194"/>
  <c r="Z245" i="194"/>
  <c r="R225" i="194"/>
  <c r="V241" i="194"/>
  <c r="Y149" i="194"/>
  <c r="Y108" i="194"/>
  <c r="R92" i="194"/>
  <c r="R141" i="194"/>
  <c r="AD247" i="194"/>
  <c r="Z249" i="194"/>
  <c r="R223" i="194"/>
  <c r="Y169" i="194"/>
  <c r="Y86" i="194"/>
  <c r="Y167" i="194"/>
  <c r="AC165" i="194"/>
  <c r="AD235" i="194"/>
  <c r="R204" i="194"/>
  <c r="R146" i="194"/>
  <c r="AD216" i="194"/>
  <c r="S235" i="194"/>
  <c r="Z236" i="194"/>
  <c r="R107" i="194"/>
  <c r="Y243" i="194"/>
  <c r="R82" i="194"/>
  <c r="I195" i="194" l="1"/>
  <c r="I100" i="194"/>
  <c r="Q248" i="194"/>
  <c r="I189" i="194"/>
  <c r="I177" i="194"/>
  <c r="I239" i="194"/>
  <c r="X249" i="194"/>
  <c r="I128" i="194"/>
  <c r="I119" i="194"/>
  <c r="I103" i="194"/>
  <c r="I175" i="194"/>
  <c r="I125" i="194"/>
  <c r="Q241" i="194"/>
  <c r="X236" i="194"/>
  <c r="I120" i="194"/>
  <c r="I172" i="194"/>
  <c r="I107" i="194"/>
  <c r="I143" i="194"/>
  <c r="I227" i="194"/>
  <c r="I109" i="194"/>
  <c r="I188" i="194"/>
  <c r="I193" i="194"/>
  <c r="X243" i="194"/>
  <c r="I139" i="194"/>
  <c r="I202" i="194"/>
  <c r="I194" i="194"/>
  <c r="I171" i="194"/>
  <c r="I220" i="194"/>
  <c r="I81" i="194"/>
  <c r="I160" i="194"/>
  <c r="I237" i="194"/>
  <c r="I207" i="194"/>
  <c r="I191" i="194"/>
  <c r="I122" i="194"/>
  <c r="I218" i="194"/>
  <c r="I248" i="194"/>
  <c r="Q249" i="194"/>
  <c r="I236" i="194"/>
  <c r="I126" i="194"/>
  <c r="I186" i="194"/>
  <c r="I183" i="194"/>
  <c r="I85" i="194"/>
  <c r="I158" i="194"/>
  <c r="I226" i="194"/>
  <c r="I90" i="194"/>
  <c r="I89" i="194"/>
  <c r="Q244" i="194"/>
  <c r="I87" i="194"/>
  <c r="I238" i="194"/>
  <c r="I98" i="194"/>
  <c r="I200" i="194"/>
  <c r="I141" i="194"/>
  <c r="I205" i="194"/>
  <c r="I142" i="194"/>
  <c r="I187" i="194"/>
  <c r="E159" i="194"/>
  <c r="H164" i="194"/>
  <c r="E164" i="194"/>
  <c r="F163" i="194"/>
  <c r="H163" i="194"/>
  <c r="G163" i="194"/>
  <c r="E160" i="194"/>
  <c r="F164" i="194"/>
  <c r="E161" i="194"/>
  <c r="G164" i="194"/>
  <c r="E162" i="194"/>
  <c r="E163" i="194"/>
  <c r="I234" i="194"/>
  <c r="I166" i="194"/>
  <c r="I145" i="194"/>
  <c r="I173" i="194"/>
  <c r="I203" i="194"/>
  <c r="G129" i="194"/>
  <c r="E126" i="194"/>
  <c r="E129" i="194"/>
  <c r="G130" i="194"/>
  <c r="E130" i="194"/>
  <c r="H129" i="194"/>
  <c r="E127" i="194"/>
  <c r="H130" i="194"/>
  <c r="E128" i="194"/>
  <c r="F129" i="194"/>
  <c r="E125" i="194"/>
  <c r="F130" i="194"/>
  <c r="I154" i="194"/>
  <c r="I152" i="194"/>
  <c r="I117" i="194"/>
  <c r="I127" i="194"/>
  <c r="X240" i="194"/>
  <c r="Q236" i="194"/>
  <c r="Q242" i="194"/>
  <c r="I208" i="194"/>
  <c r="I213" i="194"/>
  <c r="I209" i="194"/>
  <c r="X245" i="194"/>
  <c r="I192" i="194"/>
  <c r="I223" i="194"/>
  <c r="I221" i="194"/>
  <c r="X242" i="194"/>
  <c r="I101" i="194"/>
  <c r="I151" i="194"/>
  <c r="X235" i="194"/>
  <c r="I161" i="194"/>
  <c r="I174" i="194"/>
  <c r="I222" i="194"/>
  <c r="I135" i="194"/>
  <c r="I204" i="194"/>
  <c r="I157" i="194"/>
  <c r="X247" i="194"/>
  <c r="I247" i="194"/>
  <c r="X248" i="194"/>
  <c r="I132" i="194"/>
  <c r="I83" i="194"/>
  <c r="I179" i="194"/>
  <c r="I82" i="194"/>
  <c r="X234" i="194"/>
  <c r="Q239" i="194"/>
  <c r="I105" i="194"/>
  <c r="I229" i="194"/>
  <c r="I156" i="194"/>
  <c r="Q234" i="194"/>
  <c r="I111" i="194"/>
  <c r="I116" i="194"/>
  <c r="I121" i="194"/>
  <c r="I178" i="194"/>
  <c r="I106" i="194"/>
  <c r="I134" i="194"/>
  <c r="E95" i="194"/>
  <c r="E93" i="194"/>
  <c r="E92" i="194"/>
  <c r="H96" i="194"/>
  <c r="H95" i="194"/>
  <c r="E91" i="194"/>
  <c r="F95" i="194"/>
  <c r="E94" i="194"/>
  <c r="E96" i="194"/>
  <c r="G96" i="194"/>
  <c r="G95" i="194"/>
  <c r="F96" i="194"/>
  <c r="I196" i="194"/>
  <c r="F197" i="194"/>
  <c r="E193" i="194"/>
  <c r="G198" i="194"/>
  <c r="H197" i="194"/>
  <c r="F198" i="194"/>
  <c r="E197" i="194"/>
  <c r="E194" i="194"/>
  <c r="E196" i="194"/>
  <c r="H198" i="194"/>
  <c r="E195" i="194"/>
  <c r="E198" i="194"/>
  <c r="G197" i="194"/>
  <c r="I150" i="194"/>
  <c r="X239" i="194"/>
  <c r="Q240" i="194"/>
  <c r="I246" i="194"/>
  <c r="I219" i="194"/>
  <c r="I184" i="194"/>
  <c r="I133" i="194"/>
  <c r="Q235" i="194"/>
  <c r="I168" i="194"/>
  <c r="X238" i="194"/>
  <c r="I137" i="194"/>
  <c r="I162" i="194"/>
  <c r="X246" i="194"/>
  <c r="Q246" i="194"/>
  <c r="I241" i="194"/>
  <c r="I93" i="194"/>
  <c r="I225" i="194"/>
  <c r="I211" i="194"/>
  <c r="I86" i="194"/>
  <c r="I124" i="194"/>
  <c r="I84" i="194"/>
  <c r="I94" i="194"/>
  <c r="I212" i="194"/>
  <c r="I190" i="194"/>
  <c r="E213" i="194"/>
  <c r="H215" i="194"/>
  <c r="E212" i="194"/>
  <c r="E215" i="194"/>
  <c r="E210" i="194"/>
  <c r="H214" i="194"/>
  <c r="E211" i="194"/>
  <c r="F215" i="194"/>
  <c r="G214" i="194"/>
  <c r="G215" i="194"/>
  <c r="E214" i="194"/>
  <c r="F214" i="194"/>
  <c r="I245" i="194"/>
  <c r="I155" i="194"/>
  <c r="I123" i="194"/>
  <c r="I217" i="194"/>
  <c r="I170" i="194"/>
  <c r="I228" i="194"/>
  <c r="I244" i="194"/>
  <c r="I240" i="194"/>
  <c r="E181" i="194"/>
  <c r="H181" i="194"/>
  <c r="G180" i="194"/>
  <c r="F180" i="194"/>
  <c r="E177" i="194"/>
  <c r="H180" i="194"/>
  <c r="E180" i="194"/>
  <c r="E178" i="194"/>
  <c r="F181" i="194"/>
  <c r="E176" i="194"/>
  <c r="G181" i="194"/>
  <c r="E179" i="194"/>
  <c r="I169" i="194"/>
  <c r="I224" i="194"/>
  <c r="I153" i="194"/>
  <c r="G236" i="194"/>
  <c r="D247" i="194"/>
  <c r="O247" i="194" s="1"/>
  <c r="G243" i="194"/>
  <c r="F242" i="194"/>
  <c r="G240" i="194"/>
  <c r="D237" i="194"/>
  <c r="O237" i="194" s="1"/>
  <c r="H245" i="194"/>
  <c r="E245" i="194"/>
  <c r="G241" i="194"/>
  <c r="E236" i="194"/>
  <c r="E240" i="194"/>
  <c r="D244" i="194"/>
  <c r="O244" i="194" s="1"/>
  <c r="H241" i="194"/>
  <c r="E248" i="194"/>
  <c r="E234" i="194"/>
  <c r="D243" i="194"/>
  <c r="O243" i="194" s="1"/>
  <c r="F249" i="194"/>
  <c r="D240" i="194"/>
  <c r="O240" i="194" s="1"/>
  <c r="G234" i="194"/>
  <c r="F246" i="194"/>
  <c r="G239" i="194"/>
  <c r="G247" i="194"/>
  <c r="H239" i="194"/>
  <c r="H237" i="194"/>
  <c r="H246" i="194"/>
  <c r="E243" i="194"/>
  <c r="H240" i="194"/>
  <c r="H235" i="194"/>
  <c r="F248" i="194"/>
  <c r="E242" i="194"/>
  <c r="E246" i="194"/>
  <c r="D236" i="194"/>
  <c r="O236" i="194" s="1"/>
  <c r="E244" i="194"/>
  <c r="D246" i="194"/>
  <c r="O246" i="194" s="1"/>
  <c r="E239" i="194"/>
  <c r="E235" i="194"/>
  <c r="F239" i="194"/>
  <c r="E241" i="194"/>
  <c r="H242" i="194"/>
  <c r="G242" i="194"/>
  <c r="D238" i="194"/>
  <c r="O238" i="194" s="1"/>
  <c r="G249" i="194"/>
  <c r="F244" i="194"/>
  <c r="D242" i="194"/>
  <c r="O242" i="194" s="1"/>
  <c r="H243" i="194"/>
  <c r="F236" i="194"/>
  <c r="F235" i="194"/>
  <c r="G235" i="194"/>
  <c r="G238" i="194"/>
  <c r="G244" i="194"/>
  <c r="E237" i="194"/>
  <c r="H248" i="194"/>
  <c r="H249" i="194"/>
  <c r="D241" i="194"/>
  <c r="O241" i="194" s="1"/>
  <c r="D245" i="194"/>
  <c r="O245" i="194" s="1"/>
  <c r="D235" i="194"/>
  <c r="O235" i="194" s="1"/>
  <c r="H234" i="194"/>
  <c r="F238" i="194"/>
  <c r="H247" i="194"/>
  <c r="G246" i="194"/>
  <c r="F243" i="194"/>
  <c r="D248" i="194"/>
  <c r="O248" i="194" s="1"/>
  <c r="G248" i="194"/>
  <c r="G237" i="194"/>
  <c r="F237" i="194"/>
  <c r="D239" i="194"/>
  <c r="O239" i="194" s="1"/>
  <c r="H238" i="194"/>
  <c r="E238" i="194"/>
  <c r="F234" i="194"/>
  <c r="E249" i="194"/>
  <c r="F245" i="194"/>
  <c r="E247" i="194"/>
  <c r="F241" i="194"/>
  <c r="D234" i="194"/>
  <c r="O234" i="194" s="1"/>
  <c r="F240" i="194"/>
  <c r="D249" i="194"/>
  <c r="O249" i="194" s="1"/>
  <c r="H244" i="194"/>
  <c r="F247" i="194"/>
  <c r="H236" i="194"/>
  <c r="G245" i="194"/>
  <c r="I88" i="194"/>
  <c r="Q237" i="194"/>
  <c r="I92" i="194"/>
  <c r="I144" i="194"/>
  <c r="I138" i="194"/>
  <c r="Q245" i="194"/>
  <c r="X244" i="194"/>
  <c r="I110" i="194"/>
  <c r="Q243" i="194"/>
  <c r="I201" i="194"/>
  <c r="I91" i="194"/>
  <c r="I176" i="194"/>
  <c r="E109" i="194"/>
  <c r="G113" i="194"/>
  <c r="H112" i="194"/>
  <c r="F113" i="194"/>
  <c r="E112" i="194"/>
  <c r="E110" i="194"/>
  <c r="E113" i="194"/>
  <c r="H113" i="194"/>
  <c r="F112" i="194"/>
  <c r="E108" i="194"/>
  <c r="E111" i="194"/>
  <c r="G112" i="194"/>
  <c r="I118" i="194"/>
  <c r="I243" i="194"/>
  <c r="I136" i="194"/>
  <c r="I230" i="194"/>
  <c r="I99" i="194"/>
  <c r="I140" i="194"/>
  <c r="Q247" i="194"/>
  <c r="H146" i="194"/>
  <c r="E145" i="194"/>
  <c r="G146" i="194"/>
  <c r="G147" i="194"/>
  <c r="E146" i="194"/>
  <c r="F146" i="194"/>
  <c r="E142" i="194"/>
  <c r="E147" i="194"/>
  <c r="H147" i="194"/>
  <c r="E143" i="194"/>
  <c r="E144" i="194"/>
  <c r="F147" i="194"/>
  <c r="I149" i="194"/>
  <c r="I210" i="194"/>
  <c r="I104" i="194"/>
  <c r="I115" i="194"/>
  <c r="I185" i="194"/>
  <c r="I102" i="194"/>
  <c r="I108" i="194"/>
  <c r="Q238" i="194"/>
  <c r="I159" i="194"/>
  <c r="I206" i="194"/>
  <c r="I167" i="194"/>
  <c r="I235" i="194"/>
  <c r="X241" i="194"/>
  <c r="I242" i="194"/>
  <c r="X237" i="194"/>
  <c r="B237" i="194" s="1"/>
  <c r="L599" i="80"/>
  <c r="O15" i="194"/>
  <c r="B241" i="194" l="1"/>
  <c r="B236" i="194"/>
  <c r="B243" i="194"/>
  <c r="B247" i="194"/>
  <c r="B240" i="194"/>
  <c r="B238" i="194"/>
  <c r="B246" i="194"/>
  <c r="B239" i="194"/>
  <c r="B242" i="194"/>
  <c r="B248" i="194"/>
  <c r="B244" i="194"/>
  <c r="B249" i="194"/>
  <c r="B245" i="194"/>
  <c r="B235" i="194"/>
  <c r="B234" i="194"/>
  <c r="V610" i="80"/>
  <c r="V611" i="80"/>
  <c r="V612" i="80"/>
  <c r="L611" i="80" l="1"/>
  <c r="L610" i="80"/>
  <c r="L612" i="80"/>
  <c r="L128" i="80" l="1"/>
  <c r="L127" i="80"/>
  <c r="C69" i="58"/>
  <c r="AT2" i="56" l="1"/>
  <c r="AT6" i="56" s="1"/>
  <c r="AP2" i="56"/>
  <c r="AP6" i="56" s="1"/>
  <c r="AT37" i="56" l="1"/>
  <c r="AT8" i="56"/>
  <c r="AP37" i="56"/>
  <c r="AP8" i="56"/>
  <c r="AT4" i="56"/>
  <c r="AT14" i="56"/>
  <c r="AT22" i="56"/>
  <c r="AT30" i="56"/>
  <c r="AT5" i="56"/>
  <c r="AT15" i="56"/>
  <c r="AT23" i="56"/>
  <c r="AT31" i="56"/>
  <c r="AT26" i="56"/>
  <c r="AT19" i="56"/>
  <c r="AT12" i="56"/>
  <c r="AT28" i="56"/>
  <c r="AT13" i="56"/>
  <c r="AT3" i="56"/>
  <c r="AT7" i="56"/>
  <c r="AT16" i="56"/>
  <c r="AT24" i="56"/>
  <c r="AT32" i="56"/>
  <c r="AT10" i="56"/>
  <c r="AT34" i="56"/>
  <c r="AT11" i="56"/>
  <c r="AT27" i="56"/>
  <c r="AT36" i="56"/>
  <c r="AT9" i="56"/>
  <c r="AT17" i="56"/>
  <c r="AT25" i="56"/>
  <c r="AT33" i="56"/>
  <c r="AT18" i="56"/>
  <c r="AT35" i="56"/>
  <c r="AT20" i="56"/>
  <c r="AT21" i="56"/>
  <c r="AT29" i="56"/>
  <c r="AP11" i="56"/>
  <c r="AP13" i="56"/>
  <c r="AP21" i="56"/>
  <c r="AP29" i="56"/>
  <c r="AP3" i="56"/>
  <c r="AP23" i="56"/>
  <c r="AP7" i="56"/>
  <c r="AP24" i="56"/>
  <c r="AP32" i="56"/>
  <c r="AP4" i="56"/>
  <c r="AP14" i="56"/>
  <c r="AP22" i="56"/>
  <c r="AP30" i="56"/>
  <c r="AP15" i="56"/>
  <c r="AP31" i="56"/>
  <c r="AP16" i="56"/>
  <c r="AP5" i="56"/>
  <c r="AP9" i="56"/>
  <c r="AP17" i="56"/>
  <c r="AP25" i="56"/>
  <c r="AP33" i="56"/>
  <c r="AP27" i="56"/>
  <c r="AP35" i="56"/>
  <c r="AP12" i="56"/>
  <c r="AP28" i="56"/>
  <c r="AP10" i="56"/>
  <c r="AP18" i="56"/>
  <c r="AP26" i="56"/>
  <c r="AP34" i="56"/>
  <c r="AP19" i="56"/>
  <c r="AP20" i="56"/>
  <c r="AP36" i="56"/>
  <c r="L515" i="80" l="1"/>
  <c r="L516" i="80"/>
  <c r="L517" i="80"/>
  <c r="L507" i="80"/>
  <c r="L518" i="80"/>
  <c r="L508" i="80"/>
  <c r="L503" i="80"/>
  <c r="L511" i="80"/>
  <c r="L512" i="80"/>
  <c r="L509" i="80"/>
  <c r="L504" i="80"/>
  <c r="L513" i="80"/>
  <c r="L510" i="80"/>
  <c r="L505" i="80"/>
  <c r="L506" i="80"/>
  <c r="L514" i="80"/>
  <c r="I2" i="56"/>
  <c r="I6" i="56" s="1"/>
  <c r="I37" i="56" l="1"/>
  <c r="I8" i="56"/>
  <c r="I5" i="56"/>
  <c r="I15" i="56"/>
  <c r="I23" i="56"/>
  <c r="I31" i="56"/>
  <c r="I18" i="56"/>
  <c r="I27" i="56"/>
  <c r="I29" i="56"/>
  <c r="I30" i="56"/>
  <c r="I7" i="56"/>
  <c r="I16" i="56"/>
  <c r="I24" i="56"/>
  <c r="I32" i="56"/>
  <c r="I26" i="56"/>
  <c r="I19" i="56"/>
  <c r="I35" i="56"/>
  <c r="I3" i="56"/>
  <c r="I22" i="56"/>
  <c r="I9" i="56"/>
  <c r="I17" i="56"/>
  <c r="I25" i="56"/>
  <c r="I33" i="56"/>
  <c r="I10" i="56"/>
  <c r="I34" i="56"/>
  <c r="I11" i="56"/>
  <c r="I21" i="56"/>
  <c r="I4" i="56"/>
  <c r="I12" i="56"/>
  <c r="I20" i="56"/>
  <c r="I28" i="56"/>
  <c r="I36" i="56"/>
  <c r="I13" i="56"/>
  <c r="I14" i="56"/>
  <c r="L136" i="80" l="1"/>
  <c r="S33" i="56"/>
  <c r="T33" i="56"/>
  <c r="U33" i="56"/>
  <c r="V33" i="56"/>
  <c r="X33" i="56"/>
  <c r="Y33" i="56"/>
  <c r="S34" i="56"/>
  <c r="T34" i="56"/>
  <c r="U34" i="56"/>
  <c r="V34" i="56"/>
  <c r="X34" i="56"/>
  <c r="Y34" i="56"/>
  <c r="V35" i="56"/>
  <c r="W35" i="56"/>
  <c r="X35" i="56"/>
  <c r="Y35" i="56"/>
  <c r="N82" i="53" l="1"/>
  <c r="O233" i="194" l="1"/>
  <c r="N12" i="56"/>
  <c r="L12" i="55" l="1"/>
  <c r="L7" i="55"/>
  <c r="V614" i="80" l="1"/>
  <c r="V613" i="80"/>
  <c r="V615" i="80"/>
  <c r="L615" i="80" l="1"/>
  <c r="L613" i="80"/>
  <c r="L614" i="80"/>
  <c r="N18" i="56"/>
  <c r="P18" i="56"/>
  <c r="Q18" i="56"/>
  <c r="R18" i="56" s="1"/>
  <c r="V18" i="56"/>
  <c r="W18" i="56"/>
  <c r="AB18" i="56" l="1"/>
  <c r="AM18" i="56" l="1"/>
  <c r="AL18" i="56" s="1"/>
  <c r="AN18" i="56" l="1"/>
  <c r="AO18" i="56" s="1"/>
  <c r="L110" i="53"/>
  <c r="V616" i="80"/>
  <c r="K29" i="80"/>
  <c r="V609" i="80"/>
  <c r="V608" i="80"/>
  <c r="V607" i="80"/>
  <c r="V606" i="80"/>
  <c r="V605" i="80"/>
  <c r="V604" i="80"/>
  <c r="V603" i="80"/>
  <c r="V602" i="80"/>
  <c r="V601" i="80"/>
  <c r="V600" i="80"/>
  <c r="V598" i="80"/>
  <c r="V597" i="80"/>
  <c r="V417" i="80"/>
  <c r="V416" i="80"/>
  <c r="V415" i="80"/>
  <c r="V414" i="80"/>
  <c r="V413" i="80"/>
  <c r="V412" i="80"/>
  <c r="V411" i="80"/>
  <c r="I115" i="53"/>
  <c r="J115" i="53"/>
  <c r="K115" i="53"/>
  <c r="L115" i="53"/>
  <c r="M115" i="53"/>
  <c r="N115" i="53"/>
  <c r="H115" i="53"/>
  <c r="W31" i="56"/>
  <c r="W30" i="56"/>
  <c r="W29" i="56"/>
  <c r="W28" i="56"/>
  <c r="W26" i="56"/>
  <c r="W25" i="56"/>
  <c r="W24" i="56"/>
  <c r="W22" i="56"/>
  <c r="W21" i="56"/>
  <c r="W20" i="56"/>
  <c r="W19" i="56"/>
  <c r="W27" i="56"/>
  <c r="W17" i="56"/>
  <c r="W16" i="56"/>
  <c r="W15" i="56"/>
  <c r="W14" i="56"/>
  <c r="V31" i="56"/>
  <c r="V30" i="56"/>
  <c r="V29" i="56"/>
  <c r="V28" i="56"/>
  <c r="V26" i="56"/>
  <c r="V25" i="56"/>
  <c r="V24" i="56"/>
  <c r="V23" i="56"/>
  <c r="V21" i="56"/>
  <c r="V20" i="56"/>
  <c r="V19" i="56"/>
  <c r="V27" i="56"/>
  <c r="V17" i="56"/>
  <c r="V16" i="56"/>
  <c r="V15" i="56"/>
  <c r="V14" i="56"/>
  <c r="V13" i="56"/>
  <c r="W12" i="56"/>
  <c r="N117" i="53"/>
  <c r="M117" i="53"/>
  <c r="L117" i="53"/>
  <c r="K117" i="53"/>
  <c r="J117" i="53"/>
  <c r="I117" i="53"/>
  <c r="H117" i="53"/>
  <c r="AP1" i="56"/>
  <c r="AJ2" i="56"/>
  <c r="AJ6" i="56" s="1"/>
  <c r="AJ1" i="56"/>
  <c r="J2" i="56"/>
  <c r="J6" i="56" s="1"/>
  <c r="J1" i="56"/>
  <c r="AH1" i="56"/>
  <c r="H1" i="56"/>
  <c r="H2" i="56"/>
  <c r="H6" i="56" s="1"/>
  <c r="Q23" i="56"/>
  <c r="R23" i="56" s="1"/>
  <c r="Q24" i="56"/>
  <c r="R24" i="56" s="1"/>
  <c r="Q25" i="56"/>
  <c r="R25" i="56" s="1"/>
  <c r="Q26" i="56"/>
  <c r="R26" i="56" s="1"/>
  <c r="Q28" i="56"/>
  <c r="R28" i="56" s="1"/>
  <c r="Q29" i="56"/>
  <c r="R29" i="56" s="1"/>
  <c r="Q30" i="56"/>
  <c r="R30" i="56" s="1"/>
  <c r="Q31" i="56"/>
  <c r="R31" i="56" s="1"/>
  <c r="Q22" i="56"/>
  <c r="R22" i="56" s="1"/>
  <c r="P23" i="56"/>
  <c r="P24" i="56"/>
  <c r="P25" i="56"/>
  <c r="P26" i="56"/>
  <c r="P28" i="56"/>
  <c r="P29" i="56"/>
  <c r="P30" i="56"/>
  <c r="P31" i="56"/>
  <c r="P22" i="56"/>
  <c r="N23" i="56"/>
  <c r="N24" i="56"/>
  <c r="N25" i="56"/>
  <c r="N26" i="56"/>
  <c r="N28" i="56"/>
  <c r="N29" i="56"/>
  <c r="N30" i="56"/>
  <c r="N31" i="56"/>
  <c r="N22" i="56"/>
  <c r="AA44" i="53"/>
  <c r="G53" i="55" s="1"/>
  <c r="Z44" i="53"/>
  <c r="F53" i="55" s="1"/>
  <c r="AA43" i="53"/>
  <c r="G48" i="55" s="1"/>
  <c r="Z43" i="53"/>
  <c r="F48" i="55" s="1"/>
  <c r="Q13" i="56"/>
  <c r="R13" i="56" s="1"/>
  <c r="Q14" i="56"/>
  <c r="R14" i="56" s="1"/>
  <c r="Q15" i="56"/>
  <c r="R15" i="56" s="1"/>
  <c r="Q16" i="56"/>
  <c r="R16" i="56" s="1"/>
  <c r="Q17" i="56"/>
  <c r="R17" i="56" s="1"/>
  <c r="Q27" i="56"/>
  <c r="R27" i="56" s="1"/>
  <c r="Q19" i="56"/>
  <c r="R19" i="56" s="1"/>
  <c r="Q20" i="56"/>
  <c r="R20" i="56" s="1"/>
  <c r="Q21" i="56"/>
  <c r="R21" i="56" s="1"/>
  <c r="Q12" i="56"/>
  <c r="R12" i="56" s="1"/>
  <c r="P14" i="56"/>
  <c r="P15" i="56"/>
  <c r="P16" i="56"/>
  <c r="P17" i="56"/>
  <c r="P27" i="56"/>
  <c r="P19" i="56"/>
  <c r="P20" i="56"/>
  <c r="P21" i="56"/>
  <c r="P13" i="56"/>
  <c r="P12" i="56"/>
  <c r="N21" i="56"/>
  <c r="N13" i="56"/>
  <c r="N14" i="56"/>
  <c r="N15" i="56"/>
  <c r="N16" i="56"/>
  <c r="N17" i="56"/>
  <c r="N27" i="56"/>
  <c r="N19" i="56"/>
  <c r="N20" i="56"/>
  <c r="M180" i="53"/>
  <c r="W23" i="56"/>
  <c r="M179" i="53"/>
  <c r="V22" i="56"/>
  <c r="M181" i="53"/>
  <c r="M182" i="53"/>
  <c r="M183" i="53"/>
  <c r="M184" i="53"/>
  <c r="M185" i="53"/>
  <c r="M186" i="53"/>
  <c r="M187" i="53"/>
  <c r="M188" i="53"/>
  <c r="L134" i="53"/>
  <c r="W13" i="56"/>
  <c r="L135" i="53"/>
  <c r="L136" i="53"/>
  <c r="L137" i="53"/>
  <c r="L138" i="53"/>
  <c r="L139" i="53"/>
  <c r="L140" i="53"/>
  <c r="L141" i="53"/>
  <c r="L142" i="53"/>
  <c r="M164" i="53"/>
  <c r="M165" i="53"/>
  <c r="M166" i="53"/>
  <c r="M167" i="53"/>
  <c r="M168" i="53"/>
  <c r="M169" i="53"/>
  <c r="M170" i="53"/>
  <c r="M171" i="53"/>
  <c r="M172" i="53"/>
  <c r="M163" i="53"/>
  <c r="L133" i="53"/>
  <c r="V12" i="56"/>
  <c r="L2" i="56"/>
  <c r="L6" i="56" s="1"/>
  <c r="L52" i="55"/>
  <c r="L47" i="55"/>
  <c r="C38" i="55"/>
  <c r="D38" i="55"/>
  <c r="E38" i="55"/>
  <c r="Z37" i="53"/>
  <c r="L42" i="55"/>
  <c r="L37" i="55"/>
  <c r="L27" i="55"/>
  <c r="L22" i="55"/>
  <c r="L17" i="55"/>
  <c r="L2" i="55"/>
  <c r="E2" i="56"/>
  <c r="E6" i="56" s="1"/>
  <c r="G2" i="56"/>
  <c r="G6" i="56" s="1"/>
  <c r="AK2" i="56"/>
  <c r="AK6" i="56" s="1"/>
  <c r="AI2" i="56"/>
  <c r="AI6" i="56" s="1"/>
  <c r="AG2" i="56"/>
  <c r="AF2" i="56"/>
  <c r="AF6" i="56" s="1"/>
  <c r="M2" i="56"/>
  <c r="M6" i="56" s="1"/>
  <c r="K2" i="56"/>
  <c r="K6" i="56" s="1"/>
  <c r="F2" i="56"/>
  <c r="F6" i="56" s="1"/>
  <c r="H47" i="54"/>
  <c r="G47" i="54"/>
  <c r="F47" i="54"/>
  <c r="E47" i="54"/>
  <c r="H46" i="54"/>
  <c r="G46" i="54"/>
  <c r="F46" i="54"/>
  <c r="E46" i="54"/>
  <c r="H44" i="54"/>
  <c r="G44" i="54"/>
  <c r="F44" i="54"/>
  <c r="E44" i="54"/>
  <c r="H43" i="54"/>
  <c r="G43" i="54"/>
  <c r="F43" i="54"/>
  <c r="E43" i="54"/>
  <c r="AC33" i="53"/>
  <c r="E25" i="53"/>
  <c r="H119" i="54"/>
  <c r="G119" i="54"/>
  <c r="F119" i="54"/>
  <c r="E119" i="54"/>
  <c r="H118" i="54"/>
  <c r="G118" i="54"/>
  <c r="F118" i="54"/>
  <c r="E118" i="54"/>
  <c r="H107" i="54"/>
  <c r="G107" i="54"/>
  <c r="F107" i="54"/>
  <c r="E107" i="54"/>
  <c r="H106" i="54"/>
  <c r="G106" i="54"/>
  <c r="F106" i="54"/>
  <c r="E106" i="54"/>
  <c r="H100" i="54"/>
  <c r="G100" i="54"/>
  <c r="F100" i="54"/>
  <c r="E100" i="54"/>
  <c r="H99" i="54"/>
  <c r="G99" i="54"/>
  <c r="F99" i="54"/>
  <c r="E99" i="54"/>
  <c r="E90" i="54"/>
  <c r="E89" i="54"/>
  <c r="M64" i="54"/>
  <c r="L64" i="54"/>
  <c r="K64" i="54"/>
  <c r="J64" i="54"/>
  <c r="H63" i="54"/>
  <c r="M63" i="54" s="1"/>
  <c r="G63" i="54"/>
  <c r="L63" i="54" s="1"/>
  <c r="F63" i="54"/>
  <c r="K63" i="54" s="1"/>
  <c r="E63" i="54"/>
  <c r="J63" i="54" s="1"/>
  <c r="M62" i="54"/>
  <c r="L62" i="54"/>
  <c r="K62" i="54"/>
  <c r="J62" i="54"/>
  <c r="M61" i="54"/>
  <c r="G61" i="54"/>
  <c r="L61" i="54" s="1"/>
  <c r="F61" i="54"/>
  <c r="K61" i="54" s="1"/>
  <c r="E61" i="54"/>
  <c r="J61" i="54" s="1"/>
  <c r="M60" i="54"/>
  <c r="G60" i="54"/>
  <c r="L60" i="54" s="1"/>
  <c r="F60" i="54"/>
  <c r="K60" i="54" s="1"/>
  <c r="E60" i="54"/>
  <c r="J60" i="54" s="1"/>
  <c r="M59" i="54"/>
  <c r="L59" i="54"/>
  <c r="K59" i="54"/>
  <c r="J59" i="54"/>
  <c r="H38" i="54"/>
  <c r="G38" i="54"/>
  <c r="F38" i="54"/>
  <c r="E38" i="54"/>
  <c r="H37" i="54"/>
  <c r="G37" i="54"/>
  <c r="F37" i="54"/>
  <c r="E37" i="54"/>
  <c r="H35" i="54"/>
  <c r="G35" i="54"/>
  <c r="F35" i="54"/>
  <c r="E35" i="54"/>
  <c r="H34" i="54"/>
  <c r="G34" i="54"/>
  <c r="F34" i="54"/>
  <c r="E34" i="54"/>
  <c r="H32" i="54"/>
  <c r="G32" i="54"/>
  <c r="F32" i="54"/>
  <c r="E32" i="54"/>
  <c r="H31" i="54"/>
  <c r="G31" i="54"/>
  <c r="F31" i="54"/>
  <c r="E31" i="54"/>
  <c r="H29" i="54"/>
  <c r="G29" i="54"/>
  <c r="F29" i="54"/>
  <c r="E29" i="54"/>
  <c r="H28" i="54"/>
  <c r="G28" i="54"/>
  <c r="F28" i="54"/>
  <c r="E28" i="54"/>
  <c r="H26" i="54"/>
  <c r="G26" i="54"/>
  <c r="F26" i="54"/>
  <c r="E26" i="54"/>
  <c r="H25" i="54"/>
  <c r="G25" i="54"/>
  <c r="F25" i="54"/>
  <c r="E25" i="54"/>
  <c r="H23" i="54"/>
  <c r="G23" i="54"/>
  <c r="F23" i="54"/>
  <c r="E23" i="54"/>
  <c r="H22" i="54"/>
  <c r="G22" i="54"/>
  <c r="F22" i="54"/>
  <c r="E22" i="54"/>
  <c r="H20" i="54"/>
  <c r="G20" i="54"/>
  <c r="F20" i="54"/>
  <c r="E20" i="54"/>
  <c r="H19" i="54"/>
  <c r="G19" i="54"/>
  <c r="F19" i="54"/>
  <c r="E19" i="54"/>
  <c r="H17" i="54"/>
  <c r="G17" i="54"/>
  <c r="F17" i="54"/>
  <c r="E15" i="54"/>
  <c r="E16" i="54" s="1"/>
  <c r="H16" i="54"/>
  <c r="G16" i="54"/>
  <c r="F16" i="54"/>
  <c r="H14" i="54"/>
  <c r="G14" i="54"/>
  <c r="F14" i="54"/>
  <c r="E12" i="54"/>
  <c r="H13" i="54"/>
  <c r="G13" i="54"/>
  <c r="F13" i="54"/>
  <c r="H11" i="54"/>
  <c r="G11" i="54"/>
  <c r="F11" i="54"/>
  <c r="E11" i="54"/>
  <c r="H10" i="54"/>
  <c r="G10" i="54"/>
  <c r="F10" i="54"/>
  <c r="E10" i="54"/>
  <c r="L415" i="80" l="1"/>
  <c r="L603" i="80"/>
  <c r="L593" i="80"/>
  <c r="L585" i="80"/>
  <c r="L459" i="80"/>
  <c r="L451" i="80"/>
  <c r="L406" i="80"/>
  <c r="L398" i="80"/>
  <c r="L373" i="80"/>
  <c r="L365" i="80"/>
  <c r="L349" i="80"/>
  <c r="L341" i="80"/>
  <c r="L333" i="80"/>
  <c r="L174" i="80"/>
  <c r="L163" i="80"/>
  <c r="L125" i="80"/>
  <c r="L117" i="80"/>
  <c r="L109" i="80"/>
  <c r="L101" i="80"/>
  <c r="L93" i="80"/>
  <c r="L85" i="80"/>
  <c r="L77" i="80"/>
  <c r="L69" i="80"/>
  <c r="L61" i="80"/>
  <c r="L53" i="80"/>
  <c r="L45" i="80"/>
  <c r="L37" i="80"/>
  <c r="L29" i="80"/>
  <c r="L416" i="80"/>
  <c r="L604" i="80"/>
  <c r="L592" i="80"/>
  <c r="L584" i="80"/>
  <c r="L458" i="80"/>
  <c r="L450" i="80"/>
  <c r="L405" i="80"/>
  <c r="L397" i="80"/>
  <c r="L372" i="80"/>
  <c r="L364" i="80"/>
  <c r="L348" i="80"/>
  <c r="L340" i="80"/>
  <c r="L332" i="80"/>
  <c r="L173" i="80"/>
  <c r="L161" i="80"/>
  <c r="L124" i="80"/>
  <c r="L116" i="80"/>
  <c r="L108" i="80"/>
  <c r="L100" i="80"/>
  <c r="L92" i="80"/>
  <c r="L84" i="80"/>
  <c r="L76" i="80"/>
  <c r="L68" i="80"/>
  <c r="L60" i="80"/>
  <c r="L52" i="80"/>
  <c r="L44" i="80"/>
  <c r="L36" i="80"/>
  <c r="L417" i="80"/>
  <c r="L605" i="80"/>
  <c r="L591" i="80"/>
  <c r="L583" i="80"/>
  <c r="L457" i="80"/>
  <c r="L449" i="80"/>
  <c r="L404" i="80"/>
  <c r="L396" i="80"/>
  <c r="L371" i="80"/>
  <c r="L355" i="80"/>
  <c r="L347" i="80"/>
  <c r="L339" i="80"/>
  <c r="L172" i="80"/>
  <c r="L159" i="80"/>
  <c r="L123" i="80"/>
  <c r="L115" i="80"/>
  <c r="L107" i="80"/>
  <c r="L99" i="80"/>
  <c r="L91" i="80"/>
  <c r="L83" i="80"/>
  <c r="L75" i="80"/>
  <c r="L67" i="80"/>
  <c r="L59" i="80"/>
  <c r="L51" i="80"/>
  <c r="L43" i="80"/>
  <c r="L35" i="80"/>
  <c r="L606" i="80"/>
  <c r="L590" i="80"/>
  <c r="L582" i="80"/>
  <c r="L456" i="80"/>
  <c r="L448" i="80"/>
  <c r="L403" i="80"/>
  <c r="L379" i="80"/>
  <c r="L370" i="80"/>
  <c r="L354" i="80"/>
  <c r="L346" i="80"/>
  <c r="L338" i="80"/>
  <c r="L171" i="80"/>
  <c r="L157" i="80"/>
  <c r="L122" i="80"/>
  <c r="L114" i="80"/>
  <c r="L106" i="80"/>
  <c r="L98" i="80"/>
  <c r="L90" i="80"/>
  <c r="L82" i="80"/>
  <c r="L74" i="80"/>
  <c r="L66" i="80"/>
  <c r="L58" i="80"/>
  <c r="L50" i="80"/>
  <c r="L42" i="80"/>
  <c r="L34" i="80"/>
  <c r="L411" i="80"/>
  <c r="L607" i="80"/>
  <c r="L589" i="80"/>
  <c r="L581" i="80"/>
  <c r="L455" i="80"/>
  <c r="L418" i="80"/>
  <c r="L402" i="80"/>
  <c r="L377" i="80"/>
  <c r="L369" i="80"/>
  <c r="L353" i="80"/>
  <c r="L345" i="80"/>
  <c r="L337" i="80"/>
  <c r="L170" i="80"/>
  <c r="L156" i="80"/>
  <c r="L121" i="80"/>
  <c r="L113" i="80"/>
  <c r="L105" i="80"/>
  <c r="L97" i="80"/>
  <c r="L89" i="80"/>
  <c r="L81" i="80"/>
  <c r="L73" i="80"/>
  <c r="L65" i="80"/>
  <c r="L57" i="80"/>
  <c r="L49" i="80"/>
  <c r="L41" i="80"/>
  <c r="L33" i="80"/>
  <c r="L412" i="80"/>
  <c r="L600" i="80"/>
  <c r="L608" i="80"/>
  <c r="L588" i="80"/>
  <c r="L462" i="80"/>
  <c r="L454" i="80"/>
  <c r="L409" i="80"/>
  <c r="L401" i="80"/>
  <c r="L376" i="80"/>
  <c r="L368" i="80"/>
  <c r="L352" i="80"/>
  <c r="L344" i="80"/>
  <c r="L336" i="80"/>
  <c r="L169" i="80"/>
  <c r="L142" i="80"/>
  <c r="L120" i="80"/>
  <c r="L112" i="80"/>
  <c r="L104" i="80"/>
  <c r="L96" i="80"/>
  <c r="L88" i="80"/>
  <c r="L80" i="80"/>
  <c r="L72" i="80"/>
  <c r="L64" i="80"/>
  <c r="L56" i="80"/>
  <c r="L48" i="80"/>
  <c r="L40" i="80"/>
  <c r="L32" i="80"/>
  <c r="L616" i="80"/>
  <c r="L413" i="80"/>
  <c r="L601" i="80"/>
  <c r="L609" i="80"/>
  <c r="L587" i="80"/>
  <c r="L461" i="80"/>
  <c r="L453" i="80"/>
  <c r="L408" i="80"/>
  <c r="L400" i="80"/>
  <c r="L375" i="80"/>
  <c r="L367" i="80"/>
  <c r="L351" i="80"/>
  <c r="L343" i="80"/>
  <c r="L335" i="80"/>
  <c r="L167" i="80"/>
  <c r="L139" i="80"/>
  <c r="L119" i="80"/>
  <c r="L111" i="80"/>
  <c r="L103" i="80"/>
  <c r="L95" i="80"/>
  <c r="L87" i="80"/>
  <c r="L79" i="80"/>
  <c r="L71" i="80"/>
  <c r="L63" i="80"/>
  <c r="L55" i="80"/>
  <c r="L47" i="80"/>
  <c r="L39" i="80"/>
  <c r="L31" i="80"/>
  <c r="L414" i="80"/>
  <c r="L602" i="80"/>
  <c r="L594" i="80"/>
  <c r="L586" i="80"/>
  <c r="L460" i="80"/>
  <c r="L452" i="80"/>
  <c r="L407" i="80"/>
  <c r="L399" i="80"/>
  <c r="L374" i="80"/>
  <c r="L366" i="80"/>
  <c r="L350" i="80"/>
  <c r="L342" i="80"/>
  <c r="L334" i="80"/>
  <c r="L165" i="80"/>
  <c r="L126" i="80"/>
  <c r="L118" i="80"/>
  <c r="L110" i="80"/>
  <c r="L102" i="80"/>
  <c r="L94" i="80"/>
  <c r="L86" i="80"/>
  <c r="L78" i="80"/>
  <c r="L70" i="80"/>
  <c r="L62" i="80"/>
  <c r="L54" i="80"/>
  <c r="L46" i="80"/>
  <c r="L38" i="80"/>
  <c r="L30" i="80"/>
  <c r="K598" i="80"/>
  <c r="AL5" i="56"/>
  <c r="AL6" i="56"/>
  <c r="AG8" i="56"/>
  <c r="AG6" i="56"/>
  <c r="AB20" i="56"/>
  <c r="AM20" i="56" s="1"/>
  <c r="AL20" i="56" s="1"/>
  <c r="M37" i="56"/>
  <c r="M8" i="56"/>
  <c r="L37" i="56"/>
  <c r="L8" i="56"/>
  <c r="AF37" i="56"/>
  <c r="AF8" i="56"/>
  <c r="AI37" i="56"/>
  <c r="AI8" i="56"/>
  <c r="AH37" i="56"/>
  <c r="AH8" i="56"/>
  <c r="AK37" i="56"/>
  <c r="AK8" i="56"/>
  <c r="J37" i="56"/>
  <c r="J8" i="56"/>
  <c r="G37" i="56"/>
  <c r="G8" i="56"/>
  <c r="F37" i="56"/>
  <c r="F8" i="56"/>
  <c r="E37" i="56"/>
  <c r="E8" i="56"/>
  <c r="AJ37" i="56"/>
  <c r="AJ8" i="56"/>
  <c r="K37" i="56"/>
  <c r="K8" i="56"/>
  <c r="H37" i="56"/>
  <c r="H8" i="56"/>
  <c r="P39" i="53"/>
  <c r="M41" i="55" s="1"/>
  <c r="AG4" i="56"/>
  <c r="AG14" i="56"/>
  <c r="AG22" i="56"/>
  <c r="AG30" i="56"/>
  <c r="AG5" i="56"/>
  <c r="AG15" i="56"/>
  <c r="AG23" i="56"/>
  <c r="AG31" i="56"/>
  <c r="AG34" i="56"/>
  <c r="AG11" i="56"/>
  <c r="AG35" i="56"/>
  <c r="AG12" i="56"/>
  <c r="AG3" i="56"/>
  <c r="AG29" i="56"/>
  <c r="AG7" i="56"/>
  <c r="AG16" i="56"/>
  <c r="AG24" i="56"/>
  <c r="AG32" i="56"/>
  <c r="AG10" i="56"/>
  <c r="AG26" i="56"/>
  <c r="AG19" i="56"/>
  <c r="AG20" i="56"/>
  <c r="AG21" i="56"/>
  <c r="AG9" i="56"/>
  <c r="AG17" i="56"/>
  <c r="AG25" i="56"/>
  <c r="AG33" i="56"/>
  <c r="AG18" i="56"/>
  <c r="AG27" i="56"/>
  <c r="AG28" i="56"/>
  <c r="AG13" i="56"/>
  <c r="AH4" i="56"/>
  <c r="AH14" i="56"/>
  <c r="AH22" i="56"/>
  <c r="AH30" i="56"/>
  <c r="AH5" i="56"/>
  <c r="AH15" i="56"/>
  <c r="AH23" i="56"/>
  <c r="AH31" i="56"/>
  <c r="AH10" i="56"/>
  <c r="AH34" i="56"/>
  <c r="AH20" i="56"/>
  <c r="AH3" i="56"/>
  <c r="AH7" i="56"/>
  <c r="AH16" i="56"/>
  <c r="AH24" i="56"/>
  <c r="AH32" i="56"/>
  <c r="AH18" i="56"/>
  <c r="AH11" i="56"/>
  <c r="AH27" i="56"/>
  <c r="AH28" i="56"/>
  <c r="AH13" i="56"/>
  <c r="AH29" i="56"/>
  <c r="AH9" i="56"/>
  <c r="AH17" i="56"/>
  <c r="AH25" i="56"/>
  <c r="AH33" i="56"/>
  <c r="AH26" i="56"/>
  <c r="AH19" i="56"/>
  <c r="AH35" i="56"/>
  <c r="AH12" i="56"/>
  <c r="AH36" i="56"/>
  <c r="AH21" i="56"/>
  <c r="AI4" i="56"/>
  <c r="AI14" i="56"/>
  <c r="AI22" i="56"/>
  <c r="AI30" i="56"/>
  <c r="AI5" i="56"/>
  <c r="AI15" i="56"/>
  <c r="AI23" i="56"/>
  <c r="AI31" i="56"/>
  <c r="AI26" i="56"/>
  <c r="AI11" i="56"/>
  <c r="AI35" i="56"/>
  <c r="AI12" i="56"/>
  <c r="AI28" i="56"/>
  <c r="AI13" i="56"/>
  <c r="AI3" i="56"/>
  <c r="AI7" i="56"/>
  <c r="AI16" i="56"/>
  <c r="AI24" i="56"/>
  <c r="AI32" i="56"/>
  <c r="AI18" i="56"/>
  <c r="AI19" i="56"/>
  <c r="AI36" i="56"/>
  <c r="AI21" i="56"/>
  <c r="AI9" i="56"/>
  <c r="AI17" i="56"/>
  <c r="AI25" i="56"/>
  <c r="AI33" i="56"/>
  <c r="AI10" i="56"/>
  <c r="AI34" i="56"/>
  <c r="AI27" i="56"/>
  <c r="AI20" i="56"/>
  <c r="AI29" i="56"/>
  <c r="AF5" i="56"/>
  <c r="AF15" i="56"/>
  <c r="AF23" i="56"/>
  <c r="AF31" i="56"/>
  <c r="AF7" i="56"/>
  <c r="AF16" i="56"/>
  <c r="AF24" i="56"/>
  <c r="AF32" i="56"/>
  <c r="AF27" i="56"/>
  <c r="AF28" i="56"/>
  <c r="AF22" i="56"/>
  <c r="AF9" i="56"/>
  <c r="AF17" i="56"/>
  <c r="AF25" i="56"/>
  <c r="AF33" i="56"/>
  <c r="AF19" i="56"/>
  <c r="AF12" i="56"/>
  <c r="AF36" i="56"/>
  <c r="AF13" i="56"/>
  <c r="AF29" i="56"/>
  <c r="AF14" i="56"/>
  <c r="AF10" i="56"/>
  <c r="AF18" i="56"/>
  <c r="AF26" i="56"/>
  <c r="AF34" i="56"/>
  <c r="AF11" i="56"/>
  <c r="AF35" i="56"/>
  <c r="AF20" i="56"/>
  <c r="AF21" i="56"/>
  <c r="AF3" i="56"/>
  <c r="AF4" i="56"/>
  <c r="AF30" i="56"/>
  <c r="AK4" i="56"/>
  <c r="AK14" i="56"/>
  <c r="AK22" i="56"/>
  <c r="AK30" i="56"/>
  <c r="AK5" i="56"/>
  <c r="AK15" i="56"/>
  <c r="AK23" i="56"/>
  <c r="AK31" i="56"/>
  <c r="AK18" i="56"/>
  <c r="AK34" i="56"/>
  <c r="AK11" i="56"/>
  <c r="AK27" i="56"/>
  <c r="AK20" i="56"/>
  <c r="AK3" i="56"/>
  <c r="AK7" i="56"/>
  <c r="AK16" i="56"/>
  <c r="AK24" i="56"/>
  <c r="AK32" i="56"/>
  <c r="AK26" i="56"/>
  <c r="AK19" i="56"/>
  <c r="AK35" i="56"/>
  <c r="AK28" i="56"/>
  <c r="AK13" i="56"/>
  <c r="AK29" i="56"/>
  <c r="AK9" i="56"/>
  <c r="AK17" i="56"/>
  <c r="AK25" i="56"/>
  <c r="AK33" i="56"/>
  <c r="AK10" i="56"/>
  <c r="AK12" i="56"/>
  <c r="AK36" i="56"/>
  <c r="AK21" i="56"/>
  <c r="AJ4" i="56"/>
  <c r="AJ14" i="56"/>
  <c r="AJ22" i="56"/>
  <c r="AJ30" i="56"/>
  <c r="AJ5" i="56"/>
  <c r="AJ15" i="56"/>
  <c r="AJ23" i="56"/>
  <c r="AJ31" i="56"/>
  <c r="AJ34" i="56"/>
  <c r="AJ19" i="56"/>
  <c r="AJ20" i="56"/>
  <c r="AJ29" i="56"/>
  <c r="AJ7" i="56"/>
  <c r="AJ16" i="56"/>
  <c r="AJ24" i="56"/>
  <c r="AJ32" i="56"/>
  <c r="AJ10" i="56"/>
  <c r="AJ26" i="56"/>
  <c r="AJ27" i="56"/>
  <c r="AJ12" i="56"/>
  <c r="AJ36" i="56"/>
  <c r="AJ21" i="56"/>
  <c r="AJ9" i="56"/>
  <c r="AJ17" i="56"/>
  <c r="AJ25" i="56"/>
  <c r="AJ33" i="56"/>
  <c r="AJ18" i="56"/>
  <c r="AJ11" i="56"/>
  <c r="AJ35" i="56"/>
  <c r="AJ28" i="56"/>
  <c r="AJ13" i="56"/>
  <c r="AJ3" i="56"/>
  <c r="AC7" i="56"/>
  <c r="AC16" i="56"/>
  <c r="AC24" i="56"/>
  <c r="AC32" i="56"/>
  <c r="AC10" i="56"/>
  <c r="AC26" i="56"/>
  <c r="AC11" i="56"/>
  <c r="AC9" i="56"/>
  <c r="AC17" i="56"/>
  <c r="AC25" i="56"/>
  <c r="AC33" i="56"/>
  <c r="AC18" i="56"/>
  <c r="AC34" i="56"/>
  <c r="AC19" i="56"/>
  <c r="AC35" i="56"/>
  <c r="AC27" i="56"/>
  <c r="AC12" i="56"/>
  <c r="AC20" i="56"/>
  <c r="AC28" i="56"/>
  <c r="AC36" i="56"/>
  <c r="AC14" i="56"/>
  <c r="AC30" i="56"/>
  <c r="AC15" i="56"/>
  <c r="AC31" i="56"/>
  <c r="AC13" i="56"/>
  <c r="AC21" i="56"/>
  <c r="AC29" i="56"/>
  <c r="AC3" i="56"/>
  <c r="AC4" i="56"/>
  <c r="AC22" i="56"/>
  <c r="AC5" i="56"/>
  <c r="AC23" i="56"/>
  <c r="M13" i="56"/>
  <c r="M21" i="56"/>
  <c r="M29" i="56"/>
  <c r="M3" i="56"/>
  <c r="M31" i="56"/>
  <c r="M24" i="56"/>
  <c r="M17" i="56"/>
  <c r="M18" i="56"/>
  <c r="M11" i="56"/>
  <c r="M27" i="56"/>
  <c r="M36" i="56"/>
  <c r="M4" i="56"/>
  <c r="M14" i="56"/>
  <c r="M22" i="56"/>
  <c r="M30" i="56"/>
  <c r="M23" i="56"/>
  <c r="M16" i="56"/>
  <c r="M9" i="56"/>
  <c r="M10" i="56"/>
  <c r="M26" i="56"/>
  <c r="M35" i="56"/>
  <c r="M20" i="56"/>
  <c r="M5" i="56"/>
  <c r="M15" i="56"/>
  <c r="M32" i="56"/>
  <c r="M25" i="56"/>
  <c r="M34" i="56"/>
  <c r="M19" i="56"/>
  <c r="M12" i="56"/>
  <c r="M7" i="56"/>
  <c r="M33" i="56"/>
  <c r="M28" i="56"/>
  <c r="L13" i="56"/>
  <c r="L21" i="56"/>
  <c r="L29" i="56"/>
  <c r="L3" i="56"/>
  <c r="L4" i="56"/>
  <c r="L14" i="56"/>
  <c r="L22" i="56"/>
  <c r="L30" i="56"/>
  <c r="L27" i="56"/>
  <c r="L20" i="56"/>
  <c r="L5" i="56"/>
  <c r="L15" i="56"/>
  <c r="L23" i="56"/>
  <c r="L31" i="56"/>
  <c r="L25" i="56"/>
  <c r="L18" i="56"/>
  <c r="L19" i="56"/>
  <c r="L28" i="56"/>
  <c r="L7" i="56"/>
  <c r="L16" i="56"/>
  <c r="L24" i="56"/>
  <c r="L32" i="56"/>
  <c r="L17" i="56"/>
  <c r="L33" i="56"/>
  <c r="L26" i="56"/>
  <c r="L11" i="56"/>
  <c r="L12" i="56"/>
  <c r="L9" i="56"/>
  <c r="L10" i="56"/>
  <c r="L34" i="56"/>
  <c r="L35" i="56"/>
  <c r="L36" i="56"/>
  <c r="K7" i="56"/>
  <c r="K16" i="56"/>
  <c r="K24" i="56"/>
  <c r="K32" i="56"/>
  <c r="K10" i="56"/>
  <c r="K26" i="56"/>
  <c r="K11" i="56"/>
  <c r="K27" i="56"/>
  <c r="K20" i="56"/>
  <c r="K36" i="56"/>
  <c r="K21" i="56"/>
  <c r="K22" i="56"/>
  <c r="K15" i="56"/>
  <c r="K9" i="56"/>
  <c r="K17" i="56"/>
  <c r="K25" i="56"/>
  <c r="K33" i="56"/>
  <c r="K18" i="56"/>
  <c r="K34" i="56"/>
  <c r="K19" i="56"/>
  <c r="K35" i="56"/>
  <c r="K28" i="56"/>
  <c r="K29" i="56"/>
  <c r="K14" i="56"/>
  <c r="K23" i="56"/>
  <c r="K12" i="56"/>
  <c r="K13" i="56"/>
  <c r="K3" i="56"/>
  <c r="K4" i="56"/>
  <c r="K30" i="56"/>
  <c r="K5" i="56"/>
  <c r="K31" i="56"/>
  <c r="J7" i="56"/>
  <c r="J16" i="56"/>
  <c r="J24" i="56"/>
  <c r="J32" i="56"/>
  <c r="J25" i="56"/>
  <c r="J10" i="56"/>
  <c r="J26" i="56"/>
  <c r="J19" i="56"/>
  <c r="J35" i="56"/>
  <c r="J21" i="56"/>
  <c r="J3" i="56"/>
  <c r="J4" i="56"/>
  <c r="J30" i="56"/>
  <c r="J5" i="56"/>
  <c r="J31" i="56"/>
  <c r="J9" i="56"/>
  <c r="J17" i="56"/>
  <c r="J33" i="56"/>
  <c r="J18" i="56"/>
  <c r="J34" i="56"/>
  <c r="J11" i="56"/>
  <c r="J27" i="56"/>
  <c r="J29" i="56"/>
  <c r="J14" i="56"/>
  <c r="J23" i="56"/>
  <c r="J12" i="56"/>
  <c r="J20" i="56"/>
  <c r="J28" i="56"/>
  <c r="J36" i="56"/>
  <c r="J13" i="56"/>
  <c r="J22" i="56"/>
  <c r="J15" i="56"/>
  <c r="H4" i="56"/>
  <c r="H14" i="56"/>
  <c r="H22" i="56"/>
  <c r="H5" i="56"/>
  <c r="H15" i="56"/>
  <c r="H23" i="56"/>
  <c r="H31" i="56"/>
  <c r="H7" i="56"/>
  <c r="H16" i="56"/>
  <c r="H24" i="56"/>
  <c r="H32" i="56"/>
  <c r="H27" i="56"/>
  <c r="H28" i="56"/>
  <c r="H29" i="56"/>
  <c r="H9" i="56"/>
  <c r="H17" i="56"/>
  <c r="H25" i="56"/>
  <c r="H33" i="56"/>
  <c r="H19" i="56"/>
  <c r="H20" i="56"/>
  <c r="H21" i="56"/>
  <c r="H3" i="56"/>
  <c r="H10" i="56"/>
  <c r="H18" i="56"/>
  <c r="H26" i="56"/>
  <c r="H34" i="56"/>
  <c r="H11" i="56"/>
  <c r="H35" i="56"/>
  <c r="H12" i="56"/>
  <c r="H36" i="56"/>
  <c r="H30" i="56"/>
  <c r="H13" i="56"/>
  <c r="F4" i="56"/>
  <c r="F14" i="56"/>
  <c r="F22" i="56"/>
  <c r="F30" i="56"/>
  <c r="F17" i="56"/>
  <c r="F36" i="56"/>
  <c r="F13" i="56"/>
  <c r="F5" i="56"/>
  <c r="F15" i="56"/>
  <c r="F23" i="56"/>
  <c r="F31" i="56"/>
  <c r="F9" i="56"/>
  <c r="F33" i="56"/>
  <c r="F21" i="56"/>
  <c r="F7" i="56"/>
  <c r="F16" i="56"/>
  <c r="F24" i="56"/>
  <c r="F32" i="56"/>
  <c r="F25" i="56"/>
  <c r="F28" i="56"/>
  <c r="F29" i="56"/>
  <c r="F10" i="56"/>
  <c r="F18" i="56"/>
  <c r="F26" i="56"/>
  <c r="F34" i="56"/>
  <c r="F19" i="56"/>
  <c r="F35" i="56"/>
  <c r="F12" i="56"/>
  <c r="F3" i="56"/>
  <c r="F11" i="56"/>
  <c r="F27" i="56"/>
  <c r="F20" i="56"/>
  <c r="G5" i="56"/>
  <c r="G15" i="56"/>
  <c r="G23" i="56"/>
  <c r="G31" i="56"/>
  <c r="G7" i="56"/>
  <c r="G32" i="56"/>
  <c r="G25" i="56"/>
  <c r="G10" i="56"/>
  <c r="G18" i="56"/>
  <c r="G26" i="56"/>
  <c r="G34" i="56"/>
  <c r="G12" i="56"/>
  <c r="G28" i="56"/>
  <c r="G14" i="56"/>
  <c r="G24" i="56"/>
  <c r="G9" i="56"/>
  <c r="G33" i="56"/>
  <c r="G11" i="56"/>
  <c r="G19" i="56"/>
  <c r="G27" i="56"/>
  <c r="G35" i="56"/>
  <c r="G20" i="56"/>
  <c r="G36" i="56"/>
  <c r="G13" i="56"/>
  <c r="G21" i="56"/>
  <c r="G29" i="56"/>
  <c r="G3" i="56"/>
  <c r="G4" i="56"/>
  <c r="G22" i="56"/>
  <c r="G30" i="56"/>
  <c r="G16" i="56"/>
  <c r="G17" i="56"/>
  <c r="E3" i="56"/>
  <c r="E7" i="56"/>
  <c r="E9" i="56"/>
  <c r="E17" i="56"/>
  <c r="E25" i="56"/>
  <c r="E33" i="56"/>
  <c r="E19" i="56"/>
  <c r="E35" i="56"/>
  <c r="E20" i="56"/>
  <c r="E36" i="56"/>
  <c r="E29" i="56"/>
  <c r="E14" i="56"/>
  <c r="E15" i="56"/>
  <c r="E24" i="56"/>
  <c r="E10" i="56"/>
  <c r="E18" i="56"/>
  <c r="E26" i="56"/>
  <c r="E34" i="56"/>
  <c r="E11" i="56"/>
  <c r="E27" i="56"/>
  <c r="E12" i="56"/>
  <c r="E28" i="56"/>
  <c r="E21" i="56"/>
  <c r="E4" i="56"/>
  <c r="E30" i="56"/>
  <c r="E5" i="56"/>
  <c r="E31" i="56"/>
  <c r="E32" i="56"/>
  <c r="E13" i="56"/>
  <c r="E22" i="56"/>
  <c r="E23" i="56"/>
  <c r="E16" i="56"/>
  <c r="M51" i="55"/>
  <c r="M56" i="55"/>
  <c r="P44" i="53"/>
  <c r="P43" i="53"/>
  <c r="AB25" i="56"/>
  <c r="AB16" i="56"/>
  <c r="L31" i="58"/>
  <c r="AB29" i="56"/>
  <c r="E17" i="54"/>
  <c r="AB22" i="56"/>
  <c r="AB13" i="56"/>
  <c r="L48" i="55"/>
  <c r="G49" i="55" s="1"/>
  <c r="AB12" i="56"/>
  <c r="AM12" i="56" s="1"/>
  <c r="L38" i="55"/>
  <c r="C39" i="55" s="1"/>
  <c r="E14" i="54"/>
  <c r="E13" i="54"/>
  <c r="AB14" i="56"/>
  <c r="AM14" i="56" s="1"/>
  <c r="AB23" i="56"/>
  <c r="AB30" i="56"/>
  <c r="AB15" i="56"/>
  <c r="AM15" i="56" s="1"/>
  <c r="AB19" i="56"/>
  <c r="AM19" i="56" s="1"/>
  <c r="AB24" i="56"/>
  <c r="L53" i="55"/>
  <c r="G54" i="55" s="1"/>
  <c r="AB17" i="56"/>
  <c r="AM17" i="56" s="1"/>
  <c r="AB21" i="56"/>
  <c r="AM21" i="56" s="1"/>
  <c r="L598" i="80" l="1"/>
  <c r="AN20" i="56"/>
  <c r="AO20" i="56" s="1"/>
  <c r="AM30" i="56"/>
  <c r="AL30" i="56" s="1"/>
  <c r="AM13" i="56"/>
  <c r="AL13" i="56" s="1"/>
  <c r="AM25" i="56"/>
  <c r="AL25" i="56" s="1"/>
  <c r="AM23" i="56"/>
  <c r="AL23" i="56" s="1"/>
  <c r="AM22" i="56"/>
  <c r="AN22" i="56" s="1"/>
  <c r="AO22" i="56" s="1"/>
  <c r="AM24" i="56"/>
  <c r="AL24" i="56" s="1"/>
  <c r="AM29" i="56"/>
  <c r="AL29" i="56" s="1"/>
  <c r="AM16" i="56"/>
  <c r="AN16" i="56" s="1"/>
  <c r="AO16" i="56" s="1"/>
  <c r="B41" i="55"/>
  <c r="B38" i="55"/>
  <c r="R39" i="53"/>
  <c r="D67" i="58"/>
  <c r="D66" i="58"/>
  <c r="R43" i="53"/>
  <c r="R44" i="53"/>
  <c r="D44" i="53"/>
  <c r="F44" i="53" s="1"/>
  <c r="AE3" i="56"/>
  <c r="D39" i="55"/>
  <c r="F49" i="55"/>
  <c r="L49" i="55" s="1"/>
  <c r="G50" i="55" s="1"/>
  <c r="F54" i="55"/>
  <c r="L54" i="55" s="1"/>
  <c r="G55" i="55" s="1"/>
  <c r="G56" i="55" s="1"/>
  <c r="M16" i="55"/>
  <c r="AL12" i="56"/>
  <c r="AN12" i="56"/>
  <c r="AO12" i="56" s="1"/>
  <c r="E39" i="55"/>
  <c r="AE2" i="56"/>
  <c r="AB28" i="56"/>
  <c r="AM28" i="56" s="1"/>
  <c r="AB26" i="56"/>
  <c r="AM26" i="56" s="1"/>
  <c r="L28" i="55"/>
  <c r="AB27" i="56"/>
  <c r="AM27" i="56" s="1"/>
  <c r="AB31" i="56"/>
  <c r="AM31" i="56" s="1"/>
  <c r="AL19" i="56"/>
  <c r="AN19" i="56"/>
  <c r="AO19" i="56" s="1"/>
  <c r="AN15" i="56"/>
  <c r="AO15" i="56" s="1"/>
  <c r="AL15" i="56"/>
  <c r="AL14" i="56"/>
  <c r="AN14" i="56"/>
  <c r="AO14" i="56" s="1"/>
  <c r="B53" i="55"/>
  <c r="B56" i="55"/>
  <c r="AN21" i="56"/>
  <c r="AO21" i="56" s="1"/>
  <c r="AL21" i="56"/>
  <c r="AL17" i="56"/>
  <c r="AN17" i="56"/>
  <c r="AO17" i="56" s="1"/>
  <c r="L34" i="55" l="1"/>
  <c r="AN23" i="56"/>
  <c r="AO23" i="56" s="1"/>
  <c r="AN30" i="56"/>
  <c r="AO30" i="56" s="1"/>
  <c r="AL16" i="56"/>
  <c r="AN24" i="56"/>
  <c r="AO24" i="56" s="1"/>
  <c r="AN29" i="56"/>
  <c r="AO29" i="56" s="1"/>
  <c r="AN25" i="56"/>
  <c r="AO25" i="56" s="1"/>
  <c r="AL22" i="56"/>
  <c r="AN13" i="56"/>
  <c r="AO13" i="56" s="1"/>
  <c r="AG36" i="56"/>
  <c r="AG37" i="56" s="1"/>
  <c r="F50" i="55"/>
  <c r="L50" i="55" s="1"/>
  <c r="AE4" i="56"/>
  <c r="L39" i="55"/>
  <c r="AN27" i="56"/>
  <c r="G51" i="55"/>
  <c r="AL31" i="56"/>
  <c r="AN31" i="56"/>
  <c r="AO31" i="56" s="1"/>
  <c r="AL26" i="56"/>
  <c r="AN26" i="56"/>
  <c r="AO26" i="56" s="1"/>
  <c r="B51" i="55"/>
  <c r="B48" i="55"/>
  <c r="F29" i="55"/>
  <c r="AL28" i="56"/>
  <c r="AN28" i="56"/>
  <c r="AO28" i="56" s="1"/>
  <c r="F55" i="55"/>
  <c r="G35" i="55" l="1"/>
  <c r="D40" i="55"/>
  <c r="D41" i="55" s="1"/>
  <c r="T7" i="56" s="1"/>
  <c r="F51" i="55"/>
  <c r="L51" i="55" s="1"/>
  <c r="AE5" i="56"/>
  <c r="C40" i="55"/>
  <c r="C41" i="55" s="1"/>
  <c r="E40" i="55"/>
  <c r="E41" i="55" s="1"/>
  <c r="U7" i="56" s="1"/>
  <c r="AL27" i="56"/>
  <c r="AO27" i="56"/>
  <c r="L29" i="55"/>
  <c r="F56" i="55"/>
  <c r="L56" i="55" s="1"/>
  <c r="L55" i="55"/>
  <c r="AE9" i="56" l="1"/>
  <c r="AE7" i="56"/>
  <c r="L40" i="55"/>
  <c r="L41" i="55"/>
  <c r="S7" i="56"/>
  <c r="AB7" i="56" s="1"/>
  <c r="AM7" i="56" s="1"/>
  <c r="F30" i="55"/>
  <c r="L35" i="55" l="1"/>
  <c r="AN7" i="56"/>
  <c r="AO7" i="56" s="1"/>
  <c r="L30" i="55"/>
  <c r="AE11" i="56" l="1"/>
  <c r="AE10" i="56"/>
  <c r="AE12" i="56"/>
  <c r="AE13" i="56" l="1"/>
  <c r="M11" i="55"/>
  <c r="B11" i="55" l="1"/>
  <c r="AE14" i="56"/>
  <c r="B8" i="55"/>
  <c r="AE15" i="56" l="1"/>
  <c r="AE16" i="56" l="1"/>
  <c r="AE17" i="56" l="1"/>
  <c r="B13" i="55"/>
  <c r="B16" i="55"/>
  <c r="AE18" i="56" l="1"/>
  <c r="AE19" i="56" l="1"/>
  <c r="AE20" i="56" l="1"/>
  <c r="AE21" i="56" l="1"/>
  <c r="AE22" i="56" l="1"/>
  <c r="AE23" i="56" l="1"/>
  <c r="AE24" i="56" l="1"/>
  <c r="AE25" i="56" l="1"/>
  <c r="AE26" i="56" l="1"/>
  <c r="AE27" i="56" l="1"/>
  <c r="AE28" i="56" l="1"/>
  <c r="AE29" i="56" l="1"/>
  <c r="AE30" i="56" l="1"/>
  <c r="AE31" i="56" l="1"/>
  <c r="AE32" i="56" l="1"/>
  <c r="AE33" i="56" l="1"/>
  <c r="AE34" i="56" l="1"/>
  <c r="AE36" i="56" l="1"/>
  <c r="AE35" i="56"/>
  <c r="L66" i="55" l="1"/>
  <c r="M206" i="80" l="1"/>
  <c r="O14" i="80" l="1"/>
  <c r="M14" i="80"/>
  <c r="O620" i="80" l="1"/>
  <c r="M23" i="80" l="1"/>
  <c r="O624" i="80" l="1"/>
  <c r="M263" i="80" l="1"/>
  <c r="M264" i="80"/>
  <c r="M579" i="80" l="1"/>
  <c r="M29" i="80" l="1"/>
  <c r="O29" i="80"/>
  <c r="L108" i="53"/>
  <c r="AL4" i="56" s="1"/>
  <c r="L109" i="53" l="1"/>
  <c r="AL3" i="56" s="1"/>
  <c r="M36" i="55" l="1"/>
  <c r="B36" i="55" s="1"/>
  <c r="M31" i="55" l="1"/>
  <c r="B33" i="55"/>
  <c r="G36" i="55"/>
  <c r="L36" i="55" s="1"/>
  <c r="B31" i="55" l="1"/>
  <c r="F31" i="55"/>
  <c r="B28" i="55"/>
  <c r="W6" i="56"/>
  <c r="AB6" i="56" s="1"/>
  <c r="AM6" i="56" s="1"/>
  <c r="AN6" i="56" s="1"/>
  <c r="AO6" i="56" s="1"/>
  <c r="L31" i="55" l="1"/>
  <c r="V5" i="56"/>
  <c r="AB5" i="56" s="1"/>
  <c r="AM5" i="56" s="1"/>
  <c r="AN5" i="56" s="1"/>
  <c r="AO5" i="56" s="1"/>
  <c r="M283" i="80" l="1"/>
  <c r="O283" i="80"/>
  <c r="O284" i="80"/>
  <c r="M284" i="80"/>
  <c r="O282" i="80"/>
  <c r="M282" i="80"/>
  <c r="O281" i="80"/>
  <c r="M281" i="80"/>
  <c r="M288" i="80" l="1"/>
  <c r="O288" i="80"/>
  <c r="M289" i="80"/>
  <c r="O289" i="80"/>
  <c r="O598" i="80"/>
  <c r="M598" i="80"/>
  <c r="O25" i="80" l="1"/>
  <c r="M25" i="80"/>
  <c r="M15" i="80" l="1"/>
  <c r="O15" i="80"/>
  <c r="O623" i="80"/>
  <c r="O622" i="80"/>
  <c r="M205" i="80" l="1"/>
  <c r="O205" i="80"/>
  <c r="M219" i="80"/>
  <c r="O219" i="80"/>
  <c r="M214" i="80"/>
  <c r="O214" i="80"/>
  <c r="M218" i="80"/>
  <c r="O218" i="80"/>
  <c r="M216" i="80"/>
  <c r="O216" i="80"/>
  <c r="O215" i="80"/>
  <c r="M215" i="80"/>
  <c r="M209" i="80"/>
  <c r="O209" i="80"/>
  <c r="M220" i="80"/>
  <c r="O220" i="80"/>
  <c r="O208" i="80"/>
  <c r="M208" i="80"/>
  <c r="M222" i="80"/>
  <c r="O222" i="80"/>
  <c r="M213" i="80"/>
  <c r="O213" i="80"/>
  <c r="M207" i="80"/>
  <c r="O207" i="80"/>
  <c r="I112" i="194" l="1"/>
  <c r="I95" i="194"/>
  <c r="K21" i="80" l="1"/>
  <c r="M21" i="80" s="1"/>
  <c r="O21" i="80"/>
  <c r="K137" i="80"/>
  <c r="M137" i="80" s="1"/>
  <c r="O137" i="80"/>
  <c r="K256" i="80"/>
  <c r="M256" i="80" s="1"/>
  <c r="O256" i="80"/>
  <c r="K59" i="80"/>
  <c r="M59" i="80" s="1"/>
  <c r="O59" i="80"/>
  <c r="O167" i="80"/>
  <c r="K167" i="80"/>
  <c r="M167" i="80" s="1"/>
  <c r="O585" i="80"/>
  <c r="K585" i="80"/>
  <c r="M585" i="80" s="1"/>
  <c r="O611" i="80"/>
  <c r="K611" i="80"/>
  <c r="M611" i="80" s="1"/>
  <c r="O161" i="80"/>
  <c r="K161" i="80"/>
  <c r="M161" i="80" s="1"/>
  <c r="O38" i="80"/>
  <c r="K38" i="80"/>
  <c r="M38" i="80" s="1"/>
  <c r="K171" i="80"/>
  <c r="M171" i="80" s="1"/>
  <c r="O171" i="80"/>
  <c r="K73" i="80"/>
  <c r="M73" i="80" s="1"/>
  <c r="O73" i="80"/>
  <c r="K589" i="80"/>
  <c r="M589" i="80" s="1"/>
  <c r="O589" i="80"/>
  <c r="K249" i="80"/>
  <c r="M249" i="80" s="1"/>
  <c r="O249" i="80"/>
  <c r="K172" i="80"/>
  <c r="M172" i="80" s="1"/>
  <c r="O172" i="80"/>
  <c r="K562" i="80"/>
  <c r="M562" i="80" s="1"/>
  <c r="O562" i="80"/>
  <c r="K269" i="80"/>
  <c r="M269" i="80" s="1"/>
  <c r="O269" i="80"/>
  <c r="O145" i="80"/>
  <c r="K145" i="80"/>
  <c r="M145" i="80" s="1"/>
  <c r="R16" i="80"/>
  <c r="K547" i="80"/>
  <c r="M547" i="80" s="1"/>
  <c r="AB9" i="80"/>
  <c r="S35" i="56" s="1"/>
  <c r="O546" i="80"/>
  <c r="O547" i="80"/>
  <c r="O291" i="80"/>
  <c r="K291" i="80"/>
  <c r="M291" i="80" s="1"/>
  <c r="O228" i="80"/>
  <c r="K228" i="80"/>
  <c r="M228" i="80" s="1"/>
  <c r="O22" i="80"/>
  <c r="K22" i="80"/>
  <c r="M22" i="80" s="1"/>
  <c r="K119" i="80"/>
  <c r="M119" i="80" s="1"/>
  <c r="O119" i="80"/>
  <c r="K56" i="80"/>
  <c r="M56" i="80" s="1"/>
  <c r="O56" i="80"/>
  <c r="K583" i="80"/>
  <c r="M583" i="80" s="1"/>
  <c r="O583" i="80"/>
  <c r="O97" i="80"/>
  <c r="K97" i="80"/>
  <c r="M97" i="80" s="1"/>
  <c r="K49" i="80"/>
  <c r="M49" i="80" s="1"/>
  <c r="O49" i="80"/>
  <c r="O273" i="80"/>
  <c r="K273" i="80"/>
  <c r="M273" i="80" s="1"/>
  <c r="K617" i="80"/>
  <c r="M617" i="80" s="1"/>
  <c r="O617" i="80"/>
  <c r="R19" i="80"/>
  <c r="K52" i="80"/>
  <c r="M52" i="80" s="1"/>
  <c r="O52" i="80"/>
  <c r="K613" i="80"/>
  <c r="M613" i="80" s="1"/>
  <c r="O613" i="80"/>
  <c r="O50" i="80"/>
  <c r="K50" i="80"/>
  <c r="M50" i="80" s="1"/>
  <c r="K125" i="80"/>
  <c r="M125" i="80" s="1"/>
  <c r="O125" i="80"/>
  <c r="O75" i="80"/>
  <c r="K75" i="80"/>
  <c r="M75" i="80" s="1"/>
  <c r="K148" i="80"/>
  <c r="M148" i="80" s="1"/>
  <c r="O148" i="80"/>
  <c r="K582" i="80"/>
  <c r="M582" i="80" s="1"/>
  <c r="O582" i="80"/>
  <c r="K144" i="80"/>
  <c r="M144" i="80" s="1"/>
  <c r="O144" i="80"/>
  <c r="K64" i="80"/>
  <c r="M64" i="80" s="1"/>
  <c r="O64" i="80"/>
  <c r="K549" i="80"/>
  <c r="M549" i="80" s="1"/>
  <c r="O549" i="80"/>
  <c r="K602" i="80"/>
  <c r="M602" i="80" s="1"/>
  <c r="O602" i="80"/>
  <c r="K74" i="80"/>
  <c r="M74" i="80" s="1"/>
  <c r="O74" i="80"/>
  <c r="K593" i="80"/>
  <c r="M593" i="80" s="1"/>
  <c r="O593" i="80"/>
  <c r="O163" i="80"/>
  <c r="K163" i="80"/>
  <c r="M163" i="80" s="1"/>
  <c r="O286" i="80"/>
  <c r="K286" i="80"/>
  <c r="M286" i="80" s="1"/>
  <c r="O113" i="80"/>
  <c r="K113" i="80"/>
  <c r="M113" i="80" s="1"/>
  <c r="O85" i="80"/>
  <c r="K85" i="80"/>
  <c r="M85" i="80" s="1"/>
  <c r="O204" i="80"/>
  <c r="K204" i="80"/>
  <c r="M204" i="80" s="1"/>
  <c r="K606" i="80"/>
  <c r="M606" i="80" s="1"/>
  <c r="O606" i="80"/>
  <c r="K16" i="80"/>
  <c r="M16" i="80" s="1"/>
  <c r="O16" i="80"/>
  <c r="R12" i="80"/>
  <c r="O13" i="80"/>
  <c r="AF7" i="80"/>
  <c r="W33" i="56" s="1"/>
  <c r="AB33" i="56" s="1"/>
  <c r="O62" i="80"/>
  <c r="K62" i="80"/>
  <c r="M62" i="80" s="1"/>
  <c r="K40" i="80"/>
  <c r="M40" i="80" s="1"/>
  <c r="O40" i="80"/>
  <c r="O84" i="80"/>
  <c r="K84" i="80"/>
  <c r="M84" i="80" s="1"/>
  <c r="O72" i="80"/>
  <c r="K72" i="80"/>
  <c r="M72" i="80" s="1"/>
  <c r="K45" i="80"/>
  <c r="M45" i="80" s="1"/>
  <c r="O45" i="80"/>
  <c r="K107" i="80"/>
  <c r="M107" i="80" s="1"/>
  <c r="O107" i="80"/>
  <c r="O212" i="80"/>
  <c r="K212" i="80"/>
  <c r="M212" i="80" s="1"/>
  <c r="O88" i="80"/>
  <c r="K88" i="80"/>
  <c r="M88" i="80" s="1"/>
  <c r="O551" i="80"/>
  <c r="K551" i="80"/>
  <c r="M551" i="80" s="1"/>
  <c r="O116" i="80"/>
  <c r="K116" i="80"/>
  <c r="M116" i="80" s="1"/>
  <c r="K610" i="80"/>
  <c r="M610" i="80" s="1"/>
  <c r="O610" i="80"/>
  <c r="K146" i="80"/>
  <c r="M146" i="80" s="1"/>
  <c r="O146" i="80"/>
  <c r="K253" i="80"/>
  <c r="M253" i="80" s="1"/>
  <c r="O253" i="80"/>
  <c r="K111" i="80"/>
  <c r="M111" i="80" s="1"/>
  <c r="O111" i="80"/>
  <c r="K67" i="80"/>
  <c r="M67" i="80" s="1"/>
  <c r="O67" i="80"/>
  <c r="O133" i="80"/>
  <c r="AC6" i="80"/>
  <c r="T32" i="56" s="1"/>
  <c r="K133" i="80"/>
  <c r="M133" i="80" s="1"/>
  <c r="O588" i="80"/>
  <c r="K588" i="80"/>
  <c r="M588" i="80" s="1"/>
  <c r="O605" i="80"/>
  <c r="K605" i="80"/>
  <c r="M605" i="80" s="1"/>
  <c r="K91" i="80"/>
  <c r="M91" i="80" s="1"/>
  <c r="O91" i="80"/>
  <c r="K558" i="80"/>
  <c r="M558" i="80" s="1"/>
  <c r="O558" i="80"/>
  <c r="K140" i="80"/>
  <c r="M140" i="80" s="1"/>
  <c r="O140" i="80"/>
  <c r="K105" i="80"/>
  <c r="M105" i="80" s="1"/>
  <c r="O105" i="80"/>
  <c r="O581" i="80"/>
  <c r="R17" i="80"/>
  <c r="AB10" i="80"/>
  <c r="S36" i="56" s="1"/>
  <c r="K581" i="80"/>
  <c r="M581" i="80" s="1"/>
  <c r="O603" i="80"/>
  <c r="K603" i="80"/>
  <c r="M603" i="80" s="1"/>
  <c r="O103" i="80"/>
  <c r="K103" i="80"/>
  <c r="M103" i="80" s="1"/>
  <c r="K89" i="80"/>
  <c r="M89" i="80" s="1"/>
  <c r="O89" i="80"/>
  <c r="K100" i="80"/>
  <c r="M100" i="80" s="1"/>
  <c r="O100" i="80"/>
  <c r="K99" i="80"/>
  <c r="M99" i="80" s="1"/>
  <c r="O99" i="80"/>
  <c r="K42" i="80"/>
  <c r="M42" i="80" s="1"/>
  <c r="O42" i="80"/>
  <c r="O591" i="80"/>
  <c r="K591" i="80"/>
  <c r="M591" i="80" s="1"/>
  <c r="O138" i="80"/>
  <c r="K138" i="80"/>
  <c r="M138" i="80" s="1"/>
  <c r="O586" i="80"/>
  <c r="K586" i="80"/>
  <c r="M586" i="80" s="1"/>
  <c r="O110" i="80"/>
  <c r="K110" i="80"/>
  <c r="M110" i="80" s="1"/>
  <c r="O44" i="80"/>
  <c r="K44" i="80"/>
  <c r="M44" i="80" s="1"/>
  <c r="O217" i="80"/>
  <c r="K217" i="80"/>
  <c r="M217" i="80" s="1"/>
  <c r="O117" i="80"/>
  <c r="K117" i="80"/>
  <c r="M117" i="80" s="1"/>
  <c r="O80" i="80"/>
  <c r="K80" i="80"/>
  <c r="M80" i="80" s="1"/>
  <c r="K612" i="80"/>
  <c r="M612" i="80" s="1"/>
  <c r="O612" i="80"/>
  <c r="O36" i="80"/>
  <c r="K36" i="80"/>
  <c r="M36" i="80" s="1"/>
  <c r="O232" i="80"/>
  <c r="K232" i="80"/>
  <c r="M232" i="80" s="1"/>
  <c r="O554" i="80"/>
  <c r="K554" i="80"/>
  <c r="M554" i="80" s="1"/>
  <c r="K223" i="80"/>
  <c r="M223" i="80" s="1"/>
  <c r="O223" i="80"/>
  <c r="K60" i="80"/>
  <c r="M60" i="80" s="1"/>
  <c r="O60" i="80"/>
  <c r="O54" i="80"/>
  <c r="K54" i="80"/>
  <c r="M54" i="80" s="1"/>
  <c r="O173" i="80"/>
  <c r="K173" i="80"/>
  <c r="M173" i="80" s="1"/>
  <c r="O17" i="80"/>
  <c r="K17" i="80"/>
  <c r="M17" i="80" s="1"/>
  <c r="O58" i="80"/>
  <c r="K58" i="80"/>
  <c r="M58" i="80" s="1"/>
  <c r="O37" i="80"/>
  <c r="K37" i="80"/>
  <c r="M37" i="80" s="1"/>
  <c r="O151" i="80"/>
  <c r="K151" i="80"/>
  <c r="M151" i="80" s="1"/>
  <c r="O599" i="80"/>
  <c r="R18" i="80"/>
  <c r="K599" i="80"/>
  <c r="M599" i="80" s="1"/>
  <c r="O30" i="80"/>
  <c r="K30" i="80"/>
  <c r="M30" i="80" s="1"/>
  <c r="R13" i="80"/>
  <c r="O28" i="80"/>
  <c r="K68" i="80"/>
  <c r="M68" i="80" s="1"/>
  <c r="O68" i="80"/>
  <c r="K96" i="80"/>
  <c r="M96" i="80" s="1"/>
  <c r="O96" i="80"/>
  <c r="K78" i="80"/>
  <c r="M78" i="80" s="1"/>
  <c r="O78" i="80"/>
  <c r="O71" i="80"/>
  <c r="K71" i="80"/>
  <c r="M71" i="80" s="1"/>
  <c r="K608" i="80"/>
  <c r="M608" i="80" s="1"/>
  <c r="O608" i="80"/>
  <c r="K51" i="80"/>
  <c r="M51" i="80" s="1"/>
  <c r="O51" i="80"/>
  <c r="O76" i="80"/>
  <c r="K76" i="80"/>
  <c r="M76" i="80" s="1"/>
  <c r="K143" i="80"/>
  <c r="M143" i="80" s="1"/>
  <c r="O143" i="80"/>
  <c r="O170" i="80"/>
  <c r="K170" i="80"/>
  <c r="M170" i="80" s="1"/>
  <c r="O600" i="80"/>
  <c r="K600" i="80"/>
  <c r="M600" i="80" s="1"/>
  <c r="O234" i="80"/>
  <c r="K234" i="80"/>
  <c r="M234" i="80" s="1"/>
  <c r="O255" i="80"/>
  <c r="K255" i="80"/>
  <c r="M255" i="80" s="1"/>
  <c r="K272" i="80"/>
  <c r="M272" i="80" s="1"/>
  <c r="O272" i="80"/>
  <c r="O202" i="80"/>
  <c r="O203" i="80"/>
  <c r="K203" i="80"/>
  <c r="M203" i="80" s="1"/>
  <c r="R14" i="80"/>
  <c r="O267" i="80"/>
  <c r="K267" i="80"/>
  <c r="M267" i="80" s="1"/>
  <c r="O109" i="80"/>
  <c r="K109" i="80"/>
  <c r="M109" i="80" s="1"/>
  <c r="K130" i="80"/>
  <c r="M130" i="80" s="1"/>
  <c r="O130" i="80"/>
  <c r="K106" i="80"/>
  <c r="M106" i="80" s="1"/>
  <c r="O106" i="80"/>
  <c r="O262" i="80"/>
  <c r="K545" i="80"/>
  <c r="M545" i="80" s="1"/>
  <c r="K262" i="80"/>
  <c r="M262" i="80" s="1"/>
  <c r="K157" i="80"/>
  <c r="M157" i="80" s="1"/>
  <c r="O157" i="80"/>
  <c r="O41" i="80"/>
  <c r="K41" i="80"/>
  <c r="M41" i="80" s="1"/>
  <c r="O34" i="80"/>
  <c r="K34" i="80"/>
  <c r="M34" i="80" s="1"/>
  <c r="K238" i="80"/>
  <c r="M238" i="80" s="1"/>
  <c r="O238" i="80"/>
  <c r="K31" i="80"/>
  <c r="M31" i="80" s="1"/>
  <c r="O31" i="80"/>
  <c r="O53" i="80"/>
  <c r="K53" i="80"/>
  <c r="M53" i="80" s="1"/>
  <c r="K95" i="80"/>
  <c r="M95" i="80" s="1"/>
  <c r="O95" i="80"/>
  <c r="O584" i="80"/>
  <c r="K584" i="80"/>
  <c r="M584" i="80" s="1"/>
  <c r="O92" i="80"/>
  <c r="K92" i="80"/>
  <c r="M92" i="80" s="1"/>
  <c r="O261" i="80"/>
  <c r="K261" i="80"/>
  <c r="M261" i="80" s="1"/>
  <c r="K19" i="80"/>
  <c r="M19" i="80" s="1"/>
  <c r="O19" i="80"/>
  <c r="O55" i="80"/>
  <c r="K55" i="80"/>
  <c r="M55" i="80" s="1"/>
  <c r="O118" i="80"/>
  <c r="K118" i="80"/>
  <c r="M118" i="80" s="1"/>
  <c r="O563" i="80"/>
  <c r="K563" i="80"/>
  <c r="M563" i="80" s="1"/>
  <c r="K550" i="80"/>
  <c r="M550" i="80" s="1"/>
  <c r="O550" i="80"/>
  <c r="O83" i="80"/>
  <c r="K83" i="80"/>
  <c r="M83" i="80" s="1"/>
  <c r="O224" i="80"/>
  <c r="K224" i="80"/>
  <c r="M224" i="80" s="1"/>
  <c r="AD9" i="80"/>
  <c r="U35" i="56" s="1"/>
  <c r="O564" i="80"/>
  <c r="K564" i="80"/>
  <c r="M564" i="80" s="1"/>
  <c r="K112" i="80"/>
  <c r="M112" i="80" s="1"/>
  <c r="O112" i="80"/>
  <c r="O123" i="80"/>
  <c r="K123" i="80"/>
  <c r="M123" i="80" s="1"/>
  <c r="O152" i="80"/>
  <c r="K152" i="80"/>
  <c r="M152" i="80" s="1"/>
  <c r="K169" i="80"/>
  <c r="M169" i="80" s="1"/>
  <c r="O169" i="80"/>
  <c r="K210" i="80"/>
  <c r="M210" i="80" s="1"/>
  <c r="O210" i="80"/>
  <c r="O229" i="80"/>
  <c r="K229" i="80"/>
  <c r="M229" i="80" s="1"/>
  <c r="K39" i="80"/>
  <c r="M39" i="80" s="1"/>
  <c r="O39" i="80"/>
  <c r="K77" i="80"/>
  <c r="M77" i="80" s="1"/>
  <c r="O77" i="80"/>
  <c r="O69" i="80"/>
  <c r="K69" i="80"/>
  <c r="M69" i="80" s="1"/>
  <c r="K248" i="80"/>
  <c r="M248" i="80" s="1"/>
  <c r="O248" i="80"/>
  <c r="K553" i="80"/>
  <c r="M553" i="80" s="1"/>
  <c r="O553" i="80"/>
  <c r="AC9" i="80"/>
  <c r="T35" i="56" s="1"/>
  <c r="K93" i="80"/>
  <c r="M93" i="80" s="1"/>
  <c r="O93" i="80"/>
  <c r="K101" i="80"/>
  <c r="M101" i="80" s="1"/>
  <c r="O101" i="80"/>
  <c r="K82" i="80"/>
  <c r="M82" i="80" s="1"/>
  <c r="O82" i="80"/>
  <c r="K115" i="80"/>
  <c r="M115" i="80" s="1"/>
  <c r="O115" i="80"/>
  <c r="O43" i="80"/>
  <c r="K43" i="80"/>
  <c r="M43" i="80" s="1"/>
  <c r="K251" i="80"/>
  <c r="M251" i="80" s="1"/>
  <c r="O251" i="80"/>
  <c r="O587" i="80"/>
  <c r="K587" i="80"/>
  <c r="M587" i="80" s="1"/>
  <c r="O86" i="80"/>
  <c r="K86" i="80"/>
  <c r="M86" i="80" s="1"/>
  <c r="K548" i="80"/>
  <c r="M548" i="80" s="1"/>
  <c r="O548" i="80"/>
  <c r="O156" i="80"/>
  <c r="K156" i="80"/>
  <c r="M156" i="80" s="1"/>
  <c r="AD6" i="80"/>
  <c r="U32" i="56" s="1"/>
  <c r="O616" i="80"/>
  <c r="K616" i="80"/>
  <c r="M616" i="80" s="1"/>
  <c r="O142" i="80"/>
  <c r="K142" i="80"/>
  <c r="M142" i="80" s="1"/>
  <c r="O230" i="80"/>
  <c r="K230" i="80"/>
  <c r="M230" i="80" s="1"/>
  <c r="K46" i="80"/>
  <c r="M46" i="80" s="1"/>
  <c r="O46" i="80"/>
  <c r="O590" i="80"/>
  <c r="K590" i="80"/>
  <c r="M590" i="80" s="1"/>
  <c r="K134" i="80"/>
  <c r="M134" i="80" s="1"/>
  <c r="O134" i="80"/>
  <c r="K32" i="80"/>
  <c r="M32" i="80" s="1"/>
  <c r="O32" i="80"/>
  <c r="O33" i="80"/>
  <c r="K33" i="80"/>
  <c r="M33" i="80" s="1"/>
  <c r="O79" i="80"/>
  <c r="K79" i="80"/>
  <c r="M79" i="80" s="1"/>
  <c r="O153" i="80"/>
  <c r="K153" i="80"/>
  <c r="M153" i="80" s="1"/>
  <c r="O122" i="80"/>
  <c r="K122" i="80"/>
  <c r="M122" i="80" s="1"/>
  <c r="K277" i="80"/>
  <c r="M277" i="80" s="1"/>
  <c r="O277" i="80"/>
  <c r="O270" i="80"/>
  <c r="K270" i="80"/>
  <c r="M270" i="80" s="1"/>
  <c r="K552" i="80"/>
  <c r="M552" i="80" s="1"/>
  <c r="O552" i="80"/>
  <c r="O135" i="80"/>
  <c r="K135" i="80"/>
  <c r="M135" i="80" s="1"/>
  <c r="K127" i="80"/>
  <c r="M127" i="80" s="1"/>
  <c r="O127" i="80"/>
  <c r="O278" i="80"/>
  <c r="K278" i="80"/>
  <c r="M278" i="80" s="1"/>
  <c r="K61" i="80"/>
  <c r="M61" i="80" s="1"/>
  <c r="O61" i="80"/>
  <c r="K279" i="80"/>
  <c r="M279" i="80" s="1"/>
  <c r="O279" i="80"/>
  <c r="O108" i="80"/>
  <c r="K108" i="80"/>
  <c r="M108" i="80" s="1"/>
  <c r="O48" i="80"/>
  <c r="K48" i="80"/>
  <c r="M48" i="80" s="1"/>
  <c r="K565" i="80"/>
  <c r="M565" i="80" s="1"/>
  <c r="O565" i="80"/>
  <c r="K594" i="80"/>
  <c r="M594" i="80" s="1"/>
  <c r="O594" i="80"/>
  <c r="O221" i="80"/>
  <c r="K221" i="80"/>
  <c r="M221" i="80" s="1"/>
  <c r="O609" i="80"/>
  <c r="K609" i="80"/>
  <c r="M609" i="80" s="1"/>
  <c r="K174" i="80"/>
  <c r="M174" i="80" s="1"/>
  <c r="O174" i="80"/>
  <c r="K47" i="80"/>
  <c r="M47" i="80" s="1"/>
  <c r="O47" i="80"/>
  <c r="K147" i="80"/>
  <c r="M147" i="80" s="1"/>
  <c r="O147" i="80"/>
  <c r="O165" i="80"/>
  <c r="K165" i="80"/>
  <c r="M165" i="80" s="1"/>
  <c r="K35" i="80"/>
  <c r="M35" i="80" s="1"/>
  <c r="O35" i="80"/>
  <c r="O63" i="80"/>
  <c r="K63" i="80"/>
  <c r="M63" i="80" s="1"/>
  <c r="O57" i="80"/>
  <c r="K57" i="80"/>
  <c r="M57" i="80" s="1"/>
  <c r="K225" i="80"/>
  <c r="M225" i="80" s="1"/>
  <c r="O225" i="80"/>
  <c r="O254" i="80"/>
  <c r="K254" i="80"/>
  <c r="M254" i="80" s="1"/>
  <c r="O621" i="80"/>
  <c r="O597" i="80"/>
  <c r="K597" i="80"/>
  <c r="M597" i="80" s="1"/>
  <c r="O239" i="80"/>
  <c r="K239" i="80"/>
  <c r="M239" i="80" s="1"/>
  <c r="O104" i="80"/>
  <c r="K104" i="80"/>
  <c r="M104" i="80" s="1"/>
  <c r="O114" i="80"/>
  <c r="K114" i="80"/>
  <c r="M114" i="80" s="1"/>
  <c r="K159" i="80"/>
  <c r="M159" i="80" s="1"/>
  <c r="O159" i="80"/>
  <c r="O557" i="80"/>
  <c r="K557" i="80"/>
  <c r="M557" i="80" s="1"/>
  <c r="O592" i="80"/>
  <c r="K592" i="80"/>
  <c r="M592" i="80" s="1"/>
  <c r="O252" i="80"/>
  <c r="K252" i="80"/>
  <c r="M252" i="80" s="1"/>
  <c r="K65" i="80"/>
  <c r="M65" i="80" s="1"/>
  <c r="O65" i="80"/>
  <c r="K615" i="80"/>
  <c r="M615" i="80" s="1"/>
  <c r="O615" i="80"/>
  <c r="O124" i="80"/>
  <c r="K124" i="80"/>
  <c r="M124" i="80" s="1"/>
  <c r="AH6" i="80"/>
  <c r="Y32" i="56" s="1"/>
  <c r="K266" i="80"/>
  <c r="M266" i="80" s="1"/>
  <c r="O266" i="80"/>
  <c r="AC10" i="80"/>
  <c r="T36" i="56" s="1"/>
  <c r="AB36" i="56" s="1"/>
  <c r="K596" i="80"/>
  <c r="M596" i="80" s="1"/>
  <c r="O596" i="80"/>
  <c r="O66" i="80"/>
  <c r="K66" i="80"/>
  <c r="M66" i="80" s="1"/>
  <c r="O128" i="80"/>
  <c r="K128" i="80"/>
  <c r="M128" i="80" s="1"/>
  <c r="K227" i="80"/>
  <c r="M227" i="80" s="1"/>
  <c r="O227" i="80"/>
  <c r="K233" i="80"/>
  <c r="M233" i="80" s="1"/>
  <c r="O233" i="80"/>
  <c r="O268" i="80"/>
  <c r="K268" i="80"/>
  <c r="M268" i="80" s="1"/>
  <c r="O141" i="80"/>
  <c r="K141" i="80"/>
  <c r="M141" i="80" s="1"/>
  <c r="O121" i="80"/>
  <c r="K121" i="80"/>
  <c r="M121" i="80" s="1"/>
  <c r="O250" i="80"/>
  <c r="K250" i="80"/>
  <c r="M250" i="80" s="1"/>
  <c r="O604" i="80"/>
  <c r="K604" i="80"/>
  <c r="M604" i="80" s="1"/>
  <c r="K614" i="80"/>
  <c r="M614" i="80" s="1"/>
  <c r="O614" i="80"/>
  <c r="O120" i="80"/>
  <c r="K120" i="80"/>
  <c r="M120" i="80" s="1"/>
  <c r="K139" i="80"/>
  <c r="M139" i="80" s="1"/>
  <c r="O139" i="80"/>
  <c r="O275" i="80"/>
  <c r="K275" i="80"/>
  <c r="M275" i="80" s="1"/>
  <c r="K90" i="80"/>
  <c r="M90" i="80" s="1"/>
  <c r="O90" i="80"/>
  <c r="O257" i="80"/>
  <c r="K257" i="80"/>
  <c r="M257" i="80" s="1"/>
  <c r="K567" i="80"/>
  <c r="M567" i="80" s="1"/>
  <c r="O567" i="80"/>
  <c r="O126" i="80"/>
  <c r="K126" i="80"/>
  <c r="M126" i="80" s="1"/>
  <c r="K94" i="80"/>
  <c r="M94" i="80" s="1"/>
  <c r="O94" i="80"/>
  <c r="K258" i="80"/>
  <c r="M258" i="80" s="1"/>
  <c r="O258" i="80"/>
  <c r="K132" i="80"/>
  <c r="M132" i="80" s="1"/>
  <c r="O132" i="80"/>
  <c r="K226" i="80"/>
  <c r="M226" i="80" s="1"/>
  <c r="O226" i="80"/>
  <c r="O211" i="80"/>
  <c r="K211" i="80"/>
  <c r="M211" i="80" s="1"/>
  <c r="K607" i="80"/>
  <c r="M607" i="80" s="1"/>
  <c r="O607" i="80"/>
  <c r="K246" i="80"/>
  <c r="M246" i="80" s="1"/>
  <c r="O246" i="80"/>
  <c r="K601" i="80"/>
  <c r="M601" i="80" s="1"/>
  <c r="O601" i="80"/>
  <c r="K81" i="80"/>
  <c r="M81" i="80" s="1"/>
  <c r="O81" i="80"/>
  <c r="O87" i="80"/>
  <c r="K87" i="80"/>
  <c r="M87" i="80" s="1"/>
  <c r="K70" i="80"/>
  <c r="M70" i="80" s="1"/>
  <c r="O70" i="80"/>
  <c r="K20" i="80"/>
  <c r="M20" i="80" s="1"/>
  <c r="O20" i="80"/>
  <c r="K566" i="80"/>
  <c r="M566" i="80" s="1"/>
  <c r="O566" i="80"/>
  <c r="O102" i="80"/>
  <c r="K102" i="80"/>
  <c r="M102" i="80" s="1"/>
  <c r="K98" i="80"/>
  <c r="M98" i="80" s="1"/>
  <c r="O98" i="80"/>
  <c r="O18" i="80"/>
  <c r="K18" i="80"/>
  <c r="M18" i="80" s="1"/>
  <c r="O136" i="80"/>
  <c r="K136" i="80"/>
  <c r="M136" i="80" s="1"/>
  <c r="O545" i="80"/>
  <c r="AB84" i="194"/>
  <c r="V219" i="194"/>
  <c r="T226" i="194"/>
  <c r="U200" i="194"/>
  <c r="V115" i="194"/>
  <c r="AC104" i="194"/>
  <c r="S187" i="194"/>
  <c r="U116" i="194"/>
  <c r="V223" i="194"/>
  <c r="W142" i="194"/>
  <c r="Z164" i="194"/>
  <c r="S106" i="194"/>
  <c r="U203" i="194"/>
  <c r="T208" i="194"/>
  <c r="F23" i="194"/>
  <c r="AB121" i="194"/>
  <c r="AD104" i="194"/>
  <c r="W100" i="194"/>
  <c r="AC193" i="194"/>
  <c r="AB159" i="194"/>
  <c r="AC123" i="194"/>
  <c r="W169" i="194"/>
  <c r="C56" i="194"/>
  <c r="AC141" i="194"/>
  <c r="W83" i="194"/>
  <c r="S101" i="194"/>
  <c r="AD92" i="194"/>
  <c r="AB90" i="194"/>
  <c r="AB126" i="194"/>
  <c r="S102" i="194"/>
  <c r="AD121" i="194"/>
  <c r="AA221" i="194"/>
  <c r="T184" i="194"/>
  <c r="U108" i="194"/>
  <c r="Z186" i="194"/>
  <c r="AD156" i="194"/>
  <c r="AD224" i="194"/>
  <c r="V133" i="194"/>
  <c r="U168" i="194"/>
  <c r="AD173" i="194"/>
  <c r="AD161" i="194"/>
  <c r="F38" i="194"/>
  <c r="Z231" i="194"/>
  <c r="W134" i="194"/>
  <c r="S209" i="194"/>
  <c r="S192" i="194"/>
  <c r="AB186" i="194"/>
  <c r="AA207" i="194"/>
  <c r="AB185" i="194"/>
  <c r="AD138" i="194"/>
  <c r="V108" i="194"/>
  <c r="V218" i="194"/>
  <c r="AC139" i="194"/>
  <c r="D43" i="194"/>
  <c r="W92" i="194"/>
  <c r="W195" i="194"/>
  <c r="U195" i="194"/>
  <c r="AD188" i="194"/>
  <c r="U160" i="194"/>
  <c r="C29" i="194"/>
  <c r="AC81" i="194"/>
  <c r="AA85" i="194"/>
  <c r="I59" i="194"/>
  <c r="V227" i="194"/>
  <c r="Z176" i="194"/>
  <c r="Z221" i="194"/>
  <c r="Z139" i="194"/>
  <c r="U159" i="194"/>
  <c r="V93" i="194"/>
  <c r="W186" i="194"/>
  <c r="F28" i="194"/>
  <c r="Z123" i="194"/>
  <c r="Z110" i="194"/>
  <c r="S212" i="194"/>
  <c r="AD200" i="194"/>
  <c r="E25" i="194"/>
  <c r="AD228" i="194"/>
  <c r="AC89" i="194"/>
  <c r="E13" i="55"/>
  <c r="Z158" i="194"/>
  <c r="S126" i="194"/>
  <c r="S180" i="194"/>
  <c r="E43" i="194"/>
  <c r="S215" i="194"/>
  <c r="AB229" i="194"/>
  <c r="V101" i="194"/>
  <c r="AB217" i="194"/>
  <c r="Z112" i="194"/>
  <c r="S112" i="194"/>
  <c r="H26" i="194"/>
  <c r="W150" i="194"/>
  <c r="V98" i="194"/>
  <c r="V204" i="194"/>
  <c r="U119" i="194"/>
  <c r="U123" i="194"/>
  <c r="U205" i="194"/>
  <c r="V230" i="194"/>
  <c r="T170" i="194"/>
  <c r="G29" i="194"/>
  <c r="AA118" i="194"/>
  <c r="V187" i="194"/>
  <c r="AD144" i="194"/>
  <c r="T134" i="194"/>
  <c r="S210" i="194"/>
  <c r="Z222" i="194"/>
  <c r="U93" i="194"/>
  <c r="AD205" i="194"/>
  <c r="AB219" i="194"/>
  <c r="AA209" i="194"/>
  <c r="U128" i="194"/>
  <c r="V174" i="194"/>
  <c r="S92" i="194"/>
  <c r="T155" i="194"/>
  <c r="U109" i="194"/>
  <c r="V132" i="194"/>
  <c r="AD158" i="194"/>
  <c r="S228" i="194"/>
  <c r="AA98" i="194"/>
  <c r="AA90" i="194"/>
  <c r="V160" i="194"/>
  <c r="C13" i="55"/>
  <c r="T192" i="194"/>
  <c r="AC93" i="194"/>
  <c r="Z81" i="194"/>
  <c r="AD101" i="194"/>
  <c r="V82" i="194"/>
  <c r="S136" i="194"/>
  <c r="AD84" i="194"/>
  <c r="AC5" i="54"/>
  <c r="AC210" i="194"/>
  <c r="V156" i="194"/>
  <c r="S195" i="194"/>
  <c r="S140" i="194"/>
  <c r="F24" i="194"/>
  <c r="Z196" i="194"/>
  <c r="AB207" i="194"/>
  <c r="E8" i="55"/>
  <c r="W93" i="194"/>
  <c r="V127" i="194"/>
  <c r="AB173" i="194"/>
  <c r="I61" i="194"/>
  <c r="Z116" i="194"/>
  <c r="AC140" i="194"/>
  <c r="E23" i="194"/>
  <c r="AC168" i="194"/>
  <c r="AA107" i="194"/>
  <c r="AA169" i="194"/>
  <c r="AD94" i="194"/>
  <c r="V222" i="194"/>
  <c r="V102" i="194"/>
  <c r="V154" i="194"/>
  <c r="I60" i="194"/>
  <c r="C3" i="55"/>
  <c r="T151" i="194"/>
  <c r="AA191" i="194"/>
  <c r="T100" i="194"/>
  <c r="U115" i="194"/>
  <c r="Z212" i="194"/>
  <c r="E26" i="194"/>
  <c r="AB228" i="194"/>
  <c r="E29" i="194"/>
  <c r="W132" i="194"/>
  <c r="U82" i="194"/>
  <c r="U220" i="194"/>
  <c r="T153" i="194"/>
  <c r="AD108" i="194"/>
  <c r="AC229" i="194"/>
  <c r="AD167" i="194"/>
  <c r="AA184" i="194"/>
  <c r="AB218" i="194"/>
  <c r="W127" i="194"/>
  <c r="W124" i="194"/>
  <c r="V150" i="194"/>
  <c r="AA136" i="194"/>
  <c r="S203" i="194"/>
  <c r="AD204" i="194"/>
  <c r="S170" i="194"/>
  <c r="AB110" i="194"/>
  <c r="AC149" i="194"/>
  <c r="U117" i="194"/>
  <c r="S144" i="194"/>
  <c r="S171" i="194"/>
  <c r="S161" i="194"/>
  <c r="Q12" i="80"/>
  <c r="U155" i="194"/>
  <c r="Z140" i="194"/>
  <c r="U230" i="194"/>
  <c r="AB202" i="194"/>
  <c r="AD119" i="194"/>
  <c r="S174" i="194"/>
  <c r="E39" i="194"/>
  <c r="W139" i="194"/>
  <c r="T116" i="194"/>
  <c r="AC194" i="194"/>
  <c r="AC103" i="194"/>
  <c r="AB166" i="194"/>
  <c r="W171" i="194"/>
  <c r="V208" i="194"/>
  <c r="AD87" i="194"/>
  <c r="Z192" i="194"/>
  <c r="S158" i="194"/>
  <c r="AB157" i="194"/>
  <c r="AB183" i="194"/>
  <c r="W170" i="194"/>
  <c r="AD5" i="54"/>
  <c r="AD155" i="194"/>
  <c r="AC135" i="194"/>
  <c r="Z198" i="194"/>
  <c r="U204" i="194"/>
  <c r="W104" i="194"/>
  <c r="AA99" i="194"/>
  <c r="AC160" i="194"/>
  <c r="Z143" i="194"/>
  <c r="V136" i="194"/>
  <c r="W190" i="194"/>
  <c r="AD127" i="194"/>
  <c r="S188" i="194"/>
  <c r="W221" i="194"/>
  <c r="AD185" i="194"/>
  <c r="Z229" i="194"/>
  <c r="S125" i="194"/>
  <c r="V105" i="194"/>
  <c r="V170" i="194"/>
  <c r="AC132" i="194"/>
  <c r="AC124" i="194"/>
  <c r="Z103" i="194"/>
  <c r="V213" i="194"/>
  <c r="AD187" i="194"/>
  <c r="AA183" i="194"/>
  <c r="Z155" i="194"/>
  <c r="U87" i="194"/>
  <c r="AD145" i="194"/>
  <c r="U210" i="194"/>
  <c r="Z98" i="194"/>
  <c r="V207" i="194"/>
  <c r="V92" i="194"/>
  <c r="AA150" i="194"/>
  <c r="AB224" i="194"/>
  <c r="AD203" i="194"/>
  <c r="W218" i="194"/>
  <c r="AD111" i="194"/>
  <c r="Z99" i="194"/>
  <c r="AC189" i="194"/>
  <c r="W202" i="194"/>
  <c r="AA186" i="194"/>
  <c r="U185" i="194"/>
  <c r="AD137" i="194"/>
  <c r="Z127" i="194"/>
  <c r="W173" i="194"/>
  <c r="S231" i="194"/>
  <c r="V141" i="194"/>
  <c r="S221" i="194"/>
  <c r="Z166" i="194"/>
  <c r="AA134" i="194"/>
  <c r="Z200" i="194"/>
  <c r="AC221" i="194"/>
  <c r="Z159" i="194"/>
  <c r="Z195" i="194"/>
  <c r="AC155" i="194"/>
  <c r="H21" i="194"/>
  <c r="I54" i="194"/>
  <c r="AD186" i="194"/>
  <c r="AD81" i="194"/>
  <c r="T133" i="194"/>
  <c r="U144" i="194"/>
  <c r="T101" i="194"/>
  <c r="U143" i="194"/>
  <c r="AC175" i="194"/>
  <c r="V172" i="194"/>
  <c r="T85" i="194"/>
  <c r="V225" i="194"/>
  <c r="Z93" i="194"/>
  <c r="Z208" i="194"/>
  <c r="AA115" i="194"/>
  <c r="Z179" i="194"/>
  <c r="T137" i="194"/>
  <c r="AC88" i="194"/>
  <c r="V125" i="194"/>
  <c r="H22" i="194"/>
  <c r="V120" i="194"/>
  <c r="W219" i="194"/>
  <c r="S117" i="194"/>
  <c r="V157" i="194"/>
  <c r="V226" i="194"/>
  <c r="AD86" i="194"/>
  <c r="U190" i="194"/>
  <c r="AC115" i="194"/>
  <c r="AC85" i="194"/>
  <c r="AD229" i="194"/>
  <c r="S81" i="194"/>
  <c r="AB92" i="194"/>
  <c r="U169" i="194"/>
  <c r="AD140" i="194"/>
  <c r="V104" i="194"/>
  <c r="S94" i="194"/>
  <c r="Z230" i="194"/>
  <c r="AB170" i="194"/>
  <c r="Z122" i="194"/>
  <c r="S124" i="194"/>
  <c r="G28" i="194"/>
  <c r="W107" i="194"/>
  <c r="S201" i="194"/>
  <c r="U89" i="194"/>
  <c r="AB128" i="194"/>
  <c r="W183" i="194"/>
  <c r="S104" i="194"/>
  <c r="AD153" i="194"/>
  <c r="Z125" i="194"/>
  <c r="AA206" i="194"/>
  <c r="AB93" i="194"/>
  <c r="U217" i="194"/>
  <c r="U122" i="194"/>
  <c r="E41" i="194"/>
  <c r="AC116" i="194"/>
  <c r="V86" i="194"/>
  <c r="W162" i="194"/>
  <c r="C44" i="194"/>
  <c r="V85" i="194"/>
  <c r="S151" i="194"/>
  <c r="V149" i="194"/>
  <c r="AA190" i="194"/>
  <c r="AD109" i="194"/>
  <c r="AD91" i="194"/>
  <c r="AB161" i="194"/>
  <c r="AC184" i="194"/>
  <c r="AB125" i="194"/>
  <c r="AD209" i="194"/>
  <c r="AC218" i="194"/>
  <c r="AC106" i="194"/>
  <c r="Z154" i="194"/>
  <c r="AA201" i="194"/>
  <c r="AD116" i="194"/>
  <c r="E46" i="194"/>
  <c r="H25" i="194"/>
  <c r="AC226" i="194"/>
  <c r="AD194" i="194"/>
  <c r="T169" i="194"/>
  <c r="Z185" i="194"/>
  <c r="AC151" i="194"/>
  <c r="AC122" i="194"/>
  <c r="S194" i="194"/>
  <c r="C16" i="53"/>
  <c r="S175" i="194"/>
  <c r="AD154" i="194"/>
  <c r="W157" i="194"/>
  <c r="AA202" i="194"/>
  <c r="S155" i="194"/>
  <c r="V186" i="194"/>
  <c r="AB154" i="194"/>
  <c r="S142" i="194"/>
  <c r="U171" i="194"/>
  <c r="S160" i="194"/>
  <c r="AC86" i="194"/>
  <c r="C52" i="194"/>
  <c r="Z217" i="194"/>
  <c r="AB119" i="194"/>
  <c r="W105" i="194"/>
  <c r="F46" i="194"/>
  <c r="AD171" i="194"/>
  <c r="AB204" i="194"/>
  <c r="T105" i="194"/>
  <c r="F39" i="194"/>
  <c r="V151" i="194"/>
  <c r="AB144" i="194"/>
  <c r="AD136" i="194"/>
  <c r="AC212" i="194"/>
  <c r="AC166" i="194"/>
  <c r="AC125" i="194"/>
  <c r="F29" i="194"/>
  <c r="AD122" i="194"/>
  <c r="W193" i="194"/>
  <c r="AA188" i="194"/>
  <c r="T209" i="194"/>
  <c r="V229" i="194"/>
  <c r="AD191" i="194"/>
  <c r="AB83" i="194"/>
  <c r="AB118" i="194"/>
  <c r="V183" i="194"/>
  <c r="W168" i="194"/>
  <c r="AC107" i="194"/>
  <c r="C20" i="194"/>
  <c r="C27" i="194"/>
  <c r="T218" i="194"/>
  <c r="T167" i="194"/>
  <c r="Z213" i="194"/>
  <c r="D40" i="194"/>
  <c r="V202" i="194"/>
  <c r="AD227" i="194"/>
  <c r="S218" i="194"/>
  <c r="V159" i="194"/>
  <c r="V143" i="194"/>
  <c r="AC120" i="194"/>
  <c r="AB115" i="194"/>
  <c r="W151" i="194"/>
  <c r="U221" i="194"/>
  <c r="S107" i="194"/>
  <c r="U84" i="194"/>
  <c r="AC173" i="194"/>
  <c r="V84" i="194"/>
  <c r="U101" i="194"/>
  <c r="Z118" i="194"/>
  <c r="AA116" i="194"/>
  <c r="S87" i="194"/>
  <c r="S83" i="194"/>
  <c r="U162" i="194"/>
  <c r="U120" i="194"/>
  <c r="AA104" i="194"/>
  <c r="AB106" i="194"/>
  <c r="Z174" i="194"/>
  <c r="E42" i="194"/>
  <c r="Z191" i="194"/>
  <c r="C54" i="194"/>
  <c r="V201" i="194"/>
  <c r="V189" i="194"/>
  <c r="Z193" i="194"/>
  <c r="H29" i="194"/>
  <c r="AB187" i="194"/>
  <c r="AB105" i="194"/>
  <c r="AD202" i="194"/>
  <c r="S138" i="194"/>
  <c r="AA117" i="194"/>
  <c r="V124" i="194"/>
  <c r="AA189" i="194"/>
  <c r="S141" i="194"/>
  <c r="C60" i="194"/>
  <c r="T99" i="194"/>
  <c r="AD226" i="194"/>
  <c r="S177" i="194"/>
  <c r="AC143" i="194"/>
  <c r="AC99" i="194"/>
  <c r="U208" i="194"/>
  <c r="Z144" i="194"/>
  <c r="U194" i="194"/>
  <c r="AD189" i="194"/>
  <c r="AB208" i="194"/>
  <c r="AD196" i="194"/>
  <c r="U142" i="194"/>
  <c r="Z175" i="194"/>
  <c r="S84" i="194"/>
  <c r="T206" i="194"/>
  <c r="Z202" i="194"/>
  <c r="C38" i="194"/>
  <c r="G23" i="194"/>
  <c r="S189" i="194"/>
  <c r="U106" i="194"/>
  <c r="AA120" i="194"/>
  <c r="AC117" i="194"/>
  <c r="AB104" i="194"/>
  <c r="E24" i="194"/>
  <c r="AC84" i="194"/>
  <c r="S157" i="194"/>
  <c r="Z220" i="194"/>
  <c r="E3" i="55"/>
  <c r="V155" i="194"/>
  <c r="AB111" i="194"/>
  <c r="U121" i="194"/>
  <c r="Q13" i="80"/>
  <c r="T122" i="194"/>
  <c r="AA174" i="194"/>
  <c r="AD210" i="194"/>
  <c r="AC219" i="194"/>
  <c r="AC213" i="194"/>
  <c r="T138" i="194"/>
  <c r="V196" i="194"/>
  <c r="V139" i="194"/>
  <c r="Z102" i="194"/>
  <c r="V103" i="194"/>
  <c r="AA154" i="194"/>
  <c r="U86" i="194"/>
  <c r="AA103" i="194"/>
  <c r="AD160" i="194"/>
  <c r="AD82" i="194"/>
  <c r="W110" i="194"/>
  <c r="AC172" i="194"/>
  <c r="AB155" i="194"/>
  <c r="AD172" i="194"/>
  <c r="Z84" i="194"/>
  <c r="T121" i="194"/>
  <c r="S222" i="194"/>
  <c r="AD184" i="194"/>
  <c r="Z149" i="194"/>
  <c r="F42" i="194"/>
  <c r="W179" i="194"/>
  <c r="AB213" i="194"/>
  <c r="U81" i="194"/>
  <c r="W143" i="194"/>
  <c r="E20" i="194"/>
  <c r="U100" i="194"/>
  <c r="Z201" i="194"/>
  <c r="AA86" i="194"/>
  <c r="U192" i="194"/>
  <c r="AB189" i="194"/>
  <c r="AC144" i="194"/>
  <c r="AA135" i="194"/>
  <c r="U227" i="194"/>
  <c r="AC154" i="194"/>
  <c r="Z211" i="194"/>
  <c r="AA153" i="194"/>
  <c r="W88" i="194"/>
  <c r="AD89" i="194"/>
  <c r="W140" i="194"/>
  <c r="T117" i="194"/>
  <c r="U124" i="194"/>
  <c r="AC150" i="194"/>
  <c r="AA226" i="194"/>
  <c r="Z104" i="194"/>
  <c r="S153" i="194"/>
  <c r="AC217" i="194"/>
  <c r="U225" i="194"/>
  <c r="T172" i="194"/>
  <c r="D47" i="194"/>
  <c r="U172" i="194"/>
  <c r="AB152" i="194"/>
  <c r="W118" i="194"/>
  <c r="S185" i="194"/>
  <c r="AC174" i="194"/>
  <c r="W203" i="194"/>
  <c r="T221" i="194"/>
  <c r="S90" i="194"/>
  <c r="AA101" i="194"/>
  <c r="T166" i="194"/>
  <c r="T222" i="194"/>
  <c r="Z85" i="194"/>
  <c r="W144" i="194"/>
  <c r="S183" i="194"/>
  <c r="G24" i="194"/>
  <c r="AB117" i="194"/>
  <c r="Z204" i="194"/>
  <c r="S89" i="194"/>
  <c r="W213" i="194"/>
  <c r="AC191" i="194"/>
  <c r="T83" i="194"/>
  <c r="V161" i="194"/>
  <c r="S197" i="194"/>
  <c r="S226" i="194"/>
  <c r="S156" i="194"/>
  <c r="AC87" i="194"/>
  <c r="C22" i="194"/>
  <c r="AC196" i="194"/>
  <c r="W225" i="194"/>
  <c r="W111" i="194"/>
  <c r="AC102" i="194"/>
  <c r="S230" i="194"/>
  <c r="AA158" i="194"/>
  <c r="W90" i="194"/>
  <c r="AD120" i="194"/>
  <c r="AD179" i="194"/>
  <c r="AA139" i="194"/>
  <c r="AA88" i="194"/>
  <c r="U149" i="194"/>
  <c r="U178" i="194"/>
  <c r="AD90" i="194"/>
  <c r="S91" i="194"/>
  <c r="AD117" i="194"/>
  <c r="AD134" i="194"/>
  <c r="AD98" i="194"/>
  <c r="D13" i="55"/>
  <c r="U187" i="194"/>
  <c r="AC156" i="194"/>
  <c r="AA121" i="194"/>
  <c r="Z157" i="194"/>
  <c r="W121" i="194"/>
  <c r="S129" i="194"/>
  <c r="S123" i="194"/>
  <c r="AB220" i="194"/>
  <c r="AB160" i="194"/>
  <c r="S93" i="194"/>
  <c r="AA172" i="194"/>
  <c r="T171" i="194"/>
  <c r="S127" i="194"/>
  <c r="W185" i="194"/>
  <c r="Z106" i="194"/>
  <c r="W210" i="194"/>
  <c r="S193" i="194"/>
  <c r="AB139" i="194"/>
  <c r="S100" i="194"/>
  <c r="Z130" i="194"/>
  <c r="AD143" i="194"/>
  <c r="AA84" i="194"/>
  <c r="AB134" i="194"/>
  <c r="V135" i="194"/>
  <c r="V166" i="194"/>
  <c r="W82" i="194"/>
  <c r="AD157" i="194"/>
  <c r="S150" i="194"/>
  <c r="AD132" i="194"/>
  <c r="AD166" i="194"/>
  <c r="W172" i="194"/>
  <c r="W178" i="194"/>
  <c r="AB86" i="194"/>
  <c r="V221" i="194"/>
  <c r="AD177" i="194"/>
  <c r="AD174" i="194"/>
  <c r="U141" i="194"/>
  <c r="T219" i="194"/>
  <c r="S159" i="194"/>
  <c r="V178" i="194"/>
  <c r="D38" i="194"/>
  <c r="AB88" i="194"/>
  <c r="V144" i="194"/>
  <c r="T149" i="194"/>
  <c r="U126" i="194"/>
  <c r="AD103" i="194"/>
  <c r="C8" i="55"/>
  <c r="E38" i="194"/>
  <c r="AC90" i="194"/>
  <c r="Q19" i="80"/>
  <c r="U207" i="194"/>
  <c r="Z147" i="194"/>
  <c r="U135" i="194"/>
  <c r="AB211" i="194"/>
  <c r="C59" i="194"/>
  <c r="AB123" i="194"/>
  <c r="W98" i="194"/>
  <c r="W194" i="194"/>
  <c r="AB82" i="194"/>
  <c r="W208" i="194"/>
  <c r="Z146" i="194"/>
  <c r="T186" i="194"/>
  <c r="U137" i="194"/>
  <c r="S167" i="194"/>
  <c r="U191" i="194"/>
  <c r="U104" i="194"/>
  <c r="U107" i="194"/>
  <c r="U105" i="194"/>
  <c r="U136" i="194"/>
  <c r="AC110" i="194"/>
  <c r="T107" i="194"/>
  <c r="E40" i="194"/>
  <c r="V176" i="194"/>
  <c r="AC211" i="194"/>
  <c r="Z134" i="194"/>
  <c r="Z226" i="194"/>
  <c r="AD105" i="194"/>
  <c r="V195" i="194"/>
  <c r="T188" i="194"/>
  <c r="AA167" i="194"/>
  <c r="Z89" i="194"/>
  <c r="AB196" i="194"/>
  <c r="S115" i="194"/>
  <c r="AC145" i="194"/>
  <c r="W123" i="194"/>
  <c r="U223" i="194"/>
  <c r="S99" i="194"/>
  <c r="Z109" i="194"/>
  <c r="AD225" i="194"/>
  <c r="T158" i="194"/>
  <c r="U226" i="194"/>
  <c r="U156" i="194"/>
  <c r="AB107" i="194"/>
  <c r="W226" i="194"/>
  <c r="AB193" i="194"/>
  <c r="T152" i="194"/>
  <c r="V122" i="194"/>
  <c r="C41" i="194"/>
  <c r="Z171" i="194"/>
  <c r="AA155" i="194"/>
  <c r="S202" i="194"/>
  <c r="AA133" i="194"/>
  <c r="W200" i="194"/>
  <c r="U88" i="194"/>
  <c r="Z142" i="194"/>
  <c r="AB101" i="194"/>
  <c r="T200" i="194"/>
  <c r="W212" i="194"/>
  <c r="AC161" i="194"/>
  <c r="AC142" i="194"/>
  <c r="AA218" i="194"/>
  <c r="T175" i="194"/>
  <c r="S164" i="194"/>
  <c r="W211" i="194"/>
  <c r="G21" i="194"/>
  <c r="T191" i="194"/>
  <c r="U173" i="194"/>
  <c r="W158" i="194"/>
  <c r="U218" i="194"/>
  <c r="W230" i="194"/>
  <c r="U202" i="194"/>
  <c r="AD217" i="194"/>
  <c r="C53" i="194"/>
  <c r="S85" i="194"/>
  <c r="AB138" i="194"/>
  <c r="AB191" i="194"/>
  <c r="U206" i="194"/>
  <c r="S128" i="194"/>
  <c r="V211" i="194"/>
  <c r="U174" i="194"/>
  <c r="W160" i="194"/>
  <c r="AB209" i="194"/>
  <c r="AA100" i="194"/>
  <c r="Z138" i="194"/>
  <c r="Z197" i="194"/>
  <c r="T201" i="194"/>
  <c r="U224" i="194"/>
  <c r="AD218" i="194"/>
  <c r="U152" i="194"/>
  <c r="C26" i="194"/>
  <c r="S109" i="194"/>
  <c r="C43" i="194"/>
  <c r="AB150" i="194"/>
  <c r="V179" i="194"/>
  <c r="W159" i="194"/>
  <c r="C57" i="194"/>
  <c r="S211" i="194"/>
  <c r="C47" i="194"/>
  <c r="V228" i="194"/>
  <c r="AB195" i="194"/>
  <c r="AA105" i="194"/>
  <c r="U133" i="194"/>
  <c r="D3" i="55"/>
  <c r="H20" i="194"/>
  <c r="AD212" i="194"/>
  <c r="Z95" i="194"/>
  <c r="Z170" i="194"/>
  <c r="W89" i="194"/>
  <c r="T139" i="194"/>
  <c r="W229" i="194"/>
  <c r="S179" i="194"/>
  <c r="AA140" i="194"/>
  <c r="AC94" i="194"/>
  <c r="T190" i="194"/>
  <c r="AA187" i="194"/>
  <c r="W108" i="194"/>
  <c r="AC118" i="194"/>
  <c r="Z190" i="194"/>
  <c r="S152" i="194"/>
  <c r="AD135" i="194"/>
  <c r="AB135" i="194"/>
  <c r="S113" i="194"/>
  <c r="Q16" i="80"/>
  <c r="AA225" i="194"/>
  <c r="AB81" i="194"/>
  <c r="Z133" i="194"/>
  <c r="T157" i="194"/>
  <c r="T89" i="194"/>
  <c r="AC136" i="194"/>
  <c r="AD162" i="194"/>
  <c r="AC171" i="194"/>
  <c r="E22" i="194"/>
  <c r="U212" i="194"/>
  <c r="AD223" i="194"/>
  <c r="S154" i="194"/>
  <c r="U193" i="194"/>
  <c r="AD107" i="194"/>
  <c r="AA152" i="194"/>
  <c r="I56" i="194"/>
  <c r="U161" i="194"/>
  <c r="Z163" i="194"/>
  <c r="W109" i="194"/>
  <c r="U127" i="194"/>
  <c r="AB120" i="194"/>
  <c r="S116" i="194"/>
  <c r="T217" i="194"/>
  <c r="I53" i="194"/>
  <c r="S205" i="194"/>
  <c r="AB194" i="194"/>
  <c r="AB205" i="194"/>
  <c r="AC170" i="194"/>
  <c r="AD126" i="194"/>
  <c r="AS2" i="56"/>
  <c r="W128" i="194"/>
  <c r="AB136" i="194"/>
  <c r="AC225" i="194"/>
  <c r="AD213" i="194"/>
  <c r="U132" i="194"/>
  <c r="AB89" i="194"/>
  <c r="W184" i="194"/>
  <c r="AC177" i="194"/>
  <c r="T187" i="194"/>
  <c r="F44" i="194"/>
  <c r="Z150" i="194"/>
  <c r="D42" i="194"/>
  <c r="U158" i="194"/>
  <c r="S217" i="194"/>
  <c r="AA102" i="194"/>
  <c r="W175" i="194"/>
  <c r="D46" i="194"/>
  <c r="T185" i="194"/>
  <c r="W145" i="194"/>
  <c r="AD110" i="194"/>
  <c r="W120" i="194"/>
  <c r="AC208" i="194"/>
  <c r="AC178" i="194"/>
  <c r="W209" i="194"/>
  <c r="AD169" i="194"/>
  <c r="AB200" i="194"/>
  <c r="W217" i="194"/>
  <c r="AC186" i="194"/>
  <c r="C23" i="194"/>
  <c r="S137" i="194"/>
  <c r="F21" i="194"/>
  <c r="AB172" i="194"/>
  <c r="Z183" i="194"/>
  <c r="S208" i="194"/>
  <c r="W220" i="194"/>
  <c r="AC159" i="194"/>
  <c r="AC133" i="194"/>
  <c r="AD193" i="194"/>
  <c r="S132" i="194"/>
  <c r="F40" i="194"/>
  <c r="E44" i="194"/>
  <c r="Z228" i="194"/>
  <c r="F25" i="194"/>
  <c r="AC121" i="194"/>
  <c r="U154" i="194"/>
  <c r="V167" i="194"/>
  <c r="C46" i="194"/>
  <c r="AB192" i="194"/>
  <c r="S207" i="194"/>
  <c r="V83" i="194"/>
  <c r="AB153" i="194"/>
  <c r="S229" i="194"/>
  <c r="Z177" i="194"/>
  <c r="W191" i="194"/>
  <c r="AD221" i="194"/>
  <c r="D8" i="55"/>
  <c r="Z135" i="194"/>
  <c r="AA89" i="194"/>
  <c r="AC92" i="194"/>
  <c r="T104" i="194"/>
  <c r="AD150" i="194"/>
  <c r="V89" i="194"/>
  <c r="W99" i="194"/>
  <c r="I55" i="194"/>
  <c r="AA124" i="194"/>
  <c r="V206" i="194"/>
  <c r="T82" i="194"/>
  <c r="Z224" i="194"/>
  <c r="AB132" i="194"/>
  <c r="T225" i="194"/>
  <c r="AD106" i="194"/>
  <c r="T118" i="194"/>
  <c r="T140" i="194"/>
  <c r="V224" i="194"/>
  <c r="T183" i="194"/>
  <c r="Z214" i="194"/>
  <c r="T141" i="194"/>
  <c r="AA138" i="194"/>
  <c r="Q15" i="80"/>
  <c r="AC204" i="194"/>
  <c r="C28" i="194"/>
  <c r="F26" i="194"/>
  <c r="U91" i="194"/>
  <c r="V162" i="194"/>
  <c r="AD85" i="194"/>
  <c r="AC230" i="194"/>
  <c r="AB108" i="194"/>
  <c r="AC176" i="194"/>
  <c r="U118" i="194"/>
  <c r="V81" i="194"/>
  <c r="U134" i="194"/>
  <c r="AD128" i="194"/>
  <c r="T156" i="194"/>
  <c r="AD168" i="194"/>
  <c r="U145" i="194"/>
  <c r="S110" i="194"/>
  <c r="S88" i="194"/>
  <c r="H23" i="194"/>
  <c r="S95" i="194"/>
  <c r="AC100" i="194"/>
  <c r="E45" i="194"/>
  <c r="AB175" i="194"/>
  <c r="AC195" i="194"/>
  <c r="AB201" i="194"/>
  <c r="C45" i="194"/>
  <c r="W94" i="194"/>
  <c r="W101" i="194"/>
  <c r="AD206" i="194"/>
  <c r="AA208" i="194"/>
  <c r="V190" i="194"/>
  <c r="AC105" i="194"/>
  <c r="W166" i="194"/>
  <c r="Z218" i="194"/>
  <c r="Z178" i="194"/>
  <c r="W136" i="194"/>
  <c r="H28" i="194"/>
  <c r="W223" i="194"/>
  <c r="T135" i="194"/>
  <c r="S191" i="194"/>
  <c r="AB156" i="194"/>
  <c r="AC108" i="194"/>
  <c r="U151" i="194"/>
  <c r="E21" i="194"/>
  <c r="Z119" i="194"/>
  <c r="AB203" i="194"/>
  <c r="AB103" i="194"/>
  <c r="T154" i="194"/>
  <c r="Z92" i="194"/>
  <c r="V110" i="194"/>
  <c r="T90" i="194"/>
  <c r="W167" i="194"/>
  <c r="AD201" i="194"/>
  <c r="AB116" i="194"/>
  <c r="AC179" i="194"/>
  <c r="AB210" i="194"/>
  <c r="G26" i="194"/>
  <c r="W206" i="194"/>
  <c r="U179" i="194"/>
  <c r="AC152" i="194"/>
  <c r="F45" i="194"/>
  <c r="S206" i="194"/>
  <c r="D44" i="194"/>
  <c r="AC205" i="194"/>
  <c r="S120" i="194"/>
  <c r="V119" i="194"/>
  <c r="S227" i="194"/>
  <c r="Z188" i="194"/>
  <c r="AQ2" i="56"/>
  <c r="Z209" i="194"/>
  <c r="AB223" i="194"/>
  <c r="T224" i="194"/>
  <c r="S122" i="194"/>
  <c r="S214" i="194"/>
  <c r="W102" i="194"/>
  <c r="W176" i="194"/>
  <c r="AA156" i="194"/>
  <c r="V153" i="194"/>
  <c r="T102" i="194"/>
  <c r="AD220" i="194"/>
  <c r="S149" i="194"/>
  <c r="T223" i="194"/>
  <c r="U140" i="194"/>
  <c r="Q14" i="80"/>
  <c r="T173" i="194"/>
  <c r="AD222" i="194"/>
  <c r="W177" i="194"/>
  <c r="U111" i="194"/>
  <c r="S178" i="194"/>
  <c r="C20" i="53"/>
  <c r="E27" i="194"/>
  <c r="W204" i="194"/>
  <c r="T115" i="194"/>
  <c r="AC207" i="194"/>
  <c r="Z161" i="194"/>
  <c r="Z223" i="194"/>
  <c r="S186" i="194"/>
  <c r="AA132" i="194"/>
  <c r="AA81" i="194"/>
  <c r="S162" i="194"/>
  <c r="AC224" i="194"/>
  <c r="W87" i="194"/>
  <c r="AA217" i="194"/>
  <c r="T106" i="194"/>
  <c r="T203" i="194"/>
  <c r="V123" i="194"/>
  <c r="W117" i="194"/>
  <c r="AC169" i="194"/>
  <c r="U85" i="194"/>
  <c r="S130" i="194"/>
  <c r="AC188" i="194"/>
  <c r="AA200" i="194"/>
  <c r="U83" i="194"/>
  <c r="AA223" i="194"/>
  <c r="V121" i="194"/>
  <c r="AC134" i="194"/>
  <c r="S146" i="194"/>
  <c r="S198" i="194"/>
  <c r="W228" i="194"/>
  <c r="D45" i="194"/>
  <c r="AA203" i="194"/>
  <c r="V100" i="194"/>
  <c r="S133" i="194"/>
  <c r="AC187" i="194"/>
  <c r="W161" i="194"/>
  <c r="S204" i="194"/>
  <c r="W189" i="194"/>
  <c r="W106" i="194"/>
  <c r="U201" i="194"/>
  <c r="AD176" i="194"/>
  <c r="S147" i="194"/>
  <c r="H24" i="194"/>
  <c r="S166" i="194"/>
  <c r="S176" i="194"/>
  <c r="Z172" i="194"/>
  <c r="AA173" i="194"/>
  <c r="U110" i="194"/>
  <c r="W138" i="194"/>
  <c r="U213" i="194"/>
  <c r="Z82" i="194"/>
  <c r="W149" i="194"/>
  <c r="S111" i="194"/>
  <c r="W192" i="194"/>
  <c r="AD6" i="54"/>
  <c r="AA222" i="194"/>
  <c r="G25" i="194"/>
  <c r="AC192" i="194"/>
  <c r="U125" i="194"/>
  <c r="U222" i="194"/>
  <c r="S145" i="194"/>
  <c r="AB87" i="194"/>
  <c r="C25" i="194"/>
  <c r="AA192" i="194"/>
  <c r="AD195" i="194"/>
  <c r="AB230" i="194"/>
  <c r="C21" i="194"/>
  <c r="AC138" i="194"/>
  <c r="T103" i="194"/>
  <c r="U211" i="194"/>
  <c r="V126" i="194"/>
  <c r="V171" i="194"/>
  <c r="AD142" i="194"/>
  <c r="U209" i="194"/>
  <c r="S163" i="194"/>
  <c r="AC222" i="194"/>
  <c r="S232" i="194"/>
  <c r="AC153" i="194"/>
  <c r="T136" i="194"/>
  <c r="S121" i="194"/>
  <c r="V145" i="194"/>
  <c r="U102" i="194"/>
  <c r="S98" i="194"/>
  <c r="Z160" i="194"/>
  <c r="Z111" i="194"/>
  <c r="S181" i="194"/>
  <c r="AD151" i="194"/>
  <c r="U170" i="194"/>
  <c r="W135" i="194"/>
  <c r="V128" i="194"/>
  <c r="AC220" i="194"/>
  <c r="T168" i="194"/>
  <c r="AC162" i="194"/>
  <c r="S168" i="194"/>
  <c r="AA119" i="194"/>
  <c r="AB151" i="194"/>
  <c r="AB140" i="194"/>
  <c r="AB145" i="194"/>
  <c r="AB122" i="194"/>
  <c r="AA205" i="194"/>
  <c r="AB190" i="194"/>
  <c r="D41" i="194"/>
  <c r="AD118" i="194"/>
  <c r="F27" i="194"/>
  <c r="V158" i="194"/>
  <c r="V184" i="194"/>
  <c r="AB221" i="194"/>
  <c r="AB99" i="194"/>
  <c r="Z184" i="194"/>
  <c r="W126" i="194"/>
  <c r="Z232" i="194"/>
  <c r="W122" i="194"/>
  <c r="S220" i="194"/>
  <c r="AD152" i="194"/>
  <c r="AA185" i="194"/>
  <c r="V194" i="194"/>
  <c r="AB109" i="194"/>
  <c r="S139" i="194"/>
  <c r="S225" i="194"/>
  <c r="V137" i="194"/>
  <c r="V185" i="194"/>
  <c r="AA224" i="194"/>
  <c r="Z101" i="194"/>
  <c r="U166" i="194"/>
  <c r="T120" i="194"/>
  <c r="V200" i="194"/>
  <c r="Z203" i="194"/>
  <c r="W188" i="194"/>
  <c r="U153" i="194"/>
  <c r="U90" i="194"/>
  <c r="Z90" i="194"/>
  <c r="Z141" i="194"/>
  <c r="AB177" i="194"/>
  <c r="U229" i="194"/>
  <c r="S134" i="194"/>
  <c r="V188" i="194"/>
  <c r="V109" i="194"/>
  <c r="AD139" i="194"/>
  <c r="S96" i="194"/>
  <c r="W154" i="194"/>
  <c r="U219" i="194"/>
  <c r="AB227" i="194"/>
  <c r="Z126" i="194"/>
  <c r="AB184" i="194"/>
  <c r="Z225" i="194"/>
  <c r="AA82" i="194"/>
  <c r="AC126" i="194"/>
  <c r="AB162" i="194"/>
  <c r="AA141" i="194"/>
  <c r="AC209" i="194"/>
  <c r="AB124" i="194"/>
  <c r="AD133" i="194"/>
  <c r="Q18" i="80"/>
  <c r="U157" i="194"/>
  <c r="Z100" i="194"/>
  <c r="H27" i="194"/>
  <c r="W86" i="194"/>
  <c r="AB142" i="194"/>
  <c r="Z136" i="194"/>
  <c r="T205" i="194"/>
  <c r="U138" i="194"/>
  <c r="AB188" i="194"/>
  <c r="AD211" i="194"/>
  <c r="W207" i="194"/>
  <c r="AC127" i="194"/>
  <c r="C58" i="194"/>
  <c r="AC98" i="194"/>
  <c r="U228" i="194"/>
  <c r="AD149" i="194"/>
  <c r="AC206" i="194"/>
  <c r="W156" i="194"/>
  <c r="V175" i="194"/>
  <c r="AD208" i="194"/>
  <c r="AB178" i="194"/>
  <c r="W91" i="194"/>
  <c r="Z215" i="194"/>
  <c r="AC119" i="194"/>
  <c r="V191" i="194"/>
  <c r="C24" i="194"/>
  <c r="Q17" i="80"/>
  <c r="S108" i="194"/>
  <c r="V106" i="194"/>
  <c r="V177" i="194"/>
  <c r="AD192" i="194"/>
  <c r="T202" i="194"/>
  <c r="AD88" i="194"/>
  <c r="S196" i="194"/>
  <c r="AB206" i="194"/>
  <c r="Z167" i="194"/>
  <c r="V210" i="194"/>
  <c r="Z132" i="194"/>
  <c r="AC101" i="194"/>
  <c r="AD83" i="194"/>
  <c r="Z156" i="194"/>
  <c r="W115" i="194"/>
  <c r="V192" i="194"/>
  <c r="T86" i="194"/>
  <c r="V107" i="194"/>
  <c r="S143" i="194"/>
  <c r="AA149" i="194"/>
  <c r="Z173" i="194"/>
  <c r="AD178" i="194"/>
  <c r="T81" i="194"/>
  <c r="U188" i="194"/>
  <c r="U189" i="194"/>
  <c r="Z88" i="194"/>
  <c r="AD175" i="194"/>
  <c r="U177" i="194"/>
  <c r="Z115" i="194"/>
  <c r="V173" i="194"/>
  <c r="T124" i="194"/>
  <c r="AD230" i="194"/>
  <c r="AA168" i="194"/>
  <c r="V88" i="194"/>
  <c r="AB102" i="194"/>
  <c r="W103" i="194"/>
  <c r="S200" i="194"/>
  <c r="AA204" i="194"/>
  <c r="U175" i="194"/>
  <c r="AD183" i="194"/>
  <c r="W222" i="194"/>
  <c r="Z189" i="194"/>
  <c r="W137" i="194"/>
  <c r="AD125" i="194"/>
  <c r="W205" i="194"/>
  <c r="AC227" i="194"/>
  <c r="Z181" i="194"/>
  <c r="AA83" i="194"/>
  <c r="C55" i="194"/>
  <c r="V193" i="194"/>
  <c r="AB94" i="194"/>
  <c r="Z168" i="194"/>
  <c r="Z113" i="194"/>
  <c r="W119" i="194"/>
  <c r="AB91" i="194"/>
  <c r="AC183" i="194"/>
  <c r="AA123" i="194"/>
  <c r="G20" i="194"/>
  <c r="AB171" i="194"/>
  <c r="Z96" i="194"/>
  <c r="S119" i="194"/>
  <c r="S219" i="194"/>
  <c r="AC167" i="194"/>
  <c r="T174" i="194"/>
  <c r="AD123" i="194"/>
  <c r="S135" i="194"/>
  <c r="AB225" i="194"/>
  <c r="F47" i="194"/>
  <c r="W152" i="194"/>
  <c r="Z169" i="194"/>
  <c r="U103" i="194"/>
  <c r="Z137" i="194"/>
  <c r="V134" i="194"/>
  <c r="S86" i="194"/>
  <c r="Z117" i="194"/>
  <c r="F22" i="194"/>
  <c r="T98" i="194"/>
  <c r="Z207" i="194"/>
  <c r="Z108" i="194"/>
  <c r="AC228" i="194"/>
  <c r="Z87" i="194"/>
  <c r="AB98" i="194"/>
  <c r="AA220" i="194"/>
  <c r="W141" i="194"/>
  <c r="U176" i="194"/>
  <c r="Z162" i="194"/>
  <c r="S103" i="194"/>
  <c r="U184" i="194"/>
  <c r="V117" i="194"/>
  <c r="Z152" i="194"/>
  <c r="S118" i="194"/>
  <c r="Z94" i="194"/>
  <c r="V91" i="194"/>
  <c r="V90" i="194"/>
  <c r="AB168" i="194"/>
  <c r="AD159" i="194"/>
  <c r="S173" i="194"/>
  <c r="S105" i="194"/>
  <c r="U92" i="194"/>
  <c r="W81" i="194"/>
  <c r="S190" i="194"/>
  <c r="AB158" i="194"/>
  <c r="Z219" i="194"/>
  <c r="Z187" i="194"/>
  <c r="V118" i="194"/>
  <c r="G27" i="194"/>
  <c r="Z153" i="194"/>
  <c r="AC223" i="194"/>
  <c r="Z128" i="194"/>
  <c r="U94" i="194"/>
  <c r="Z121" i="194"/>
  <c r="D39" i="194"/>
  <c r="V217" i="194"/>
  <c r="AA122" i="194"/>
  <c r="Z129" i="194"/>
  <c r="AC128" i="194"/>
  <c r="AB133" i="194"/>
  <c r="Z105" i="194"/>
  <c r="V87" i="194"/>
  <c r="AA219" i="194"/>
  <c r="AB100" i="194"/>
  <c r="AC137" i="194"/>
  <c r="Z83" i="194"/>
  <c r="AB127" i="194"/>
  <c r="W224" i="194"/>
  <c r="AA166" i="194"/>
  <c r="Z205" i="194"/>
  <c r="AB179" i="194"/>
  <c r="W116" i="194"/>
  <c r="W84" i="194"/>
  <c r="U167" i="194"/>
  <c r="Z107" i="194"/>
  <c r="AD170" i="194"/>
  <c r="AD99" i="194"/>
  <c r="Z210" i="194"/>
  <c r="T220" i="194"/>
  <c r="AR2" i="56"/>
  <c r="AC201" i="194"/>
  <c r="W155" i="194"/>
  <c r="F20" i="194"/>
  <c r="T132" i="194"/>
  <c r="AD102" i="194"/>
  <c r="AD141" i="194"/>
  <c r="I58" i="194"/>
  <c r="T84" i="194"/>
  <c r="W133" i="194"/>
  <c r="C61" i="194"/>
  <c r="AB143" i="194"/>
  <c r="Z120" i="194"/>
  <c r="U150" i="194"/>
  <c r="S172" i="194"/>
  <c r="AC203" i="194"/>
  <c r="V152" i="194"/>
  <c r="T88" i="194"/>
  <c r="W227" i="194"/>
  <c r="S213" i="194"/>
  <c r="V138" i="194"/>
  <c r="W153" i="194"/>
  <c r="Z194" i="194"/>
  <c r="AB167" i="194"/>
  <c r="AC158" i="194"/>
  <c r="AC83" i="194"/>
  <c r="W187" i="194"/>
  <c r="AB174" i="194"/>
  <c r="AA137" i="194"/>
  <c r="AA170" i="194"/>
  <c r="AA157" i="194"/>
  <c r="T123" i="194"/>
  <c r="T204" i="194"/>
  <c r="Z86" i="194"/>
  <c r="T207" i="194"/>
  <c r="V169" i="194"/>
  <c r="E47" i="194"/>
  <c r="AB141" i="194"/>
  <c r="E28" i="194"/>
  <c r="AB137" i="194"/>
  <c r="W174" i="194"/>
  <c r="V94" i="194"/>
  <c r="U99" i="194"/>
  <c r="V140" i="194"/>
  <c r="Z124" i="194"/>
  <c r="AB212" i="194"/>
  <c r="Z227" i="194"/>
  <c r="AB85" i="194"/>
  <c r="V99" i="194"/>
  <c r="AC91" i="194"/>
  <c r="W201" i="194"/>
  <c r="U139" i="194"/>
  <c r="T87" i="194"/>
  <c r="Z206" i="194"/>
  <c r="G22" i="194"/>
  <c r="F43" i="194"/>
  <c r="S169" i="194"/>
  <c r="V212" i="194"/>
  <c r="AC111" i="194"/>
  <c r="AC82" i="194"/>
  <c r="S82" i="194"/>
  <c r="V116" i="194"/>
  <c r="AD124" i="194"/>
  <c r="V205" i="194"/>
  <c r="V220" i="194"/>
  <c r="AD100" i="194"/>
  <c r="C40" i="194"/>
  <c r="U183" i="194"/>
  <c r="AA171" i="194"/>
  <c r="AD115" i="194"/>
  <c r="AD190" i="194"/>
  <c r="Z91" i="194"/>
  <c r="AB222" i="194"/>
  <c r="W125" i="194"/>
  <c r="AD207" i="194"/>
  <c r="S184" i="194"/>
  <c r="AB226" i="194"/>
  <c r="AA151" i="194"/>
  <c r="C42" i="194"/>
  <c r="AB176" i="194"/>
  <c r="Z151" i="194"/>
  <c r="I57" i="194"/>
  <c r="V142" i="194"/>
  <c r="Z145" i="194"/>
  <c r="AC202" i="194"/>
  <c r="AA175" i="194"/>
  <c r="AD219" i="194"/>
  <c r="AA106" i="194"/>
  <c r="AC200" i="194"/>
  <c r="T119" i="194"/>
  <c r="AC190" i="194"/>
  <c r="T150" i="194"/>
  <c r="AB149" i="194"/>
  <c r="Z180" i="194"/>
  <c r="V209" i="194"/>
  <c r="U186" i="194"/>
  <c r="AC109" i="194"/>
  <c r="U196" i="194"/>
  <c r="T189" i="194"/>
  <c r="S223" i="194"/>
  <c r="U98" i="194"/>
  <c r="AA87" i="194"/>
  <c r="W85" i="194"/>
  <c r="V168" i="194"/>
  <c r="AC185" i="194"/>
  <c r="V203" i="194"/>
  <c r="AB169" i="194"/>
  <c r="C39" i="194"/>
  <c r="F41" i="194"/>
  <c r="AC157" i="194"/>
  <c r="V111" i="194"/>
  <c r="W196" i="194"/>
  <c r="S224" i="194"/>
  <c r="AD93" i="194"/>
  <c r="X86" i="194" l="1"/>
  <c r="E98" i="194"/>
  <c r="H123" i="194"/>
  <c r="X141" i="194"/>
  <c r="H84" i="194"/>
  <c r="E173" i="194"/>
  <c r="X96" i="194"/>
  <c r="E124" i="194"/>
  <c r="X90" i="194"/>
  <c r="E204" i="194"/>
  <c r="Q115" i="194"/>
  <c r="D115" i="194"/>
  <c r="O115" i="194" s="1"/>
  <c r="X219" i="194"/>
  <c r="G173" i="194"/>
  <c r="F90" i="194"/>
  <c r="H116" i="194"/>
  <c r="F140" i="194"/>
  <c r="H220" i="194"/>
  <c r="X115" i="194"/>
  <c r="F153" i="194"/>
  <c r="Q224" i="194"/>
  <c r="D224" i="194"/>
  <c r="O224" i="194" s="1"/>
  <c r="E223" i="194"/>
  <c r="X89" i="194"/>
  <c r="E123" i="194"/>
  <c r="D208" i="194"/>
  <c r="O208" i="194" s="1"/>
  <c r="Q208" i="194"/>
  <c r="F177" i="194"/>
  <c r="H188" i="194"/>
  <c r="Q149" i="194"/>
  <c r="D149" i="194"/>
  <c r="O149" i="194" s="1"/>
  <c r="B33" i="194"/>
  <c r="O33" i="194" s="1"/>
  <c r="B31" i="194"/>
  <c r="O31" i="194" s="1"/>
  <c r="B32" i="194"/>
  <c r="O32" i="194" s="1"/>
  <c r="X183" i="194"/>
  <c r="G212" i="194"/>
  <c r="X203" i="194"/>
  <c r="H196" i="194"/>
  <c r="E188" i="194"/>
  <c r="X88" i="194"/>
  <c r="G200" i="194"/>
  <c r="G195" i="194"/>
  <c r="X205" i="194"/>
  <c r="Q135" i="194"/>
  <c r="D135" i="194"/>
  <c r="O135" i="194" s="1"/>
  <c r="E102" i="194"/>
  <c r="Q169" i="194"/>
  <c r="D169" i="194"/>
  <c r="O169" i="194" s="1"/>
  <c r="F189" i="194"/>
  <c r="E120" i="194"/>
  <c r="G111" i="194"/>
  <c r="X145" i="194"/>
  <c r="G153" i="194"/>
  <c r="Q137" i="194"/>
  <c r="D137" i="194"/>
  <c r="O137" i="194" s="1"/>
  <c r="X117" i="194"/>
  <c r="X226" i="194"/>
  <c r="F188" i="194"/>
  <c r="F166" i="194"/>
  <c r="X134" i="194"/>
  <c r="E81" i="194"/>
  <c r="X101" i="194"/>
  <c r="G142" i="194"/>
  <c r="H176" i="194"/>
  <c r="F124" i="194"/>
  <c r="H224" i="194"/>
  <c r="G176" i="194"/>
  <c r="H102" i="194"/>
  <c r="E117" i="194"/>
  <c r="H217" i="194"/>
  <c r="X173" i="194"/>
  <c r="G185" i="194"/>
  <c r="H140" i="194"/>
  <c r="D214" i="194"/>
  <c r="O214" i="194" s="1"/>
  <c r="Q214" i="194"/>
  <c r="E107" i="194"/>
  <c r="D86" i="194"/>
  <c r="O86" i="194" s="1"/>
  <c r="Q86" i="194"/>
  <c r="G137" i="194"/>
  <c r="E174" i="194"/>
  <c r="D122" i="194"/>
  <c r="O122" i="194" s="1"/>
  <c r="Q122" i="194"/>
  <c r="H119" i="194"/>
  <c r="H88" i="194"/>
  <c r="X206" i="194"/>
  <c r="Q143" i="194"/>
  <c r="D143" i="194"/>
  <c r="O143" i="194" s="1"/>
  <c r="F136" i="194"/>
  <c r="Q225" i="194"/>
  <c r="D225" i="194"/>
  <c r="O225" i="194" s="1"/>
  <c r="X151" i="194"/>
  <c r="E224" i="194"/>
  <c r="H187" i="194"/>
  <c r="F105" i="194"/>
  <c r="H209" i="194"/>
  <c r="D190" i="194"/>
  <c r="O190" i="194" s="1"/>
  <c r="Q190" i="194"/>
  <c r="X211" i="194"/>
  <c r="G107" i="194"/>
  <c r="G229" i="194"/>
  <c r="Q139" i="194"/>
  <c r="D139" i="194"/>
  <c r="O139" i="194" s="1"/>
  <c r="X83" i="194"/>
  <c r="F107" i="194"/>
  <c r="X113" i="194"/>
  <c r="E209" i="194"/>
  <c r="E87" i="194"/>
  <c r="F104" i="194"/>
  <c r="E86" i="194"/>
  <c r="F227" i="194"/>
  <c r="X209" i="194"/>
  <c r="F191" i="194"/>
  <c r="G134" i="194"/>
  <c r="H193" i="194"/>
  <c r="G192" i="194"/>
  <c r="G194" i="194"/>
  <c r="D167" i="194"/>
  <c r="O167" i="194" s="1"/>
  <c r="Q167" i="194"/>
  <c r="G90" i="194"/>
  <c r="X168" i="194"/>
  <c r="H120" i="194"/>
  <c r="F137" i="194"/>
  <c r="F139" i="194"/>
  <c r="H115" i="194"/>
  <c r="G203" i="194"/>
  <c r="E186" i="194"/>
  <c r="X188" i="194"/>
  <c r="F192" i="194"/>
  <c r="X156" i="194"/>
  <c r="I146" i="194"/>
  <c r="X146" i="194"/>
  <c r="D219" i="194"/>
  <c r="O219" i="194" s="1"/>
  <c r="Q219" i="194"/>
  <c r="B219" i="194" s="1"/>
  <c r="Q227" i="194"/>
  <c r="D227" i="194"/>
  <c r="O227" i="194" s="1"/>
  <c r="H208" i="194"/>
  <c r="H145" i="194"/>
  <c r="X201" i="194"/>
  <c r="D220" i="194"/>
  <c r="O220" i="194" s="1"/>
  <c r="Q220" i="194"/>
  <c r="G119" i="194"/>
  <c r="F100" i="194"/>
  <c r="E185" i="194"/>
  <c r="X137" i="194"/>
  <c r="H194" i="194"/>
  <c r="H122" i="194"/>
  <c r="O20" i="194"/>
  <c r="Q20" i="194"/>
  <c r="X166" i="194"/>
  <c r="G91" i="194"/>
  <c r="D120" i="194"/>
  <c r="O120" i="194" s="1"/>
  <c r="Q120" i="194"/>
  <c r="H98" i="194"/>
  <c r="G193" i="194"/>
  <c r="O46" i="194"/>
  <c r="H143" i="194"/>
  <c r="H201" i="194"/>
  <c r="Q221" i="194"/>
  <c r="D221" i="194"/>
  <c r="O221" i="194" s="1"/>
  <c r="G151" i="194"/>
  <c r="X132" i="194"/>
  <c r="X232" i="194"/>
  <c r="G168" i="194"/>
  <c r="F81" i="194"/>
  <c r="G141" i="194"/>
  <c r="X194" i="194"/>
  <c r="H175" i="194"/>
  <c r="O59" i="194"/>
  <c r="F59" i="194"/>
  <c r="H59" i="194"/>
  <c r="G59" i="194"/>
  <c r="H81" i="194"/>
  <c r="G210" i="194"/>
  <c r="Q231" i="194"/>
  <c r="D231" i="194"/>
  <c r="O231" i="194" s="1"/>
  <c r="H126" i="194"/>
  <c r="E105" i="194"/>
  <c r="G87" i="194"/>
  <c r="D119" i="194"/>
  <c r="O119" i="194" s="1"/>
  <c r="Q119" i="194"/>
  <c r="O44" i="194"/>
  <c r="H173" i="194"/>
  <c r="H55" i="194"/>
  <c r="F55" i="194"/>
  <c r="O55" i="194"/>
  <c r="G55" i="194"/>
  <c r="H179" i="194"/>
  <c r="X167" i="194"/>
  <c r="F135" i="194"/>
  <c r="X127" i="194"/>
  <c r="X184" i="194"/>
  <c r="H85" i="194"/>
  <c r="Q184" i="194"/>
  <c r="D184" i="194"/>
  <c r="O184" i="194" s="1"/>
  <c r="D206" i="194"/>
  <c r="O206" i="194" s="1"/>
  <c r="Q206" i="194"/>
  <c r="H153" i="194"/>
  <c r="X147" i="194"/>
  <c r="D217" i="194"/>
  <c r="O217" i="194" s="1"/>
  <c r="Q217" i="194"/>
  <c r="E132" i="194"/>
  <c r="X149" i="194"/>
  <c r="F185" i="194"/>
  <c r="X105" i="194"/>
  <c r="F207" i="194"/>
  <c r="X94" i="194"/>
  <c r="H105" i="194"/>
  <c r="F158" i="194"/>
  <c r="G99" i="194"/>
  <c r="Q196" i="194"/>
  <c r="D196" i="194"/>
  <c r="O196" i="194" s="1"/>
  <c r="Q222" i="194"/>
  <c r="D222" i="194"/>
  <c r="O222" i="194" s="1"/>
  <c r="H202" i="194"/>
  <c r="H149" i="194"/>
  <c r="O42" i="194"/>
  <c r="E121" i="194"/>
  <c r="G138" i="194"/>
  <c r="X217" i="194"/>
  <c r="G184" i="194"/>
  <c r="E220" i="194"/>
  <c r="X82" i="194"/>
  <c r="X99" i="194"/>
  <c r="X84" i="194"/>
  <c r="F179" i="194"/>
  <c r="F52" i="194"/>
  <c r="G52" i="194"/>
  <c r="H52" i="194"/>
  <c r="O52" i="194"/>
  <c r="X150" i="194"/>
  <c r="L8" i="55"/>
  <c r="E9" i="55" s="1"/>
  <c r="D118" i="194"/>
  <c r="O118" i="194" s="1"/>
  <c r="Q118" i="194"/>
  <c r="E202" i="194"/>
  <c r="G158" i="194"/>
  <c r="X181" i="194"/>
  <c r="F213" i="194"/>
  <c r="H218" i="194"/>
  <c r="H206" i="194"/>
  <c r="D160" i="194"/>
  <c r="O160" i="194" s="1"/>
  <c r="Q160" i="194"/>
  <c r="F98" i="194"/>
  <c r="F126" i="194"/>
  <c r="H125" i="194"/>
  <c r="H138" i="194"/>
  <c r="F171" i="194"/>
  <c r="D136" i="194"/>
  <c r="O136" i="194" s="1"/>
  <c r="Q136" i="194"/>
  <c r="Q213" i="194"/>
  <c r="D213" i="194"/>
  <c r="O213" i="194" s="1"/>
  <c r="E149" i="194"/>
  <c r="E187" i="194"/>
  <c r="F103" i="194"/>
  <c r="H110" i="194"/>
  <c r="G82" i="194"/>
  <c r="G177" i="194"/>
  <c r="D142" i="194"/>
  <c r="O142" i="194" s="1"/>
  <c r="Q142" i="194"/>
  <c r="G144" i="194"/>
  <c r="F110" i="194"/>
  <c r="X152" i="194"/>
  <c r="G92" i="194"/>
  <c r="X81" i="194"/>
  <c r="G106" i="194"/>
  <c r="O41" i="194"/>
  <c r="G207" i="194"/>
  <c r="X227" i="194"/>
  <c r="G186" i="194"/>
  <c r="O38" i="194"/>
  <c r="Q223" i="194"/>
  <c r="D223" i="194"/>
  <c r="O223" i="194" s="1"/>
  <c r="H184" i="194"/>
  <c r="X98" i="194"/>
  <c r="E192" i="194"/>
  <c r="Q155" i="194"/>
  <c r="D155" i="194"/>
  <c r="O155" i="194" s="1"/>
  <c r="D108" i="194"/>
  <c r="O108" i="194" s="1"/>
  <c r="G178" i="194"/>
  <c r="H227" i="194"/>
  <c r="F210" i="194"/>
  <c r="L13" i="55"/>
  <c r="C14" i="55" s="1"/>
  <c r="X172" i="194"/>
  <c r="F86" i="194"/>
  <c r="X210" i="194"/>
  <c r="D159" i="194"/>
  <c r="O159" i="194" s="1"/>
  <c r="Q159" i="194"/>
  <c r="G160" i="194"/>
  <c r="I129" i="194"/>
  <c r="X129" i="194"/>
  <c r="H157" i="194"/>
  <c r="G117" i="194"/>
  <c r="Q176" i="194"/>
  <c r="D176" i="194"/>
  <c r="O176" i="194" s="1"/>
  <c r="F87" i="194"/>
  <c r="E219" i="194"/>
  <c r="G103" i="194"/>
  <c r="F132" i="194"/>
  <c r="H205" i="194"/>
  <c r="X155" i="194"/>
  <c r="F141" i="194"/>
  <c r="Q228" i="194"/>
  <c r="D228" i="194"/>
  <c r="O228" i="194" s="1"/>
  <c r="X102" i="194"/>
  <c r="Q166" i="194"/>
  <c r="D166" i="194"/>
  <c r="O166" i="194" s="1"/>
  <c r="D175" i="194"/>
  <c r="O175" i="194" s="1"/>
  <c r="Q175" i="194"/>
  <c r="H167" i="194"/>
  <c r="G162" i="194"/>
  <c r="E189" i="194"/>
  <c r="G139" i="194"/>
  <c r="G191" i="194"/>
  <c r="K118" i="53"/>
  <c r="K119" i="53" s="1"/>
  <c r="F18" i="55" s="1"/>
  <c r="R80" i="53"/>
  <c r="N118" i="53"/>
  <c r="N119" i="53" s="1"/>
  <c r="B48" i="53"/>
  <c r="P80" i="53"/>
  <c r="P33" i="53" s="1"/>
  <c r="P37" i="53"/>
  <c r="R37" i="53" s="1"/>
  <c r="M118" i="53"/>
  <c r="M119" i="53" s="1"/>
  <c r="I118" i="53"/>
  <c r="I119" i="53" s="1"/>
  <c r="D40" i="53"/>
  <c r="F40" i="53" s="1"/>
  <c r="P38" i="53"/>
  <c r="R38" i="53" s="1"/>
  <c r="D42" i="53"/>
  <c r="F42" i="53" s="1"/>
  <c r="L118" i="53"/>
  <c r="L119" i="53" s="1"/>
  <c r="D37" i="53"/>
  <c r="F37" i="53" s="1"/>
  <c r="D41" i="53"/>
  <c r="F41" i="53" s="1"/>
  <c r="D39" i="53"/>
  <c r="F39" i="53" s="1"/>
  <c r="J118" i="53"/>
  <c r="J119" i="53" s="1"/>
  <c r="D35" i="53"/>
  <c r="F35" i="53" s="1"/>
  <c r="D36" i="53"/>
  <c r="F36" i="53" s="1"/>
  <c r="D38" i="53"/>
  <c r="F38" i="53" s="1"/>
  <c r="H118" i="53"/>
  <c r="H119" i="53" s="1"/>
  <c r="D43" i="53"/>
  <c r="F43" i="53" s="1"/>
  <c r="K112" i="53"/>
  <c r="L112" i="53" s="1"/>
  <c r="AL8" i="56" s="1"/>
  <c r="G132" i="194"/>
  <c r="X91" i="194"/>
  <c r="E90" i="194"/>
  <c r="G196" i="194"/>
  <c r="G213" i="194"/>
  <c r="F91" i="194"/>
  <c r="F109" i="194"/>
  <c r="Q194" i="194"/>
  <c r="D194" i="194"/>
  <c r="O194" i="194" s="1"/>
  <c r="E88" i="194"/>
  <c r="G221" i="194"/>
  <c r="X103" i="194"/>
  <c r="E155" i="194"/>
  <c r="E138" i="194"/>
  <c r="F92" i="194"/>
  <c r="Q147" i="194"/>
  <c r="D147" i="194"/>
  <c r="O147" i="194" s="1"/>
  <c r="G110" i="194"/>
  <c r="D92" i="194"/>
  <c r="O92" i="194" s="1"/>
  <c r="X215" i="194"/>
  <c r="G174" i="194"/>
  <c r="H178" i="194"/>
  <c r="F184" i="194"/>
  <c r="X92" i="194"/>
  <c r="X185" i="194"/>
  <c r="F128" i="194"/>
  <c r="H128" i="194"/>
  <c r="G170" i="194"/>
  <c r="H172" i="194"/>
  <c r="H91" i="194"/>
  <c r="E169" i="194"/>
  <c r="X124" i="194"/>
  <c r="G105" i="194"/>
  <c r="F201" i="194"/>
  <c r="E154" i="194"/>
  <c r="D125" i="194"/>
  <c r="O125" i="194" s="1"/>
  <c r="Q125" i="194"/>
  <c r="F196" i="194"/>
  <c r="Q168" i="194"/>
  <c r="D168" i="194"/>
  <c r="O168" i="194" s="1"/>
  <c r="E122" i="194"/>
  <c r="H106" i="194"/>
  <c r="X229" i="194"/>
  <c r="F93" i="194"/>
  <c r="D150" i="194"/>
  <c r="O150" i="194" s="1"/>
  <c r="Q150" i="194"/>
  <c r="G152" i="194"/>
  <c r="X222" i="194"/>
  <c r="H189" i="194"/>
  <c r="D210" i="194"/>
  <c r="O210" i="194" s="1"/>
  <c r="Q210" i="194"/>
  <c r="H221" i="194"/>
  <c r="F121" i="194"/>
  <c r="G217" i="194"/>
  <c r="H82" i="194"/>
  <c r="E134" i="194"/>
  <c r="G175" i="194"/>
  <c r="D188" i="194"/>
  <c r="O188" i="194" s="1"/>
  <c r="Q188" i="194"/>
  <c r="E168" i="194"/>
  <c r="D103" i="194"/>
  <c r="O103" i="194" s="1"/>
  <c r="Q103" i="194"/>
  <c r="D204" i="194"/>
  <c r="O204" i="194" s="1"/>
  <c r="Q204" i="194"/>
  <c r="X119" i="194"/>
  <c r="B119" i="194" s="1"/>
  <c r="G166" i="194"/>
  <c r="E141" i="194"/>
  <c r="G155" i="194"/>
  <c r="H137" i="194"/>
  <c r="G187" i="194"/>
  <c r="H156" i="194"/>
  <c r="H190" i="194"/>
  <c r="G135" i="194"/>
  <c r="G140" i="194"/>
  <c r="H161" i="194"/>
  <c r="Y34" i="53"/>
  <c r="O21" i="194"/>
  <c r="X154" i="194"/>
  <c r="I214" i="194"/>
  <c r="X214" i="194"/>
  <c r="B214" i="194" s="1"/>
  <c r="G136" i="194"/>
  <c r="Q179" i="194"/>
  <c r="D179" i="194"/>
  <c r="O179" i="194" s="1"/>
  <c r="X220" i="194"/>
  <c r="X143" i="194"/>
  <c r="G128" i="194"/>
  <c r="E170" i="194"/>
  <c r="H229" i="194"/>
  <c r="D157" i="194"/>
  <c r="O157" i="194" s="1"/>
  <c r="Q157" i="194"/>
  <c r="F151" i="194"/>
  <c r="G230" i="194"/>
  <c r="E183" i="194"/>
  <c r="E139" i="194"/>
  <c r="Q205" i="194"/>
  <c r="B205" i="194" s="1"/>
  <c r="D205" i="194"/>
  <c r="O205" i="194" s="1"/>
  <c r="F205" i="194"/>
  <c r="H135" i="194"/>
  <c r="H89" i="194"/>
  <c r="X130" i="194"/>
  <c r="X169" i="194"/>
  <c r="F123" i="194"/>
  <c r="D133" i="194"/>
  <c r="O133" i="194" s="1"/>
  <c r="Q133" i="194"/>
  <c r="H104" i="194"/>
  <c r="O24" i="194"/>
  <c r="G224" i="194"/>
  <c r="X170" i="194"/>
  <c r="F119" i="194"/>
  <c r="D100" i="194"/>
  <c r="O100" i="194" s="1"/>
  <c r="Q100" i="194"/>
  <c r="F204" i="194"/>
  <c r="O39" i="194"/>
  <c r="F228" i="194"/>
  <c r="G204" i="194"/>
  <c r="F170" i="194"/>
  <c r="X95" i="194"/>
  <c r="X198" i="194"/>
  <c r="X162" i="194"/>
  <c r="G100" i="194"/>
  <c r="G98" i="194"/>
  <c r="E140" i="194"/>
  <c r="D193" i="194"/>
  <c r="O193" i="194" s="1"/>
  <c r="Q193" i="194"/>
  <c r="E217" i="194"/>
  <c r="H150" i="194"/>
  <c r="X189" i="194"/>
  <c r="H210" i="194"/>
  <c r="F99" i="194"/>
  <c r="F106" i="194"/>
  <c r="D191" i="194"/>
  <c r="O191" i="194" s="1"/>
  <c r="Q191" i="194"/>
  <c r="D112" i="194"/>
  <c r="O112" i="194" s="1"/>
  <c r="E118" i="194"/>
  <c r="X34" i="53"/>
  <c r="X106" i="194"/>
  <c r="Q116" i="194"/>
  <c r="D116" i="194"/>
  <c r="O116" i="194" s="1"/>
  <c r="F186" i="194"/>
  <c r="D189" i="194"/>
  <c r="O189" i="194" s="1"/>
  <c r="Q189" i="194"/>
  <c r="G58" i="194"/>
  <c r="O58" i="194"/>
  <c r="F58" i="194"/>
  <c r="H58" i="194"/>
  <c r="X112" i="194"/>
  <c r="H170" i="194"/>
  <c r="D181" i="194"/>
  <c r="O181" i="194" s="1"/>
  <c r="Q181" i="194"/>
  <c r="F133" i="194"/>
  <c r="H185" i="194"/>
  <c r="O45" i="194"/>
  <c r="E135" i="194"/>
  <c r="G149" i="194"/>
  <c r="Q127" i="194"/>
  <c r="D127" i="194"/>
  <c r="O127" i="194" s="1"/>
  <c r="G101" i="194"/>
  <c r="Q172" i="194"/>
  <c r="D172" i="194"/>
  <c r="O172" i="194" s="1"/>
  <c r="D151" i="194"/>
  <c r="O151" i="194" s="1"/>
  <c r="Q151" i="194"/>
  <c r="B151" i="194" s="1"/>
  <c r="X111" i="194"/>
  <c r="E171" i="194"/>
  <c r="D158" i="194"/>
  <c r="O158" i="194" s="1"/>
  <c r="Q158" i="194"/>
  <c r="H228" i="194"/>
  <c r="X202" i="194"/>
  <c r="H223" i="194"/>
  <c r="Q215" i="194"/>
  <c r="D215" i="194"/>
  <c r="O215" i="194" s="1"/>
  <c r="G85" i="194"/>
  <c r="E225" i="194"/>
  <c r="G228" i="194"/>
  <c r="X192" i="194"/>
  <c r="F127" i="194"/>
  <c r="X121" i="194"/>
  <c r="E206" i="194"/>
  <c r="H207" i="194"/>
  <c r="X160" i="194"/>
  <c r="B160" i="194" s="1"/>
  <c r="D93" i="194"/>
  <c r="O93" i="194" s="1"/>
  <c r="Q93" i="194"/>
  <c r="D180" i="194"/>
  <c r="O180" i="194" s="1"/>
  <c r="Q180" i="194"/>
  <c r="F176" i="194"/>
  <c r="D198" i="194"/>
  <c r="O198" i="194" s="1"/>
  <c r="Q198" i="194"/>
  <c r="D84" i="194"/>
  <c r="O84" i="194" s="1"/>
  <c r="Q84" i="194"/>
  <c r="H162" i="194"/>
  <c r="G208" i="194"/>
  <c r="Q126" i="194"/>
  <c r="D126" i="194"/>
  <c r="O126" i="194" s="1"/>
  <c r="Q211" i="194"/>
  <c r="D211" i="194"/>
  <c r="O211" i="194" s="1"/>
  <c r="H109" i="194"/>
  <c r="H222" i="194"/>
  <c r="X175" i="194"/>
  <c r="G86" i="194"/>
  <c r="X158" i="194"/>
  <c r="H171" i="194"/>
  <c r="Q98" i="194"/>
  <c r="D98" i="194"/>
  <c r="O98" i="194" s="1"/>
  <c r="O57" i="194"/>
  <c r="G57" i="194"/>
  <c r="H57" i="194"/>
  <c r="F57" i="194"/>
  <c r="G94" i="194"/>
  <c r="D146" i="194"/>
  <c r="O146" i="194" s="1"/>
  <c r="Q146" i="194"/>
  <c r="B146" i="194" s="1"/>
  <c r="F142" i="194"/>
  <c r="E14" i="55"/>
  <c r="H136" i="194"/>
  <c r="X224" i="194"/>
  <c r="B224" i="194" s="1"/>
  <c r="H159" i="194"/>
  <c r="Q123" i="194"/>
  <c r="D123" i="194"/>
  <c r="O123" i="194" s="1"/>
  <c r="I163" i="194"/>
  <c r="X163" i="194"/>
  <c r="G209" i="194"/>
  <c r="F102" i="194"/>
  <c r="G179" i="194"/>
  <c r="Q129" i="194"/>
  <c r="D129" i="194"/>
  <c r="O129" i="194" s="1"/>
  <c r="F183" i="194"/>
  <c r="X178" i="194"/>
  <c r="F122" i="194"/>
  <c r="O25" i="194"/>
  <c r="E82" i="194"/>
  <c r="H121" i="194"/>
  <c r="F161" i="194"/>
  <c r="E116" i="194"/>
  <c r="F150" i="194"/>
  <c r="F138" i="194"/>
  <c r="F217" i="194"/>
  <c r="G145" i="194"/>
  <c r="X157" i="194"/>
  <c r="H139" i="194"/>
  <c r="D212" i="194"/>
  <c r="O212" i="194" s="1"/>
  <c r="Q212" i="194"/>
  <c r="G121" i="194"/>
  <c r="F194" i="194"/>
  <c r="X218" i="194"/>
  <c r="G206" i="194"/>
  <c r="D109" i="194"/>
  <c r="O109" i="194" s="1"/>
  <c r="X110" i="194"/>
  <c r="F94" i="194"/>
  <c r="X144" i="194"/>
  <c r="E205" i="194"/>
  <c r="Q121" i="194"/>
  <c r="D121" i="194"/>
  <c r="O121" i="194" s="1"/>
  <c r="X123" i="194"/>
  <c r="Q174" i="194"/>
  <c r="D174" i="194"/>
  <c r="O174" i="194" s="1"/>
  <c r="H141" i="194"/>
  <c r="F208" i="194"/>
  <c r="H166" i="194"/>
  <c r="X125" i="194"/>
  <c r="B125" i="194" s="1"/>
  <c r="F152" i="194"/>
  <c r="F187" i="194"/>
  <c r="H186" i="194"/>
  <c r="X136" i="194"/>
  <c r="E136" i="194"/>
  <c r="G93" i="194"/>
  <c r="H174" i="194"/>
  <c r="F83" i="194"/>
  <c r="F230" i="194"/>
  <c r="D104" i="194"/>
  <c r="O104" i="194" s="1"/>
  <c r="Q104" i="194"/>
  <c r="F159" i="194"/>
  <c r="F224" i="194"/>
  <c r="I180" i="194"/>
  <c r="X180" i="194"/>
  <c r="X140" i="194"/>
  <c r="D177" i="194"/>
  <c r="O177" i="194" s="1"/>
  <c r="Q177" i="194"/>
  <c r="X139" i="194"/>
  <c r="B139" i="194" s="1"/>
  <c r="H183" i="194"/>
  <c r="E201" i="194"/>
  <c r="F155" i="194"/>
  <c r="X221" i="194"/>
  <c r="G190" i="194"/>
  <c r="H99" i="194"/>
  <c r="I197" i="194"/>
  <c r="X197" i="194"/>
  <c r="X176" i="194"/>
  <c r="F193" i="194"/>
  <c r="X120" i="194"/>
  <c r="E99" i="194"/>
  <c r="H86" i="194"/>
  <c r="F89" i="194"/>
  <c r="Q232" i="194"/>
  <c r="D232" i="194"/>
  <c r="O232" i="194" s="1"/>
  <c r="X138" i="194"/>
  <c r="G227" i="194"/>
  <c r="Q161" i="194"/>
  <c r="D161" i="194"/>
  <c r="O161" i="194" s="1"/>
  <c r="D91" i="194"/>
  <c r="O91" i="194" s="1"/>
  <c r="Q105" i="194"/>
  <c r="B105" i="194" s="1"/>
  <c r="D105" i="194"/>
  <c r="O105" i="194" s="1"/>
  <c r="G60" i="194"/>
  <c r="O60" i="194"/>
  <c r="H60" i="194"/>
  <c r="F60" i="194"/>
  <c r="Q201" i="194"/>
  <c r="D201" i="194"/>
  <c r="O201" i="194" s="1"/>
  <c r="G89" i="194"/>
  <c r="D171" i="194"/>
  <c r="O171" i="194" s="1"/>
  <c r="Q171" i="194"/>
  <c r="Q154" i="194"/>
  <c r="B154" i="194" s="1"/>
  <c r="D154" i="194"/>
  <c r="O154" i="194" s="1"/>
  <c r="X128" i="194"/>
  <c r="Q141" i="194"/>
  <c r="B141" i="194" s="1"/>
  <c r="D141" i="194"/>
  <c r="O141" i="194" s="1"/>
  <c r="H107" i="194"/>
  <c r="D144" i="194"/>
  <c r="O144" i="194" s="1"/>
  <c r="Q144" i="194"/>
  <c r="B144" i="194" s="1"/>
  <c r="F178" i="194"/>
  <c r="Q130" i="194"/>
  <c r="D130" i="194"/>
  <c r="O130" i="194" s="1"/>
  <c r="F117" i="194"/>
  <c r="H160" i="194"/>
  <c r="F149" i="194"/>
  <c r="F175" i="194"/>
  <c r="G124" i="194"/>
  <c r="X100" i="194"/>
  <c r="B100" i="194" s="1"/>
  <c r="D124" i="194"/>
  <c r="O124" i="194" s="1"/>
  <c r="Q124" i="194"/>
  <c r="F160" i="194"/>
  <c r="Q163" i="194"/>
  <c r="D163" i="194"/>
  <c r="O163" i="194" s="1"/>
  <c r="F174" i="194"/>
  <c r="F85" i="194"/>
  <c r="H101" i="194"/>
  <c r="X122" i="194"/>
  <c r="E104" i="194"/>
  <c r="G211" i="194"/>
  <c r="F212" i="194"/>
  <c r="D170" i="194"/>
  <c r="O170" i="194" s="1"/>
  <c r="Q170" i="194"/>
  <c r="F195" i="194"/>
  <c r="Q138" i="194"/>
  <c r="B138" i="194" s="1"/>
  <c r="D138" i="194"/>
  <c r="O138" i="194" s="1"/>
  <c r="F157" i="194"/>
  <c r="F209" i="194"/>
  <c r="D128" i="194"/>
  <c r="O128" i="194" s="1"/>
  <c r="Q128" i="194"/>
  <c r="H195" i="194"/>
  <c r="H94" i="194"/>
  <c r="X230" i="194"/>
  <c r="H92" i="194"/>
  <c r="F206" i="194"/>
  <c r="Q203" i="194"/>
  <c r="B203" i="194" s="1"/>
  <c r="D203" i="194"/>
  <c r="O203" i="194" s="1"/>
  <c r="O22" i="194"/>
  <c r="O43" i="194"/>
  <c r="D94" i="194"/>
  <c r="O94" i="194" s="1"/>
  <c r="Q94" i="194"/>
  <c r="H90" i="194"/>
  <c r="X107" i="194"/>
  <c r="H117" i="194"/>
  <c r="G104" i="194"/>
  <c r="G150" i="194"/>
  <c r="G218" i="194"/>
  <c r="H124" i="194"/>
  <c r="G171" i="194"/>
  <c r="G108" i="194"/>
  <c r="Q85" i="194"/>
  <c r="D85" i="194"/>
  <c r="O85" i="194" s="1"/>
  <c r="D230" i="194"/>
  <c r="O230" i="194" s="1"/>
  <c r="Q230" i="194"/>
  <c r="G123" i="194"/>
  <c r="X193" i="194"/>
  <c r="H127" i="194"/>
  <c r="F169" i="194"/>
  <c r="X135" i="194"/>
  <c r="B135" i="194" s="1"/>
  <c r="G53" i="194"/>
  <c r="O53" i="194"/>
  <c r="F53" i="194"/>
  <c r="H53" i="194"/>
  <c r="G189" i="194"/>
  <c r="G126" i="194"/>
  <c r="H111" i="194"/>
  <c r="O28" i="194"/>
  <c r="E203" i="194"/>
  <c r="G201" i="194"/>
  <c r="D81" i="194"/>
  <c r="O81" i="194" s="1"/>
  <c r="Q81" i="194"/>
  <c r="F202" i="194"/>
  <c r="H225" i="194"/>
  <c r="E150" i="194"/>
  <c r="G54" i="194"/>
  <c r="H54" i="194"/>
  <c r="F54" i="194"/>
  <c r="O54" i="194"/>
  <c r="Q192" i="194"/>
  <c r="B192" i="194" s="1"/>
  <c r="D192" i="194"/>
  <c r="O192" i="194" s="1"/>
  <c r="F211" i="194"/>
  <c r="H230" i="194"/>
  <c r="G220" i="194"/>
  <c r="E106" i="194"/>
  <c r="X191" i="194"/>
  <c r="Q209" i="194"/>
  <c r="D209" i="194"/>
  <c r="O209" i="194" s="1"/>
  <c r="F218" i="194"/>
  <c r="E89" i="194"/>
  <c r="H134" i="194"/>
  <c r="F61" i="194"/>
  <c r="H61" i="194"/>
  <c r="O61" i="194"/>
  <c r="G61" i="194"/>
  <c r="E153" i="194"/>
  <c r="E103" i="194"/>
  <c r="H158" i="194"/>
  <c r="I231" i="194"/>
  <c r="X231" i="194"/>
  <c r="H155" i="194"/>
  <c r="X174" i="194"/>
  <c r="F220" i="194"/>
  <c r="F190" i="194"/>
  <c r="H191" i="194"/>
  <c r="F173" i="194"/>
  <c r="D156" i="194"/>
  <c r="O156" i="194" s="1"/>
  <c r="Q156" i="194"/>
  <c r="E157" i="194"/>
  <c r="X153" i="194"/>
  <c r="F82" i="194"/>
  <c r="E191" i="194"/>
  <c r="Q226" i="194"/>
  <c r="D226" i="194"/>
  <c r="O226" i="194" s="1"/>
  <c r="X87" i="194"/>
  <c r="H87" i="194"/>
  <c r="H132" i="194"/>
  <c r="G226" i="194"/>
  <c r="X177" i="194"/>
  <c r="Q197" i="194"/>
  <c r="D197" i="194"/>
  <c r="O197" i="194" s="1"/>
  <c r="F168" i="194"/>
  <c r="X133" i="194"/>
  <c r="O29" i="194"/>
  <c r="Q200" i="194"/>
  <c r="D200" i="194"/>
  <c r="O200" i="194" s="1"/>
  <c r="F120" i="194"/>
  <c r="G157" i="194"/>
  <c r="G133" i="194"/>
  <c r="H211" i="194"/>
  <c r="G161" i="194"/>
  <c r="F162" i="194"/>
  <c r="D95" i="194"/>
  <c r="O95" i="194" s="1"/>
  <c r="D117" i="194"/>
  <c r="O117" i="194" s="1"/>
  <c r="Q117" i="194"/>
  <c r="D229" i="194"/>
  <c r="O229" i="194" s="1"/>
  <c r="Q229" i="194"/>
  <c r="Q164" i="194"/>
  <c r="D164" i="194"/>
  <c r="O164" i="194" s="1"/>
  <c r="O26" i="194"/>
  <c r="E83" i="194"/>
  <c r="Q83" i="194"/>
  <c r="D83" i="194"/>
  <c r="O83" i="194" s="1"/>
  <c r="H219" i="194"/>
  <c r="X212" i="194"/>
  <c r="E175" i="194"/>
  <c r="X186" i="194"/>
  <c r="G205" i="194"/>
  <c r="D162" i="194"/>
  <c r="O162" i="194" s="1"/>
  <c r="Q162" i="194"/>
  <c r="D87" i="194"/>
  <c r="O87" i="194" s="1"/>
  <c r="Q87" i="194"/>
  <c r="G120" i="194"/>
  <c r="F115" i="194"/>
  <c r="F108" i="194"/>
  <c r="H213" i="194"/>
  <c r="H133" i="194"/>
  <c r="X225" i="194"/>
  <c r="E100" i="194"/>
  <c r="E184" i="194"/>
  <c r="D89" i="194"/>
  <c r="O89" i="194" s="1"/>
  <c r="Q89" i="194"/>
  <c r="Q173" i="194"/>
  <c r="D173" i="194"/>
  <c r="O173" i="194" s="1"/>
  <c r="X118" i="194"/>
  <c r="B118" i="194" s="1"/>
  <c r="D88" i="194"/>
  <c r="O88" i="194" s="1"/>
  <c r="Q88" i="194"/>
  <c r="G125" i="194"/>
  <c r="G83" i="194"/>
  <c r="X204" i="194"/>
  <c r="E151" i="194"/>
  <c r="F101" i="194"/>
  <c r="H212" i="194"/>
  <c r="D102" i="194"/>
  <c r="O102" i="194" s="1"/>
  <c r="Q102" i="194"/>
  <c r="W34" i="53"/>
  <c r="L3" i="55"/>
  <c r="D4" i="55" s="1"/>
  <c r="G84" i="194"/>
  <c r="D110" i="194"/>
  <c r="O110" i="194" s="1"/>
  <c r="E137" i="194"/>
  <c r="Q207" i="194"/>
  <c r="D207" i="194"/>
  <c r="O207" i="194" s="1"/>
  <c r="E200" i="194"/>
  <c r="Q113" i="194"/>
  <c r="B113" i="194" s="1"/>
  <c r="D113" i="194"/>
  <c r="O113" i="194" s="1"/>
  <c r="H103" i="194"/>
  <c r="X126" i="194"/>
  <c r="B126" i="194" s="1"/>
  <c r="X179" i="194"/>
  <c r="G154" i="194"/>
  <c r="Q183" i="194"/>
  <c r="B183" i="194" s="1"/>
  <c r="D183" i="194"/>
  <c r="O183" i="194" s="1"/>
  <c r="Q186" i="194"/>
  <c r="D186" i="194"/>
  <c r="O186" i="194" s="1"/>
  <c r="F84" i="194"/>
  <c r="F145" i="194"/>
  <c r="G102" i="194"/>
  <c r="X142" i="194"/>
  <c r="Q101" i="194"/>
  <c r="D101" i="194"/>
  <c r="O101" i="194" s="1"/>
  <c r="H144" i="194"/>
  <c r="E119" i="194"/>
  <c r="D107" i="194"/>
  <c r="O107" i="194" s="1"/>
  <c r="Q107" i="194"/>
  <c r="X208" i="194"/>
  <c r="B208" i="194" s="1"/>
  <c r="G222" i="194"/>
  <c r="H83" i="194"/>
  <c r="F88" i="194"/>
  <c r="X85" i="194"/>
  <c r="X223" i="194"/>
  <c r="F221" i="194"/>
  <c r="X93" i="194"/>
  <c r="B93" i="194" s="1"/>
  <c r="H200" i="194"/>
  <c r="E222" i="194"/>
  <c r="E84" i="194"/>
  <c r="O56" i="194"/>
  <c r="F56" i="194"/>
  <c r="G56" i="194"/>
  <c r="H56" i="194"/>
  <c r="H151" i="194"/>
  <c r="F219" i="194"/>
  <c r="G225" i="194"/>
  <c r="D145" i="194"/>
  <c r="O145" i="194" s="1"/>
  <c r="Q145" i="194"/>
  <c r="B145" i="194" s="1"/>
  <c r="E166" i="194"/>
  <c r="H169" i="194"/>
  <c r="H152" i="194"/>
  <c r="X161" i="194"/>
  <c r="E156" i="194"/>
  <c r="E85" i="194"/>
  <c r="G167" i="194"/>
  <c r="Q202" i="194"/>
  <c r="B202" i="194" s="1"/>
  <c r="D202" i="194"/>
  <c r="O202" i="194" s="1"/>
  <c r="D152" i="194"/>
  <c r="O152" i="194" s="1"/>
  <c r="Q152" i="194"/>
  <c r="G118" i="194"/>
  <c r="H154" i="194"/>
  <c r="G172" i="194"/>
  <c r="F222" i="194"/>
  <c r="D90" i="194"/>
  <c r="O90" i="194" s="1"/>
  <c r="Q90" i="194"/>
  <c r="B90" i="194" s="1"/>
  <c r="O23" i="194"/>
  <c r="X108" i="194"/>
  <c r="G143" i="194"/>
  <c r="F154" i="194"/>
  <c r="X171" i="194"/>
  <c r="E221" i="194"/>
  <c r="H100" i="194"/>
  <c r="X190" i="194"/>
  <c r="B190" i="194" s="1"/>
  <c r="G159" i="194"/>
  <c r="D96" i="194"/>
  <c r="O96" i="194" s="1"/>
  <c r="Q96" i="194"/>
  <c r="F143" i="194"/>
  <c r="F125" i="194"/>
  <c r="X116" i="194"/>
  <c r="H203" i="194"/>
  <c r="G169" i="194"/>
  <c r="E115" i="194"/>
  <c r="D218" i="194"/>
  <c r="O218" i="194" s="1"/>
  <c r="Q218" i="194"/>
  <c r="F134" i="194"/>
  <c r="E101" i="194"/>
  <c r="G122" i="194"/>
  <c r="F144" i="194"/>
  <c r="E152" i="194"/>
  <c r="D185" i="194"/>
  <c r="O185" i="194" s="1"/>
  <c r="Q185" i="194"/>
  <c r="G116" i="194"/>
  <c r="E208" i="194"/>
  <c r="H204" i="194"/>
  <c r="G202" i="194"/>
  <c r="G127" i="194"/>
  <c r="G81" i="194"/>
  <c r="E133" i="194"/>
  <c r="F203" i="194"/>
  <c r="H118" i="194"/>
  <c r="H108" i="194"/>
  <c r="H93" i="194"/>
  <c r="O40" i="194"/>
  <c r="G109" i="194"/>
  <c r="D106" i="194"/>
  <c r="O106" i="194" s="1"/>
  <c r="Q106" i="194"/>
  <c r="H226" i="194"/>
  <c r="F167" i="194"/>
  <c r="O27" i="194"/>
  <c r="X213" i="194"/>
  <c r="X164" i="194"/>
  <c r="F118" i="194"/>
  <c r="X228" i="194"/>
  <c r="F172" i="194"/>
  <c r="H142" i="194"/>
  <c r="X187" i="194"/>
  <c r="E167" i="194"/>
  <c r="G188" i="194"/>
  <c r="F156" i="194"/>
  <c r="X196" i="194"/>
  <c r="B196" i="194" s="1"/>
  <c r="G223" i="194"/>
  <c r="O47" i="194"/>
  <c r="X207" i="194"/>
  <c r="N3" i="56"/>
  <c r="N4" i="56" s="1"/>
  <c r="N10" i="56" s="1"/>
  <c r="L53" i="53"/>
  <c r="N8" i="56"/>
  <c r="R8" i="56" s="1"/>
  <c r="N83" i="53"/>
  <c r="E218" i="194"/>
  <c r="F116" i="194"/>
  <c r="F226" i="194"/>
  <c r="E172" i="194"/>
  <c r="E190" i="194"/>
  <c r="G88" i="194"/>
  <c r="Q134" i="194"/>
  <c r="B134" i="194" s="1"/>
  <c r="D134" i="194"/>
  <c r="O134" i="194" s="1"/>
  <c r="D187" i="194"/>
  <c r="O187" i="194" s="1"/>
  <c r="Q187" i="194"/>
  <c r="Q140" i="194"/>
  <c r="D140" i="194"/>
  <c r="O140" i="194" s="1"/>
  <c r="O83" i="53"/>
  <c r="N2" i="56"/>
  <c r="E158" i="194"/>
  <c r="F225" i="194"/>
  <c r="E207" i="194"/>
  <c r="Q178" i="194"/>
  <c r="D178" i="194"/>
  <c r="O178" i="194" s="1"/>
  <c r="D195" i="194"/>
  <c r="O195" i="194" s="1"/>
  <c r="Q195" i="194"/>
  <c r="X195" i="194"/>
  <c r="F231" i="194"/>
  <c r="G232" i="194"/>
  <c r="G231" i="194"/>
  <c r="E232" i="194"/>
  <c r="E231" i="194"/>
  <c r="F232" i="194"/>
  <c r="E228" i="194"/>
  <c r="E230" i="194"/>
  <c r="H232" i="194"/>
  <c r="H231" i="194"/>
  <c r="E227" i="194"/>
  <c r="E229" i="194"/>
  <c r="G115" i="194"/>
  <c r="G156" i="194"/>
  <c r="F229" i="194"/>
  <c r="X159" i="194"/>
  <c r="H192" i="194"/>
  <c r="F200" i="194"/>
  <c r="X109" i="194"/>
  <c r="D153" i="194"/>
  <c r="O153" i="194" s="1"/>
  <c r="Q153" i="194"/>
  <c r="Q82" i="194"/>
  <c r="D82" i="194"/>
  <c r="O82" i="194" s="1"/>
  <c r="F111" i="194"/>
  <c r="H168" i="194"/>
  <c r="E226" i="194"/>
  <c r="D132" i="194"/>
  <c r="O132" i="194" s="1"/>
  <c r="Q132" i="194"/>
  <c r="B132" i="194" s="1"/>
  <c r="D99" i="194"/>
  <c r="O99" i="194" s="1"/>
  <c r="Q99" i="194"/>
  <c r="X104" i="194"/>
  <c r="AC6" i="54"/>
  <c r="AA8" i="54" s="1"/>
  <c r="P2" i="56"/>
  <c r="G219" i="194"/>
  <c r="G183" i="194"/>
  <c r="X200" i="194"/>
  <c r="D111" i="194"/>
  <c r="O111" i="194" s="1"/>
  <c r="Q111" i="194"/>
  <c r="F223" i="194"/>
  <c r="H177" i="194"/>
  <c r="M13" i="80"/>
  <c r="B220" i="194"/>
  <c r="B156" i="194"/>
  <c r="B123" i="194"/>
  <c r="B181" i="194"/>
  <c r="B155" i="194"/>
  <c r="AB35" i="56"/>
  <c r="M28" i="80"/>
  <c r="M202" i="80"/>
  <c r="M546" i="80"/>
  <c r="N11" i="56"/>
  <c r="R11" i="56" s="1"/>
  <c r="K491" i="80"/>
  <c r="M491" i="80" s="1"/>
  <c r="O491" i="80"/>
  <c r="O490" i="80"/>
  <c r="K490" i="80"/>
  <c r="M490" i="80" s="1"/>
  <c r="K488" i="80"/>
  <c r="M488" i="80" s="1"/>
  <c r="O488" i="80"/>
  <c r="O486" i="80"/>
  <c r="K486" i="80"/>
  <c r="M486" i="80" s="1"/>
  <c r="K492" i="80"/>
  <c r="M492" i="80" s="1"/>
  <c r="O492" i="80"/>
  <c r="O494" i="80"/>
  <c r="K494" i="80"/>
  <c r="M494" i="80" s="1"/>
  <c r="K489" i="80"/>
  <c r="M489" i="80" s="1"/>
  <c r="O489" i="80"/>
  <c r="K493" i="80"/>
  <c r="M493" i="80" s="1"/>
  <c r="O493" i="80"/>
  <c r="K485" i="80"/>
  <c r="M485" i="80" s="1"/>
  <c r="O485" i="80"/>
  <c r="O487" i="80"/>
  <c r="K487" i="80"/>
  <c r="M487" i="80" s="1"/>
  <c r="K305" i="80"/>
  <c r="M305" i="80" s="1"/>
  <c r="O305" i="80"/>
  <c r="AF6" i="80"/>
  <c r="W32" i="56" s="1"/>
  <c r="K315" i="80"/>
  <c r="M315" i="80" s="1"/>
  <c r="O315" i="80"/>
  <c r="K445" i="80"/>
  <c r="M445" i="80" s="1"/>
  <c r="O445" i="80"/>
  <c r="K444" i="80"/>
  <c r="M444" i="80" s="1"/>
  <c r="O444" i="80"/>
  <c r="K446" i="80"/>
  <c r="M446" i="80" s="1"/>
  <c r="O446" i="80"/>
  <c r="K307" i="80"/>
  <c r="M307" i="80" s="1"/>
  <c r="O307" i="80"/>
  <c r="K310" i="80"/>
  <c r="M310" i="80" s="1"/>
  <c r="O310" i="80"/>
  <c r="K311" i="80"/>
  <c r="M311" i="80" s="1"/>
  <c r="O311" i="80"/>
  <c r="K306" i="80"/>
  <c r="M306" i="80" s="1"/>
  <c r="O306" i="80"/>
  <c r="K312" i="80"/>
  <c r="M312" i="80" s="1"/>
  <c r="O312" i="80"/>
  <c r="K508" i="80"/>
  <c r="M508" i="80" s="1"/>
  <c r="O508" i="80"/>
  <c r="O447" i="80"/>
  <c r="K447" i="80"/>
  <c r="M447" i="80" s="1"/>
  <c r="K504" i="80"/>
  <c r="M504" i="80" s="1"/>
  <c r="O504" i="80"/>
  <c r="K517" i="80"/>
  <c r="M517" i="80" s="1"/>
  <c r="O517" i="80"/>
  <c r="K511" i="80"/>
  <c r="M511" i="80" s="1"/>
  <c r="O511" i="80"/>
  <c r="K526" i="80"/>
  <c r="M526" i="80" s="1"/>
  <c r="O526" i="80"/>
  <c r="K533" i="80"/>
  <c r="M533" i="80" s="1"/>
  <c r="O533" i="80"/>
  <c r="O529" i="80"/>
  <c r="K529" i="80"/>
  <c r="M529" i="80" s="1"/>
  <c r="K519" i="80"/>
  <c r="M519" i="80" s="1"/>
  <c r="O519" i="80"/>
  <c r="O534" i="80"/>
  <c r="K534" i="80"/>
  <c r="M534" i="80" s="1"/>
  <c r="K521" i="80"/>
  <c r="M521" i="80" s="1"/>
  <c r="O521" i="80"/>
  <c r="K532" i="80"/>
  <c r="M532" i="80" s="1"/>
  <c r="O532" i="80"/>
  <c r="K518" i="80"/>
  <c r="M518" i="80" s="1"/>
  <c r="O518" i="80"/>
  <c r="K509" i="80"/>
  <c r="M509" i="80" s="1"/>
  <c r="O509" i="80"/>
  <c r="K522" i="80"/>
  <c r="M522" i="80" s="1"/>
  <c r="O522" i="80"/>
  <c r="K520" i="80"/>
  <c r="M520" i="80" s="1"/>
  <c r="O520" i="80"/>
  <c r="K506" i="80"/>
  <c r="M506" i="80" s="1"/>
  <c r="O506" i="80"/>
  <c r="K530" i="80"/>
  <c r="M530" i="80" s="1"/>
  <c r="O530" i="80"/>
  <c r="K503" i="80"/>
  <c r="M503" i="80" s="1"/>
  <c r="O503" i="80"/>
  <c r="K516" i="80"/>
  <c r="M516" i="80" s="1"/>
  <c r="O516" i="80"/>
  <c r="K510" i="80"/>
  <c r="M510" i="80" s="1"/>
  <c r="O510" i="80"/>
  <c r="K507" i="80"/>
  <c r="M507" i="80" s="1"/>
  <c r="O507" i="80"/>
  <c r="K513" i="80"/>
  <c r="M513" i="80" s="1"/>
  <c r="O513" i="80"/>
  <c r="K514" i="80"/>
  <c r="M514" i="80" s="1"/>
  <c r="O514" i="80"/>
  <c r="O527" i="80"/>
  <c r="K527" i="80"/>
  <c r="M527" i="80" s="1"/>
  <c r="O528" i="80"/>
  <c r="K528" i="80"/>
  <c r="M528" i="80" s="1"/>
  <c r="O525" i="80"/>
  <c r="K525" i="80"/>
  <c r="M525" i="80" s="1"/>
  <c r="O531" i="80"/>
  <c r="K531" i="80"/>
  <c r="M531" i="80" s="1"/>
  <c r="K515" i="80"/>
  <c r="M515" i="80" s="1"/>
  <c r="O515" i="80"/>
  <c r="K505" i="80"/>
  <c r="M505" i="80" s="1"/>
  <c r="O505" i="80"/>
  <c r="K523" i="80"/>
  <c r="M523" i="80" s="1"/>
  <c r="O523" i="80"/>
  <c r="K512" i="80"/>
  <c r="M512" i="80" s="1"/>
  <c r="O512" i="80"/>
  <c r="O524" i="80"/>
  <c r="K524" i="80"/>
  <c r="M524" i="80" s="1"/>
  <c r="O438" i="80"/>
  <c r="K438" i="80"/>
  <c r="M438" i="80" s="1"/>
  <c r="O500" i="80"/>
  <c r="K500" i="80"/>
  <c r="M500" i="80" s="1"/>
  <c r="O391" i="80"/>
  <c r="K391" i="80"/>
  <c r="M391" i="80" s="1"/>
  <c r="O381" i="80"/>
  <c r="K381" i="80"/>
  <c r="M381" i="80" s="1"/>
  <c r="O364" i="80"/>
  <c r="K364" i="80"/>
  <c r="M364" i="80" s="1"/>
  <c r="O369" i="80"/>
  <c r="K369" i="80"/>
  <c r="M369" i="80" s="1"/>
  <c r="O358" i="80"/>
  <c r="K358" i="80"/>
  <c r="M358" i="80" s="1"/>
  <c r="O335" i="80"/>
  <c r="K335" i="80"/>
  <c r="M335" i="80" s="1"/>
  <c r="O398" i="80"/>
  <c r="K398" i="80"/>
  <c r="M398" i="80" s="1"/>
  <c r="O372" i="80"/>
  <c r="K372" i="80"/>
  <c r="M372" i="80" s="1"/>
  <c r="O365" i="80"/>
  <c r="K365" i="80"/>
  <c r="M365" i="80" s="1"/>
  <c r="O343" i="80"/>
  <c r="K343" i="80"/>
  <c r="M343" i="80" s="1"/>
  <c r="O350" i="80"/>
  <c r="K350" i="80"/>
  <c r="M350" i="80" s="1"/>
  <c r="O356" i="80"/>
  <c r="K356" i="80"/>
  <c r="M356" i="80" s="1"/>
  <c r="O377" i="80"/>
  <c r="K377" i="80"/>
  <c r="M377" i="80" s="1"/>
  <c r="O386" i="80"/>
  <c r="K386" i="80"/>
  <c r="M386" i="80" s="1"/>
  <c r="O346" i="80"/>
  <c r="K346" i="80"/>
  <c r="M346" i="80" s="1"/>
  <c r="O394" i="80"/>
  <c r="K394" i="80"/>
  <c r="M394" i="80" s="1"/>
  <c r="O374" i="80"/>
  <c r="K374" i="80"/>
  <c r="M374" i="80" s="1"/>
  <c r="O361" i="80"/>
  <c r="K361" i="80"/>
  <c r="M361" i="80" s="1"/>
  <c r="O399" i="80"/>
  <c r="K399" i="80"/>
  <c r="M399" i="80" s="1"/>
  <c r="O359" i="80"/>
  <c r="K359" i="80"/>
  <c r="M359" i="80" s="1"/>
  <c r="O366" i="80"/>
  <c r="K366" i="80"/>
  <c r="M366" i="80" s="1"/>
  <c r="O378" i="80"/>
  <c r="K378" i="80"/>
  <c r="M378" i="80" s="1"/>
  <c r="O349" i="80"/>
  <c r="K349" i="80"/>
  <c r="M349" i="80" s="1"/>
  <c r="O348" i="80"/>
  <c r="K348" i="80"/>
  <c r="M348" i="80" s="1"/>
  <c r="O357" i="80"/>
  <c r="K357" i="80"/>
  <c r="M357" i="80" s="1"/>
  <c r="O388" i="80"/>
  <c r="K388" i="80"/>
  <c r="M388" i="80" s="1"/>
  <c r="O390" i="80"/>
  <c r="K390" i="80"/>
  <c r="M390" i="80" s="1"/>
  <c r="O347" i="80"/>
  <c r="K347" i="80"/>
  <c r="M347" i="80" s="1"/>
  <c r="O379" i="80"/>
  <c r="K379" i="80"/>
  <c r="M379" i="80" s="1"/>
  <c r="O384" i="80"/>
  <c r="K384" i="80"/>
  <c r="M384" i="80" s="1"/>
  <c r="O336" i="80"/>
  <c r="K336" i="80"/>
  <c r="M336" i="80" s="1"/>
  <c r="O338" i="80"/>
  <c r="K338" i="80"/>
  <c r="M338" i="80" s="1"/>
  <c r="O385" i="80"/>
  <c r="K385" i="80"/>
  <c r="M385" i="80" s="1"/>
  <c r="O354" i="80"/>
  <c r="K354" i="80"/>
  <c r="M354" i="80" s="1"/>
  <c r="O375" i="80"/>
  <c r="K375" i="80"/>
  <c r="M375" i="80" s="1"/>
  <c r="O345" i="80"/>
  <c r="K345" i="80"/>
  <c r="M345" i="80" s="1"/>
  <c r="O393" i="80"/>
  <c r="K393" i="80"/>
  <c r="M393" i="80" s="1"/>
  <c r="O370" i="80"/>
  <c r="K370" i="80"/>
  <c r="M370" i="80" s="1"/>
  <c r="O360" i="80"/>
  <c r="K360" i="80"/>
  <c r="M360" i="80" s="1"/>
  <c r="O334" i="80"/>
  <c r="K334" i="80"/>
  <c r="M334" i="80" s="1"/>
  <c r="O382" i="80"/>
  <c r="K382" i="80"/>
  <c r="M382" i="80" s="1"/>
  <c r="O352" i="80"/>
  <c r="K352" i="80"/>
  <c r="M352" i="80" s="1"/>
  <c r="O387" i="80"/>
  <c r="K387" i="80"/>
  <c r="M387" i="80" s="1"/>
  <c r="O333" i="80"/>
  <c r="K333" i="80"/>
  <c r="M333" i="80" s="1"/>
  <c r="O392" i="80"/>
  <c r="K392" i="80"/>
  <c r="M392" i="80" s="1"/>
  <c r="O389" i="80"/>
  <c r="K389" i="80"/>
  <c r="M389" i="80" s="1"/>
  <c r="O376" i="80"/>
  <c r="K376" i="80"/>
  <c r="M376" i="80" s="1"/>
  <c r="O337" i="80"/>
  <c r="K337" i="80"/>
  <c r="M337" i="80" s="1"/>
  <c r="O339" i="80"/>
  <c r="K339" i="80"/>
  <c r="M339" i="80" s="1"/>
  <c r="O340" i="80"/>
  <c r="K340" i="80"/>
  <c r="M340" i="80" s="1"/>
  <c r="O383" i="80"/>
  <c r="K383" i="80"/>
  <c r="M383" i="80" s="1"/>
  <c r="O363" i="80"/>
  <c r="K363" i="80"/>
  <c r="M363" i="80" s="1"/>
  <c r="O371" i="80"/>
  <c r="K371" i="80"/>
  <c r="M371" i="80" s="1"/>
  <c r="O380" i="80"/>
  <c r="K380" i="80"/>
  <c r="M380" i="80" s="1"/>
  <c r="O344" i="80"/>
  <c r="K344" i="80"/>
  <c r="M344" i="80" s="1"/>
  <c r="O342" i="80"/>
  <c r="K342" i="80"/>
  <c r="M342" i="80" s="1"/>
  <c r="O353" i="80"/>
  <c r="K353" i="80"/>
  <c r="M353" i="80" s="1"/>
  <c r="O368" i="80"/>
  <c r="K368" i="80"/>
  <c r="M368" i="80" s="1"/>
  <c r="O373" i="80"/>
  <c r="K373" i="80"/>
  <c r="M373" i="80" s="1"/>
  <c r="O341" i="80"/>
  <c r="K341" i="80"/>
  <c r="M341" i="80" s="1"/>
  <c r="O367" i="80"/>
  <c r="K367" i="80"/>
  <c r="M367" i="80" s="1"/>
  <c r="O362" i="80"/>
  <c r="K362" i="80"/>
  <c r="M362" i="80" s="1"/>
  <c r="O355" i="80"/>
  <c r="K355" i="80"/>
  <c r="M355" i="80" s="1"/>
  <c r="O351" i="80"/>
  <c r="K351" i="80"/>
  <c r="M351" i="80" s="1"/>
  <c r="K478" i="80"/>
  <c r="M478" i="80" s="1"/>
  <c r="O478" i="80"/>
  <c r="K483" i="80"/>
  <c r="M483" i="80" s="1"/>
  <c r="O483" i="80"/>
  <c r="O480" i="80"/>
  <c r="K480" i="80"/>
  <c r="M480" i="80" s="1"/>
  <c r="K482" i="80"/>
  <c r="M482" i="80" s="1"/>
  <c r="O482" i="80"/>
  <c r="K479" i="80"/>
  <c r="M479" i="80" s="1"/>
  <c r="O479" i="80"/>
  <c r="K481" i="80"/>
  <c r="M481" i="80" s="1"/>
  <c r="O481" i="80"/>
  <c r="O477" i="80"/>
  <c r="K477" i="80"/>
  <c r="M477" i="80" s="1"/>
  <c r="K484" i="80"/>
  <c r="M484" i="80" s="1"/>
  <c r="O484" i="80"/>
  <c r="K538" i="80"/>
  <c r="M538" i="80" s="1"/>
  <c r="O538" i="80"/>
  <c r="K535" i="80"/>
  <c r="M535" i="80" s="1"/>
  <c r="O535" i="80"/>
  <c r="O537" i="80"/>
  <c r="K537" i="80"/>
  <c r="M537" i="80" s="1"/>
  <c r="O536" i="80"/>
  <c r="K536" i="80"/>
  <c r="M536" i="80" s="1"/>
  <c r="K470" i="80"/>
  <c r="M470" i="80" s="1"/>
  <c r="O470" i="80"/>
  <c r="O458" i="80"/>
  <c r="K458" i="80"/>
  <c r="M458" i="80" s="1"/>
  <c r="K314" i="80"/>
  <c r="M314" i="80" s="1"/>
  <c r="O314" i="80"/>
  <c r="K456" i="80"/>
  <c r="M456" i="80" s="1"/>
  <c r="O456" i="80"/>
  <c r="K429" i="80"/>
  <c r="M429" i="80" s="1"/>
  <c r="O429" i="80"/>
  <c r="O327" i="80"/>
  <c r="K327" i="80"/>
  <c r="M327" i="80" s="1"/>
  <c r="O332" i="80"/>
  <c r="AB6" i="80"/>
  <c r="S32" i="56" s="1"/>
  <c r="K332" i="80"/>
  <c r="M332" i="80" s="1"/>
  <c r="O499" i="80"/>
  <c r="K499" i="80"/>
  <c r="M499" i="80" s="1"/>
  <c r="K407" i="80"/>
  <c r="M407" i="80" s="1"/>
  <c r="O407" i="80"/>
  <c r="K475" i="80"/>
  <c r="M475" i="80" s="1"/>
  <c r="O475" i="80"/>
  <c r="O319" i="80"/>
  <c r="K319" i="80"/>
  <c r="M319" i="80" s="1"/>
  <c r="O459" i="80"/>
  <c r="K459" i="80"/>
  <c r="M459" i="80" s="1"/>
  <c r="K318" i="80"/>
  <c r="M318" i="80" s="1"/>
  <c r="O318" i="80"/>
  <c r="O451" i="80"/>
  <c r="K451" i="80"/>
  <c r="M451" i="80" s="1"/>
  <c r="K496" i="80"/>
  <c r="M496" i="80" s="1"/>
  <c r="O496" i="80"/>
  <c r="K321" i="80"/>
  <c r="M321" i="80" s="1"/>
  <c r="O321" i="80"/>
  <c r="K400" i="80"/>
  <c r="M400" i="80" s="1"/>
  <c r="O400" i="80"/>
  <c r="K412" i="80"/>
  <c r="M412" i="80" s="1"/>
  <c r="O412" i="80"/>
  <c r="O441" i="80"/>
  <c r="K441" i="80"/>
  <c r="M441" i="80" s="1"/>
  <c r="K433" i="80"/>
  <c r="M433" i="80" s="1"/>
  <c r="O433" i="80"/>
  <c r="O326" i="80"/>
  <c r="K326" i="80"/>
  <c r="M326" i="80" s="1"/>
  <c r="K448" i="80"/>
  <c r="M448" i="80" s="1"/>
  <c r="O448" i="80"/>
  <c r="K469" i="80"/>
  <c r="M469" i="80" s="1"/>
  <c r="O469" i="80"/>
  <c r="O435" i="80"/>
  <c r="K435" i="80"/>
  <c r="M435" i="80" s="1"/>
  <c r="O329" i="80"/>
  <c r="K329" i="80"/>
  <c r="M329" i="80" s="1"/>
  <c r="K474" i="80"/>
  <c r="M474" i="80" s="1"/>
  <c r="O474" i="80"/>
  <c r="K442" i="80"/>
  <c r="M442" i="80" s="1"/>
  <c r="O442" i="80"/>
  <c r="O395" i="80"/>
  <c r="K395" i="80"/>
  <c r="M395" i="80" s="1"/>
  <c r="O426" i="80"/>
  <c r="K426" i="80"/>
  <c r="M426" i="80" s="1"/>
  <c r="O401" i="80"/>
  <c r="K401" i="80"/>
  <c r="M401" i="80" s="1"/>
  <c r="O408" i="80"/>
  <c r="K408" i="80"/>
  <c r="M408" i="80" s="1"/>
  <c r="O540" i="80"/>
  <c r="K540" i="80"/>
  <c r="M540" i="80" s="1"/>
  <c r="K473" i="80"/>
  <c r="M473" i="80" s="1"/>
  <c r="O473" i="80"/>
  <c r="K331" i="80"/>
  <c r="M331" i="80" s="1"/>
  <c r="O331" i="80"/>
  <c r="O542" i="80"/>
  <c r="K542" i="80"/>
  <c r="M542" i="80" s="1"/>
  <c r="O453" i="80"/>
  <c r="K453" i="80"/>
  <c r="M453" i="80" s="1"/>
  <c r="O450" i="80"/>
  <c r="K450" i="80"/>
  <c r="M450" i="80" s="1"/>
  <c r="O471" i="80"/>
  <c r="K471" i="80"/>
  <c r="M471" i="80" s="1"/>
  <c r="O498" i="80"/>
  <c r="K498" i="80"/>
  <c r="M498" i="80" s="1"/>
  <c r="AF8" i="80"/>
  <c r="W34" i="56" s="1"/>
  <c r="AB34" i="56" s="1"/>
  <c r="K309" i="80"/>
  <c r="M309" i="80" s="1"/>
  <c r="O309" i="80"/>
  <c r="K424" i="80"/>
  <c r="M424" i="80" s="1"/>
  <c r="O424" i="80"/>
  <c r="K495" i="80"/>
  <c r="M495" i="80" s="1"/>
  <c r="O495" i="80"/>
  <c r="O467" i="80"/>
  <c r="K467" i="80"/>
  <c r="M467" i="80" s="1"/>
  <c r="O428" i="80"/>
  <c r="K428" i="80"/>
  <c r="M428" i="80" s="1"/>
  <c r="O425" i="80"/>
  <c r="K425" i="80"/>
  <c r="M425" i="80" s="1"/>
  <c r="O430" i="80"/>
  <c r="K430" i="80"/>
  <c r="M430" i="80" s="1"/>
  <c r="K405" i="80"/>
  <c r="M405" i="80" s="1"/>
  <c r="O405" i="80"/>
  <c r="K423" i="80"/>
  <c r="M423" i="80" s="1"/>
  <c r="O423" i="80"/>
  <c r="O437" i="80"/>
  <c r="K437" i="80"/>
  <c r="M437" i="80" s="1"/>
  <c r="O443" i="80"/>
  <c r="K443" i="80"/>
  <c r="M443" i="80" s="1"/>
  <c r="K324" i="80"/>
  <c r="M324" i="80" s="1"/>
  <c r="O324" i="80"/>
  <c r="K325" i="80"/>
  <c r="M325" i="80" s="1"/>
  <c r="O325" i="80"/>
  <c r="K462" i="80"/>
  <c r="M462" i="80" s="1"/>
  <c r="O462" i="80"/>
  <c r="K440" i="80"/>
  <c r="M440" i="80" s="1"/>
  <c r="O440" i="80"/>
  <c r="O416" i="80"/>
  <c r="K416" i="80"/>
  <c r="M416" i="80" s="1"/>
  <c r="K454" i="80"/>
  <c r="M454" i="80" s="1"/>
  <c r="O454" i="80"/>
  <c r="K460" i="80"/>
  <c r="M460" i="80" s="1"/>
  <c r="O460" i="80"/>
  <c r="K463" i="80"/>
  <c r="M463" i="80" s="1"/>
  <c r="O463" i="80"/>
  <c r="K411" i="80"/>
  <c r="M411" i="80" s="1"/>
  <c r="O411" i="80"/>
  <c r="K328" i="80"/>
  <c r="M328" i="80" s="1"/>
  <c r="O328" i="80"/>
  <c r="K465" i="80"/>
  <c r="M465" i="80" s="1"/>
  <c r="O465" i="80"/>
  <c r="K466" i="80"/>
  <c r="M466" i="80" s="1"/>
  <c r="O466" i="80"/>
  <c r="K323" i="80"/>
  <c r="M323" i="80" s="1"/>
  <c r="O323" i="80"/>
  <c r="K397" i="80"/>
  <c r="M397" i="80" s="1"/>
  <c r="O397" i="80"/>
  <c r="K432" i="80"/>
  <c r="M432" i="80" s="1"/>
  <c r="O432" i="80"/>
  <c r="O313" i="80"/>
  <c r="K313" i="80"/>
  <c r="M313" i="80" s="1"/>
  <c r="O415" i="80"/>
  <c r="K415" i="80"/>
  <c r="M415" i="80" s="1"/>
  <c r="K419" i="80"/>
  <c r="M419" i="80" s="1"/>
  <c r="O419" i="80"/>
  <c r="K452" i="80"/>
  <c r="M452" i="80" s="1"/>
  <c r="O452" i="80"/>
  <c r="O434" i="80"/>
  <c r="K434" i="80"/>
  <c r="M434" i="80" s="1"/>
  <c r="O420" i="80"/>
  <c r="K420" i="80"/>
  <c r="M420" i="80" s="1"/>
  <c r="K316" i="80"/>
  <c r="M316" i="80" s="1"/>
  <c r="O316" i="80"/>
  <c r="AE6" i="80"/>
  <c r="V32" i="56" s="1"/>
  <c r="O417" i="80"/>
  <c r="K417" i="80"/>
  <c r="M417" i="80" s="1"/>
  <c r="K413" i="80"/>
  <c r="M413" i="80" s="1"/>
  <c r="O413" i="80"/>
  <c r="K320" i="80"/>
  <c r="M320" i="80" s="1"/>
  <c r="O320" i="80"/>
  <c r="K418" i="80"/>
  <c r="M418" i="80" s="1"/>
  <c r="O418" i="80"/>
  <c r="K330" i="80"/>
  <c r="M330" i="80" s="1"/>
  <c r="O330" i="80"/>
  <c r="O396" i="80"/>
  <c r="K396" i="80"/>
  <c r="M396" i="80" s="1"/>
  <c r="K539" i="80"/>
  <c r="M539" i="80" s="1"/>
  <c r="O539" i="80"/>
  <c r="O406" i="80"/>
  <c r="K406" i="80"/>
  <c r="M406" i="80" s="1"/>
  <c r="K421" i="80"/>
  <c r="M421" i="80" s="1"/>
  <c r="O421" i="80"/>
  <c r="O472" i="80"/>
  <c r="K472" i="80"/>
  <c r="M472" i="80" s="1"/>
  <c r="K409" i="80"/>
  <c r="M409" i="80" s="1"/>
  <c r="O409" i="80"/>
  <c r="O404" i="80"/>
  <c r="K404" i="80"/>
  <c r="M404" i="80" s="1"/>
  <c r="K422" i="80"/>
  <c r="M422" i="80" s="1"/>
  <c r="O422" i="80"/>
  <c r="K455" i="80"/>
  <c r="M455" i="80" s="1"/>
  <c r="O455" i="80"/>
  <c r="O322" i="80"/>
  <c r="K322" i="80"/>
  <c r="M322" i="80" s="1"/>
  <c r="O464" i="80"/>
  <c r="K464" i="80"/>
  <c r="M464" i="80" s="1"/>
  <c r="K449" i="80"/>
  <c r="M449" i="80" s="1"/>
  <c r="O449" i="80"/>
  <c r="K403" i="80"/>
  <c r="M403" i="80" s="1"/>
  <c r="O403" i="80"/>
  <c r="O317" i="80"/>
  <c r="K317" i="80"/>
  <c r="M317" i="80" s="1"/>
  <c r="K461" i="80"/>
  <c r="M461" i="80" s="1"/>
  <c r="O461" i="80"/>
  <c r="O541" i="80"/>
  <c r="K541" i="80"/>
  <c r="M541" i="80" s="1"/>
  <c r="K457" i="80"/>
  <c r="M457" i="80" s="1"/>
  <c r="O457" i="80"/>
  <c r="K431" i="80"/>
  <c r="M431" i="80" s="1"/>
  <c r="O431" i="80"/>
  <c r="O497" i="80"/>
  <c r="K497" i="80"/>
  <c r="M497" i="80" s="1"/>
  <c r="O436" i="80"/>
  <c r="K436" i="80"/>
  <c r="M436" i="80" s="1"/>
  <c r="K427" i="80"/>
  <c r="M427" i="80" s="1"/>
  <c r="O427" i="80"/>
  <c r="K402" i="80"/>
  <c r="M402" i="80" s="1"/>
  <c r="O402" i="80"/>
  <c r="O439" i="80"/>
  <c r="K439" i="80"/>
  <c r="M439" i="80" s="1"/>
  <c r="K414" i="80"/>
  <c r="M414" i="80" s="1"/>
  <c r="O414" i="80"/>
  <c r="O308" i="80"/>
  <c r="K308" i="80"/>
  <c r="M308" i="80" s="1"/>
  <c r="AG6" i="80"/>
  <c r="X32" i="56" s="1"/>
  <c r="K476" i="80"/>
  <c r="M476" i="80" s="1"/>
  <c r="O476" i="80"/>
  <c r="K468" i="80"/>
  <c r="M468" i="80" s="1"/>
  <c r="O468" i="80"/>
  <c r="D26" i="194"/>
  <c r="Q108" i="194"/>
  <c r="Q109" i="194"/>
  <c r="D28" i="194"/>
  <c r="D27" i="194"/>
  <c r="Q112" i="194"/>
  <c r="Q95" i="194"/>
  <c r="D25" i="194"/>
  <c r="Q110" i="194"/>
  <c r="D21" i="194"/>
  <c r="Q91" i="194"/>
  <c r="D20" i="194"/>
  <c r="D29" i="194"/>
  <c r="D24" i="194"/>
  <c r="D23" i="194"/>
  <c r="Q92" i="194"/>
  <c r="D22" i="194"/>
  <c r="B107" i="194" l="1"/>
  <c r="B206" i="194"/>
  <c r="B82" i="194"/>
  <c r="B94" i="194"/>
  <c r="B124" i="194"/>
  <c r="B172" i="194"/>
  <c r="B128" i="194"/>
  <c r="B98" i="194"/>
  <c r="B232" i="194"/>
  <c r="B122" i="194"/>
  <c r="B211" i="194"/>
  <c r="B142" i="194"/>
  <c r="B201" i="194"/>
  <c r="B170" i="194"/>
  <c r="B198" i="194"/>
  <c r="B217" i="194"/>
  <c r="E4" i="55"/>
  <c r="B174" i="194"/>
  <c r="B191" i="194"/>
  <c r="C4" i="55"/>
  <c r="O49" i="194"/>
  <c r="B140" i="194"/>
  <c r="B179" i="194"/>
  <c r="B136" i="194"/>
  <c r="D14" i="55"/>
  <c r="L14" i="55" s="1"/>
  <c r="B86" i="194"/>
  <c r="B173" i="194"/>
  <c r="B111" i="194"/>
  <c r="B207" i="194"/>
  <c r="B184" i="194"/>
  <c r="B85" i="194"/>
  <c r="B106" i="194"/>
  <c r="B186" i="194"/>
  <c r="B87" i="194"/>
  <c r="B130" i="194"/>
  <c r="B159" i="194"/>
  <c r="B195" i="194"/>
  <c r="O18" i="194"/>
  <c r="B121" i="194"/>
  <c r="B116" i="194"/>
  <c r="O35" i="194"/>
  <c r="B102" i="194"/>
  <c r="O216" i="194"/>
  <c r="C9" i="55"/>
  <c r="O50" i="194"/>
  <c r="B168" i="194"/>
  <c r="O34" i="194"/>
  <c r="B99" i="194"/>
  <c r="B103" i="194"/>
  <c r="B200" i="194"/>
  <c r="D9" i="55"/>
  <c r="B209" i="194"/>
  <c r="B83" i="194"/>
  <c r="B188" i="194"/>
  <c r="O51" i="194"/>
  <c r="AA6" i="54"/>
  <c r="B161" i="194"/>
  <c r="O131" i="194"/>
  <c r="O114" i="194" s="1"/>
  <c r="B169" i="194"/>
  <c r="O148" i="194"/>
  <c r="AB7" i="54"/>
  <c r="B185" i="194"/>
  <c r="B89" i="194"/>
  <c r="O37" i="194"/>
  <c r="B152" i="194"/>
  <c r="B150" i="194"/>
  <c r="B231" i="194"/>
  <c r="B194" i="194"/>
  <c r="B221" i="194"/>
  <c r="B227" i="194"/>
  <c r="B167" i="194"/>
  <c r="B143" i="194"/>
  <c r="AA5" i="54"/>
  <c r="AA7" i="54"/>
  <c r="B153" i="194"/>
  <c r="B129" i="194"/>
  <c r="AB8" i="54"/>
  <c r="B178" i="194"/>
  <c r="B158" i="194"/>
  <c r="B189" i="194"/>
  <c r="AB6" i="54"/>
  <c r="AC7" i="54" s="1"/>
  <c r="B88" i="194"/>
  <c r="B117" i="194"/>
  <c r="B81" i="194"/>
  <c r="B157" i="194"/>
  <c r="B84" i="194"/>
  <c r="O80" i="194"/>
  <c r="O182" i="194"/>
  <c r="O165" i="194"/>
  <c r="O97" i="194"/>
  <c r="O199" i="194"/>
  <c r="B108" i="194"/>
  <c r="B95" i="194"/>
  <c r="B110" i="194"/>
  <c r="B92" i="194"/>
  <c r="B91" i="194"/>
  <c r="B112" i="194"/>
  <c r="B109" i="194"/>
  <c r="B127" i="194"/>
  <c r="B193" i="194"/>
  <c r="C23" i="55"/>
  <c r="C18" i="55"/>
  <c r="G23" i="55"/>
  <c r="AA36" i="53" s="1"/>
  <c r="G18" i="55"/>
  <c r="B223" i="194"/>
  <c r="B210" i="194"/>
  <c r="B218" i="194"/>
  <c r="B96" i="194"/>
  <c r="B215" i="194"/>
  <c r="B166" i="194"/>
  <c r="B137" i="194"/>
  <c r="B149" i="194"/>
  <c r="B171" i="194"/>
  <c r="B176" i="194"/>
  <c r="Z35" i="53"/>
  <c r="F43" i="55"/>
  <c r="Z33" i="53" s="1"/>
  <c r="B222" i="194"/>
  <c r="C39" i="952"/>
  <c r="C1029" i="957"/>
  <c r="C1028" i="961"/>
  <c r="C1029" i="955"/>
  <c r="C1028" i="960"/>
  <c r="C1028" i="953"/>
  <c r="C40" i="952"/>
  <c r="C1028" i="957"/>
  <c r="C1029" i="958"/>
  <c r="C1029" i="953"/>
  <c r="C1029" i="952"/>
  <c r="C1029" i="959"/>
  <c r="C1029" i="961"/>
  <c r="C1028" i="959"/>
  <c r="C1028" i="954"/>
  <c r="C1028" i="956"/>
  <c r="C1028" i="955"/>
  <c r="C41" i="953"/>
  <c r="C1029" i="956"/>
  <c r="C1029" i="954"/>
  <c r="C40" i="953"/>
  <c r="C1028" i="952"/>
  <c r="C1029" i="960"/>
  <c r="C1028" i="958"/>
  <c r="O17" i="194"/>
  <c r="O19" i="194"/>
  <c r="B187" i="194"/>
  <c r="B230" i="194"/>
  <c r="B197" i="194"/>
  <c r="B104" i="194"/>
  <c r="B212" i="194"/>
  <c r="B180" i="194"/>
  <c r="B133" i="194"/>
  <c r="B204" i="194"/>
  <c r="E23" i="55"/>
  <c r="Y36" i="53" s="1"/>
  <c r="E18" i="55"/>
  <c r="D23" i="55"/>
  <c r="X36" i="53" s="1"/>
  <c r="D18" i="55"/>
  <c r="B164" i="194"/>
  <c r="B163" i="194"/>
  <c r="B177" i="194"/>
  <c r="B162" i="194"/>
  <c r="H23" i="55"/>
  <c r="AB36" i="53" s="1"/>
  <c r="H18" i="55"/>
  <c r="B213" i="194"/>
  <c r="B115" i="194"/>
  <c r="O36" i="194"/>
  <c r="B229" i="194"/>
  <c r="B175" i="194"/>
  <c r="B147" i="194"/>
  <c r="B225" i="194"/>
  <c r="B101" i="194"/>
  <c r="R33" i="53"/>
  <c r="M46" i="55"/>
  <c r="B228" i="194"/>
  <c r="B120" i="194"/>
  <c r="B226" i="194"/>
  <c r="O629" i="80"/>
  <c r="K501" i="80"/>
  <c r="M501" i="80" s="1"/>
  <c r="M304" i="80" s="1"/>
  <c r="L8" i="80" s="1"/>
  <c r="O501" i="80"/>
  <c r="O502" i="80"/>
  <c r="K502" i="80"/>
  <c r="M502" i="80" s="1"/>
  <c r="R15" i="80"/>
  <c r="AB32" i="56"/>
  <c r="O628" i="80"/>
  <c r="O304" i="80"/>
  <c r="O630" i="80"/>
  <c r="L4" i="55" l="1"/>
  <c r="E5" i="55" s="1"/>
  <c r="O78" i="194"/>
  <c r="O79" i="194"/>
  <c r="D15" i="55"/>
  <c r="D16" i="55" s="1"/>
  <c r="C15" i="55"/>
  <c r="E15" i="55"/>
  <c r="E16" i="55" s="1"/>
  <c r="O77" i="194"/>
  <c r="L9" i="55"/>
  <c r="AC8" i="54"/>
  <c r="P34" i="53" s="1"/>
  <c r="O34" i="53"/>
  <c r="Q2" i="56"/>
  <c r="R2" i="56" s="1"/>
  <c r="AB35" i="53"/>
  <c r="H43" i="55"/>
  <c r="AB33" i="53" s="1"/>
  <c r="E43" i="55"/>
  <c r="Y33" i="53" s="1"/>
  <c r="Y35" i="53"/>
  <c r="AY40" i="953" a="1"/>
  <c r="AY40" i="953" s="1"/>
  <c r="AY33" i="953" a="1"/>
  <c r="AY33" i="953" s="1"/>
  <c r="AY30" i="953" a="1"/>
  <c r="AY30" i="953" s="1"/>
  <c r="AY32" i="953" a="1"/>
  <c r="AY32" i="953" s="1"/>
  <c r="AY38" i="953" a="1"/>
  <c r="AY38" i="953" s="1"/>
  <c r="AY28" i="953" a="1"/>
  <c r="AY28" i="953" s="1"/>
  <c r="AY25" i="953" a="1"/>
  <c r="AY25" i="953" s="1"/>
  <c r="BE10" i="953" a="1"/>
  <c r="BE10" i="953" s="1"/>
  <c r="AY24" i="953" a="1"/>
  <c r="AY24" i="953" s="1"/>
  <c r="AY34" i="953" a="1"/>
  <c r="AY34" i="953" s="1"/>
  <c r="AY23" i="953" a="1"/>
  <c r="AY23" i="953" s="1"/>
  <c r="BA31" i="953" s="1"/>
  <c r="AY11" i="953" a="1"/>
  <c r="AY11" i="953" s="1"/>
  <c r="AY9" i="953" a="1"/>
  <c r="AY9" i="953" s="1"/>
  <c r="AY12" i="953" a="1"/>
  <c r="AY12" i="953" s="1"/>
  <c r="AY26" i="953" a="1"/>
  <c r="AY26" i="953" s="1"/>
  <c r="BE11" i="953" a="1"/>
  <c r="BE11" i="953" s="1"/>
  <c r="BE9" i="953" a="1"/>
  <c r="BE9" i="953" s="1"/>
  <c r="AY39" i="953" a="1"/>
  <c r="AY39" i="953" s="1"/>
  <c r="BE6" i="953" a="1"/>
  <c r="BE6" i="953" s="1"/>
  <c r="AY43" i="953" a="1"/>
  <c r="AY43" i="953" s="1"/>
  <c r="BE8" i="953" a="1"/>
  <c r="BE8" i="953" s="1"/>
  <c r="AY8" i="953" a="1"/>
  <c r="AY8" i="953" s="1"/>
  <c r="AY35" i="953" a="1"/>
  <c r="AY35" i="953" s="1"/>
  <c r="AY5" i="953" a="1"/>
  <c r="AY5" i="953" s="1"/>
  <c r="AY31" i="953" a="1"/>
  <c r="AY31" i="953" s="1"/>
  <c r="AY7" i="953" a="1"/>
  <c r="AY7" i="953" s="1"/>
  <c r="AY29" i="953" a="1"/>
  <c r="AY29" i="953" s="1"/>
  <c r="AY27" i="953" a="1"/>
  <c r="AY27" i="953" s="1"/>
  <c r="BE7" i="953" a="1"/>
  <c r="BE7" i="953" s="1"/>
  <c r="AY6" i="953" a="1"/>
  <c r="AY6" i="953" s="1"/>
  <c r="AY42" i="953" a="1"/>
  <c r="AY42" i="953" s="1"/>
  <c r="AY10" i="953" a="1"/>
  <c r="AY10" i="953" s="1"/>
  <c r="AY41" i="953" a="1"/>
  <c r="AY41" i="953" s="1"/>
  <c r="AY37" i="953" a="1"/>
  <c r="AY37" i="953" s="1"/>
  <c r="AY36" i="953" a="1"/>
  <c r="AY36" i="953" s="1"/>
  <c r="BE5" i="953" a="1"/>
  <c r="BE5" i="953" s="1"/>
  <c r="AA35" i="53"/>
  <c r="G43" i="55"/>
  <c r="AA33" i="53" s="1"/>
  <c r="AY38" i="952" a="1"/>
  <c r="AY38" i="952" s="1"/>
  <c r="BE10" i="952" a="1"/>
  <c r="BE10" i="952" s="1"/>
  <c r="AY10" i="952" a="1"/>
  <c r="AY10" i="952" s="1"/>
  <c r="BE8" i="952" a="1"/>
  <c r="BE8" i="952" s="1"/>
  <c r="BE11" i="952" a="1"/>
  <c r="BE11" i="952" s="1"/>
  <c r="BE6" i="952" a="1"/>
  <c r="BE6" i="952" s="1"/>
  <c r="AY27" i="952" a="1"/>
  <c r="AY27" i="952" s="1"/>
  <c r="AY34" i="952" a="1"/>
  <c r="AY34" i="952" s="1"/>
  <c r="AY9" i="952" a="1"/>
  <c r="AY9" i="952" s="1"/>
  <c r="AY5" i="952" a="1"/>
  <c r="AY5" i="952" s="1"/>
  <c r="AY42" i="952" a="1"/>
  <c r="AY42" i="952" s="1"/>
  <c r="AY32" i="952" a="1"/>
  <c r="AY32" i="952" s="1"/>
  <c r="AY26" i="952" a="1"/>
  <c r="AY26" i="952" s="1"/>
  <c r="BE5" i="952" a="1"/>
  <c r="BE5" i="952" s="1"/>
  <c r="AY37" i="952" a="1"/>
  <c r="AY37" i="952" s="1"/>
  <c r="AY36" i="952" a="1"/>
  <c r="AY36" i="952" s="1"/>
  <c r="AY24" i="952" a="1"/>
  <c r="AY24" i="952" s="1"/>
  <c r="AY33" i="952" a="1"/>
  <c r="AY33" i="952" s="1"/>
  <c r="BE9" i="952" a="1"/>
  <c r="BE9" i="952" s="1"/>
  <c r="AY7" i="952" a="1"/>
  <c r="AY7" i="952" s="1"/>
  <c r="AY6" i="952" a="1"/>
  <c r="AY6" i="952" s="1"/>
  <c r="AY28" i="952" a="1"/>
  <c r="AY28" i="952" s="1"/>
  <c r="AY23" i="952" a="1"/>
  <c r="AY23" i="952" s="1"/>
  <c r="BA31" i="952" s="1"/>
  <c r="AY11" i="952" a="1"/>
  <c r="AY11" i="952" s="1"/>
  <c r="AY29" i="952" a="1"/>
  <c r="AY29" i="952" s="1"/>
  <c r="AY30" i="952" a="1"/>
  <c r="AY30" i="952" s="1"/>
  <c r="BE7" i="952" a="1"/>
  <c r="BE7" i="952" s="1"/>
  <c r="AY25" i="952" a="1"/>
  <c r="AY25" i="952" s="1"/>
  <c r="AY8" i="952" a="1"/>
  <c r="AY8" i="952" s="1"/>
  <c r="AY40" i="952" a="1"/>
  <c r="AY40" i="952" s="1"/>
  <c r="AY12" i="952" a="1"/>
  <c r="AY12" i="952" s="1"/>
  <c r="AY39" i="952" a="1"/>
  <c r="AY39" i="952" s="1"/>
  <c r="AY43" i="952" a="1"/>
  <c r="AY43" i="952" s="1"/>
  <c r="AY35" i="952" a="1"/>
  <c r="AY35" i="952" s="1"/>
  <c r="AY31" i="952" a="1"/>
  <c r="AY31" i="952" s="1"/>
  <c r="AY41" i="952" a="1"/>
  <c r="AY41" i="952" s="1"/>
  <c r="L18" i="55"/>
  <c r="C43" i="55"/>
  <c r="W35" i="53"/>
  <c r="W36" i="53"/>
  <c r="L23" i="55"/>
  <c r="B43" i="55"/>
  <c r="B46" i="55"/>
  <c r="X35" i="53"/>
  <c r="D43" i="55"/>
  <c r="X33" i="53" s="1"/>
  <c r="V476" i="80"/>
  <c r="O619" i="80"/>
  <c r="C5" i="55" l="1"/>
  <c r="D5" i="55"/>
  <c r="C16" i="55"/>
  <c r="L16" i="55" s="1"/>
  <c r="L15" i="55"/>
  <c r="C10" i="55"/>
  <c r="D10" i="55"/>
  <c r="D11" i="55" s="1"/>
  <c r="E10" i="55"/>
  <c r="E11" i="55" s="1"/>
  <c r="BB3" i="953"/>
  <c r="C34" i="53"/>
  <c r="D34" i="53" s="1"/>
  <c r="N108" i="53"/>
  <c r="O108" i="53" s="1"/>
  <c r="AL2" i="56" s="1"/>
  <c r="D26" i="53"/>
  <c r="E26" i="53" s="1"/>
  <c r="M6" i="55"/>
  <c r="R34" i="53"/>
  <c r="L43" i="55"/>
  <c r="C44" i="55" s="1"/>
  <c r="W33" i="53"/>
  <c r="BB3" i="952"/>
  <c r="C19" i="55"/>
  <c r="H19" i="55"/>
  <c r="E19" i="55"/>
  <c r="F19" i="55"/>
  <c r="G19" i="55"/>
  <c r="D19" i="55"/>
  <c r="C439" i="953"/>
  <c r="C349" i="953"/>
  <c r="C364" i="953"/>
  <c r="C514" i="953"/>
  <c r="C544" i="953"/>
  <c r="C334" i="953"/>
  <c r="C529" i="953"/>
  <c r="C499" i="953"/>
  <c r="C424" i="953"/>
  <c r="C379" i="953"/>
  <c r="C484" i="953"/>
  <c r="C454" i="953"/>
  <c r="C469" i="953"/>
  <c r="C394" i="953"/>
  <c r="C319" i="953"/>
  <c r="C409" i="953"/>
  <c r="AV3" i="952"/>
  <c r="AV3" i="953"/>
  <c r="D24" i="55"/>
  <c r="G24" i="55"/>
  <c r="E24" i="55"/>
  <c r="H24" i="55"/>
  <c r="C24" i="55"/>
  <c r="C469" i="952"/>
  <c r="C484" i="952"/>
  <c r="C394" i="952"/>
  <c r="C319" i="952"/>
  <c r="C334" i="952"/>
  <c r="C514" i="952"/>
  <c r="C529" i="952"/>
  <c r="C424" i="952"/>
  <c r="C379" i="952"/>
  <c r="C364" i="952"/>
  <c r="C544" i="952"/>
  <c r="C439" i="952"/>
  <c r="C409" i="952"/>
  <c r="C454" i="952"/>
  <c r="C499" i="952"/>
  <c r="C349" i="952"/>
  <c r="K281" i="911"/>
  <c r="G281" i="911"/>
  <c r="I281" i="911" s="1"/>
  <c r="K382" i="911"/>
  <c r="G382" i="911"/>
  <c r="I382" i="911" s="1"/>
  <c r="K368" i="911"/>
  <c r="G368" i="911"/>
  <c r="I368" i="911" s="1"/>
  <c r="K62" i="911"/>
  <c r="G62" i="911"/>
  <c r="I62" i="911" s="1"/>
  <c r="K78" i="911"/>
  <c r="G78" i="911"/>
  <c r="I78" i="911" s="1"/>
  <c r="K275" i="911"/>
  <c r="G275" i="911"/>
  <c r="I275" i="911" s="1"/>
  <c r="K276" i="911"/>
  <c r="G276" i="911"/>
  <c r="I276" i="911" s="1"/>
  <c r="K379" i="911"/>
  <c r="G379" i="911"/>
  <c r="I379" i="911" s="1"/>
  <c r="K170" i="911"/>
  <c r="G170" i="911"/>
  <c r="I170" i="911" s="1"/>
  <c r="G90" i="911"/>
  <c r="I90" i="911" s="1"/>
  <c r="K90" i="911"/>
  <c r="K101" i="911"/>
  <c r="G101" i="911"/>
  <c r="I101" i="911" s="1"/>
  <c r="G225" i="911"/>
  <c r="I225" i="911" s="1"/>
  <c r="K225" i="911"/>
  <c r="K238" i="911"/>
  <c r="G238" i="911"/>
  <c r="I238" i="911" s="1"/>
  <c r="G206" i="911"/>
  <c r="I206" i="911" s="1"/>
  <c r="K206" i="911"/>
  <c r="K194" i="911"/>
  <c r="G194" i="911"/>
  <c r="I194" i="911" s="1"/>
  <c r="G269" i="911"/>
  <c r="I269" i="911" s="1"/>
  <c r="K269" i="911"/>
  <c r="G322" i="911"/>
  <c r="I322" i="911" s="1"/>
  <c r="K322" i="911"/>
  <c r="G123" i="911"/>
  <c r="I123" i="911" s="1"/>
  <c r="K123" i="911"/>
  <c r="G65" i="911"/>
  <c r="I65" i="911" s="1"/>
  <c r="K65" i="911"/>
  <c r="G139" i="911"/>
  <c r="I139" i="911" s="1"/>
  <c r="K139" i="911"/>
  <c r="K407" i="911"/>
  <c r="G407" i="911"/>
  <c r="I407" i="911" s="1"/>
  <c r="G250" i="911"/>
  <c r="I250" i="911" s="1"/>
  <c r="K250" i="911"/>
  <c r="G45" i="911"/>
  <c r="I45" i="911" s="1"/>
  <c r="K45" i="911"/>
  <c r="K120" i="911"/>
  <c r="G120" i="911"/>
  <c r="I120" i="911" s="1"/>
  <c r="G22" i="911"/>
  <c r="I22" i="911" s="1"/>
  <c r="K22" i="911"/>
  <c r="G224" i="911"/>
  <c r="I224" i="911" s="1"/>
  <c r="K224" i="911"/>
  <c r="G336" i="911"/>
  <c r="I336" i="911" s="1"/>
  <c r="K336" i="911"/>
  <c r="K233" i="911"/>
  <c r="G233" i="911"/>
  <c r="I233" i="911" s="1"/>
  <c r="G67" i="911"/>
  <c r="I67" i="911" s="1"/>
  <c r="K67" i="911"/>
  <c r="K24" i="911"/>
  <c r="G24" i="911"/>
  <c r="I24" i="911" s="1"/>
  <c r="K332" i="911"/>
  <c r="G332" i="911"/>
  <c r="I332" i="911" s="1"/>
  <c r="G271" i="911"/>
  <c r="I271" i="911" s="1"/>
  <c r="K271" i="911"/>
  <c r="G37" i="911"/>
  <c r="I37" i="911" s="1"/>
  <c r="K37" i="911"/>
  <c r="G213" i="911"/>
  <c r="I213" i="911" s="1"/>
  <c r="K213" i="911"/>
  <c r="K314" i="911"/>
  <c r="G314" i="911"/>
  <c r="I314" i="911" s="1"/>
  <c r="K284" i="911"/>
  <c r="G284" i="911"/>
  <c r="I284" i="911" s="1"/>
  <c r="K34" i="911"/>
  <c r="G34" i="911"/>
  <c r="I34" i="911" s="1"/>
  <c r="K380" i="911"/>
  <c r="G380" i="911"/>
  <c r="I380" i="911" s="1"/>
  <c r="K391" i="911"/>
  <c r="G391" i="911"/>
  <c r="I391" i="911" s="1"/>
  <c r="G260" i="911"/>
  <c r="I260" i="911" s="1"/>
  <c r="K260" i="911"/>
  <c r="K20" i="911"/>
  <c r="G20" i="911"/>
  <c r="I20" i="911" s="1"/>
  <c r="K381" i="911"/>
  <c r="G381" i="911"/>
  <c r="I381" i="911" s="1"/>
  <c r="K248" i="911"/>
  <c r="G248" i="911"/>
  <c r="I248" i="911" s="1"/>
  <c r="G83" i="911"/>
  <c r="I83" i="911" s="1"/>
  <c r="K83" i="911"/>
  <c r="G162" i="911"/>
  <c r="I162" i="911" s="1"/>
  <c r="K162" i="911"/>
  <c r="G326" i="911"/>
  <c r="I326" i="911" s="1"/>
  <c r="K326" i="911"/>
  <c r="K348" i="911"/>
  <c r="G348" i="911"/>
  <c r="I348" i="911" s="1"/>
  <c r="G398" i="911"/>
  <c r="I398" i="911" s="1"/>
  <c r="K398" i="911"/>
  <c r="K223" i="911"/>
  <c r="G223" i="911"/>
  <c r="I223" i="911" s="1"/>
  <c r="K340" i="911"/>
  <c r="G340" i="911"/>
  <c r="I340" i="911" s="1"/>
  <c r="G38" i="911"/>
  <c r="I38" i="911" s="1"/>
  <c r="K38" i="911"/>
  <c r="K76" i="911"/>
  <c r="G76" i="911"/>
  <c r="I76" i="911" s="1"/>
  <c r="G378" i="911"/>
  <c r="I378" i="911" s="1"/>
  <c r="K378" i="911"/>
  <c r="G149" i="911"/>
  <c r="I149" i="911" s="1"/>
  <c r="K149" i="911"/>
  <c r="G261" i="911"/>
  <c r="I261" i="911" s="1"/>
  <c r="K261" i="911"/>
  <c r="K129" i="911"/>
  <c r="G129" i="911"/>
  <c r="I129" i="911" s="1"/>
  <c r="K47" i="911"/>
  <c r="G47" i="911"/>
  <c r="I47" i="911" s="1"/>
  <c r="K365" i="911"/>
  <c r="G365" i="911"/>
  <c r="I365" i="911" s="1"/>
  <c r="K360" i="911"/>
  <c r="G360" i="911"/>
  <c r="I360" i="911" s="1"/>
  <c r="K41" i="911"/>
  <c r="G41" i="911"/>
  <c r="I41" i="911" s="1"/>
  <c r="G15" i="911"/>
  <c r="I15" i="911" s="1"/>
  <c r="K15" i="911"/>
  <c r="K362" i="911"/>
  <c r="G362" i="911"/>
  <c r="I362" i="911" s="1"/>
  <c r="G309" i="911"/>
  <c r="I309" i="911" s="1"/>
  <c r="K309" i="911"/>
  <c r="G302" i="911"/>
  <c r="I302" i="911" s="1"/>
  <c r="K302" i="911"/>
  <c r="G312" i="911"/>
  <c r="I312" i="911" s="1"/>
  <c r="K312" i="911"/>
  <c r="G310" i="911"/>
  <c r="I310" i="911" s="1"/>
  <c r="K310" i="911"/>
  <c r="K280" i="911"/>
  <c r="G280" i="911"/>
  <c r="I280" i="911" s="1"/>
  <c r="K394" i="911"/>
  <c r="G394" i="911"/>
  <c r="I394" i="911" s="1"/>
  <c r="G39" i="911"/>
  <c r="I39" i="911" s="1"/>
  <c r="K39" i="911"/>
  <c r="G108" i="911"/>
  <c r="I108" i="911" s="1"/>
  <c r="K108" i="911"/>
  <c r="K371" i="911"/>
  <c r="G371" i="911"/>
  <c r="I371" i="911" s="1"/>
  <c r="K347" i="911"/>
  <c r="G347" i="911"/>
  <c r="I347" i="911" s="1"/>
  <c r="G300" i="911"/>
  <c r="I300" i="911" s="1"/>
  <c r="K300" i="911"/>
  <c r="K214" i="911"/>
  <c r="G214" i="911"/>
  <c r="I214" i="911" s="1"/>
  <c r="K273" i="911"/>
  <c r="G273" i="911"/>
  <c r="I273" i="911" s="1"/>
  <c r="G383" i="911"/>
  <c r="I383" i="911" s="1"/>
  <c r="K383" i="911"/>
  <c r="G227" i="911"/>
  <c r="I227" i="911" s="1"/>
  <c r="K227" i="911"/>
  <c r="K288" i="911"/>
  <c r="G288" i="911"/>
  <c r="I288" i="911" s="1"/>
  <c r="K270" i="911"/>
  <c r="G270" i="911"/>
  <c r="I270" i="911" s="1"/>
  <c r="K141" i="911"/>
  <c r="G141" i="911"/>
  <c r="I141" i="911" s="1"/>
  <c r="K301" i="911"/>
  <c r="G301" i="911"/>
  <c r="I301" i="911" s="1"/>
  <c r="K124" i="911"/>
  <c r="G124" i="911"/>
  <c r="I124" i="911" s="1"/>
  <c r="G229" i="911"/>
  <c r="I229" i="911" s="1"/>
  <c r="K229" i="911"/>
  <c r="G57" i="911"/>
  <c r="I57" i="911" s="1"/>
  <c r="K57" i="911"/>
  <c r="G190" i="911"/>
  <c r="I190" i="911" s="1"/>
  <c r="K190" i="911"/>
  <c r="G77" i="911"/>
  <c r="I77" i="911" s="1"/>
  <c r="K77" i="911"/>
  <c r="G155" i="911"/>
  <c r="I155" i="911" s="1"/>
  <c r="K155" i="911"/>
  <c r="G11" i="911"/>
  <c r="I11" i="911" s="1"/>
  <c r="K11" i="911"/>
  <c r="K242" i="911"/>
  <c r="G242" i="911"/>
  <c r="I242" i="911" s="1"/>
  <c r="K87" i="911"/>
  <c r="G87" i="911"/>
  <c r="I87" i="911" s="1"/>
  <c r="K287" i="911"/>
  <c r="G287" i="911"/>
  <c r="I287" i="911" s="1"/>
  <c r="K406" i="911"/>
  <c r="G406" i="911"/>
  <c r="I406" i="911" s="1"/>
  <c r="G285" i="911"/>
  <c r="I285" i="911" s="1"/>
  <c r="K285" i="911"/>
  <c r="K313" i="911"/>
  <c r="G313" i="911"/>
  <c r="I313" i="911" s="1"/>
  <c r="G134" i="911"/>
  <c r="I134" i="911" s="1"/>
  <c r="K134" i="911"/>
  <c r="G286" i="911"/>
  <c r="I286" i="911" s="1"/>
  <c r="K286" i="911"/>
  <c r="K272" i="911"/>
  <c r="G272" i="911"/>
  <c r="I272" i="911" s="1"/>
  <c r="G153" i="911"/>
  <c r="I153" i="911" s="1"/>
  <c r="K153" i="911"/>
  <c r="G220" i="911"/>
  <c r="I220" i="911" s="1"/>
  <c r="K220" i="911"/>
  <c r="G27" i="911"/>
  <c r="I27" i="911" s="1"/>
  <c r="K27" i="911"/>
  <c r="G198" i="911"/>
  <c r="I198" i="911" s="1"/>
  <c r="K198" i="911"/>
  <c r="G245" i="911"/>
  <c r="I245" i="911" s="1"/>
  <c r="K245" i="911"/>
  <c r="K163" i="911"/>
  <c r="G163" i="911"/>
  <c r="I163" i="911" s="1"/>
  <c r="K251" i="911"/>
  <c r="G251" i="911"/>
  <c r="I251" i="911" s="1"/>
  <c r="K85" i="911"/>
  <c r="G85" i="911"/>
  <c r="I85" i="911" s="1"/>
  <c r="K252" i="911"/>
  <c r="G252" i="911"/>
  <c r="I252" i="911" s="1"/>
  <c r="G357" i="911"/>
  <c r="I357" i="911" s="1"/>
  <c r="K357" i="911"/>
  <c r="K356" i="911"/>
  <c r="G356" i="911"/>
  <c r="I356" i="911" s="1"/>
  <c r="K66" i="911"/>
  <c r="G66" i="911"/>
  <c r="I66" i="911" s="1"/>
  <c r="G18" i="911"/>
  <c r="I18" i="911" s="1"/>
  <c r="K18" i="911"/>
  <c r="K395" i="911"/>
  <c r="G395" i="911"/>
  <c r="I395" i="911" s="1"/>
  <c r="K33" i="911"/>
  <c r="G33" i="911"/>
  <c r="I33" i="911" s="1"/>
  <c r="G132" i="911"/>
  <c r="I132" i="911" s="1"/>
  <c r="K132" i="911"/>
  <c r="G311" i="911"/>
  <c r="I311" i="911" s="1"/>
  <c r="K311" i="911"/>
  <c r="G188" i="911"/>
  <c r="I188" i="911" s="1"/>
  <c r="K188" i="911"/>
  <c r="K63" i="911"/>
  <c r="G63" i="911"/>
  <c r="I63" i="911" s="1"/>
  <c r="G351" i="911"/>
  <c r="I351" i="911" s="1"/>
  <c r="K351" i="911"/>
  <c r="K231" i="911"/>
  <c r="G231" i="911"/>
  <c r="I231" i="911" s="1"/>
  <c r="K386" i="911"/>
  <c r="G386" i="911"/>
  <c r="I386" i="911" s="1"/>
  <c r="G176" i="911"/>
  <c r="I176" i="911" s="1"/>
  <c r="K176" i="911"/>
  <c r="G352" i="911"/>
  <c r="I352" i="911" s="1"/>
  <c r="K352" i="911"/>
  <c r="G306" i="911"/>
  <c r="I306" i="911" s="1"/>
  <c r="K306" i="911"/>
  <c r="G255" i="911"/>
  <c r="I255" i="911" s="1"/>
  <c r="K255" i="911"/>
  <c r="K49" i="911"/>
  <c r="G49" i="911"/>
  <c r="I49" i="911" s="1"/>
  <c r="G92" i="911"/>
  <c r="I92" i="911" s="1"/>
  <c r="K92" i="911"/>
  <c r="K26" i="911"/>
  <c r="G26" i="911"/>
  <c r="I26" i="911" s="1"/>
  <c r="K28" i="911"/>
  <c r="G28" i="911"/>
  <c r="I28" i="911" s="1"/>
  <c r="K205" i="911"/>
  <c r="G205" i="911"/>
  <c r="I205" i="911" s="1"/>
  <c r="K79" i="911"/>
  <c r="G79" i="911"/>
  <c r="I79" i="911" s="1"/>
  <c r="G197" i="911"/>
  <c r="I197" i="911" s="1"/>
  <c r="K197" i="911"/>
  <c r="G369" i="911"/>
  <c r="I369" i="911" s="1"/>
  <c r="K369" i="911"/>
  <c r="K75" i="911"/>
  <c r="G75" i="911"/>
  <c r="I75" i="911" s="1"/>
  <c r="G240" i="911"/>
  <c r="I240" i="911" s="1"/>
  <c r="K240" i="911"/>
  <c r="G127" i="911"/>
  <c r="I127" i="911" s="1"/>
  <c r="K127" i="911"/>
  <c r="K119" i="911"/>
  <c r="G119" i="911"/>
  <c r="I119" i="911" s="1"/>
  <c r="K98" i="911"/>
  <c r="G98" i="911"/>
  <c r="I98" i="911" s="1"/>
  <c r="K31" i="911"/>
  <c r="G31" i="911"/>
  <c r="I31" i="911" s="1"/>
  <c r="G166" i="911"/>
  <c r="I166" i="911" s="1"/>
  <c r="K166" i="911"/>
  <c r="K219" i="911"/>
  <c r="G219" i="911"/>
  <c r="I219" i="911" s="1"/>
  <c r="K318" i="911"/>
  <c r="G318" i="911"/>
  <c r="I318" i="911" s="1"/>
  <c r="G385" i="911"/>
  <c r="I385" i="911" s="1"/>
  <c r="K385" i="911"/>
  <c r="K209" i="911"/>
  <c r="G209" i="911"/>
  <c r="I209" i="911" s="1"/>
  <c r="K387" i="911"/>
  <c r="G387" i="911"/>
  <c r="I387" i="911" s="1"/>
  <c r="K200" i="911"/>
  <c r="G200" i="911"/>
  <c r="I200" i="911" s="1"/>
  <c r="G353" i="911"/>
  <c r="I353" i="911" s="1"/>
  <c r="K353" i="911"/>
  <c r="G179" i="911"/>
  <c r="I179" i="911" s="1"/>
  <c r="K179" i="911"/>
  <c r="G403" i="911"/>
  <c r="I403" i="911" s="1"/>
  <c r="K403" i="911"/>
  <c r="G174" i="911"/>
  <c r="I174" i="911" s="1"/>
  <c r="K174" i="911"/>
  <c r="G86" i="911"/>
  <c r="I86" i="911" s="1"/>
  <c r="K86" i="911"/>
  <c r="K334" i="911"/>
  <c r="G334" i="911"/>
  <c r="I334" i="911" s="1"/>
  <c r="K211" i="911"/>
  <c r="G211" i="911"/>
  <c r="I211" i="911" s="1"/>
  <c r="G178" i="911"/>
  <c r="I178" i="911" s="1"/>
  <c r="K178" i="911"/>
  <c r="K145" i="911"/>
  <c r="G145" i="911"/>
  <c r="I145" i="911" s="1"/>
  <c r="G376" i="911"/>
  <c r="I376" i="911" s="1"/>
  <c r="K376" i="911"/>
  <c r="G212" i="911"/>
  <c r="I212" i="911" s="1"/>
  <c r="K212" i="911"/>
  <c r="K393" i="911"/>
  <c r="G393" i="911"/>
  <c r="I393" i="911" s="1"/>
  <c r="G217" i="911"/>
  <c r="I217" i="911" s="1"/>
  <c r="K217" i="911"/>
  <c r="G367" i="911"/>
  <c r="I367" i="911" s="1"/>
  <c r="K367" i="911"/>
  <c r="G296" i="911"/>
  <c r="I296" i="911" s="1"/>
  <c r="K296" i="911"/>
  <c r="G154" i="911"/>
  <c r="I154" i="911" s="1"/>
  <c r="K154" i="911"/>
  <c r="G358" i="911"/>
  <c r="I358" i="911" s="1"/>
  <c r="K358" i="911"/>
  <c r="K146" i="911"/>
  <c r="G146" i="911"/>
  <c r="I146" i="911" s="1"/>
  <c r="G258" i="911"/>
  <c r="I258" i="911" s="1"/>
  <c r="K258" i="911"/>
  <c r="G267" i="911"/>
  <c r="I267" i="911" s="1"/>
  <c r="K267" i="911"/>
  <c r="G152" i="911"/>
  <c r="I152" i="911" s="1"/>
  <c r="K152" i="911"/>
  <c r="G144" i="911"/>
  <c r="I144" i="911" s="1"/>
  <c r="K144" i="911"/>
  <c r="G36" i="911"/>
  <c r="I36" i="911" s="1"/>
  <c r="K36" i="911"/>
  <c r="G264" i="911"/>
  <c r="I264" i="911" s="1"/>
  <c r="K264" i="911"/>
  <c r="K289" i="911"/>
  <c r="G289" i="911"/>
  <c r="I289" i="911" s="1"/>
  <c r="K293" i="911"/>
  <c r="G293" i="911"/>
  <c r="I293" i="911" s="1"/>
  <c r="G374" i="911"/>
  <c r="I374" i="911" s="1"/>
  <c r="K374" i="911"/>
  <c r="G338" i="911"/>
  <c r="I338" i="911" s="1"/>
  <c r="K338" i="911"/>
  <c r="K316" i="911"/>
  <c r="G316" i="911"/>
  <c r="I316" i="911" s="1"/>
  <c r="K341" i="911"/>
  <c r="G341" i="911"/>
  <c r="I341" i="911" s="1"/>
  <c r="G196" i="911"/>
  <c r="I196" i="911" s="1"/>
  <c r="K196" i="911"/>
  <c r="G243" i="911"/>
  <c r="I243" i="911" s="1"/>
  <c r="K243" i="911"/>
  <c r="K210" i="911"/>
  <c r="G210" i="911"/>
  <c r="I210" i="911" s="1"/>
  <c r="K13" i="911"/>
  <c r="G13" i="911"/>
  <c r="I13" i="911" s="1"/>
  <c r="G136" i="911"/>
  <c r="I136" i="911" s="1"/>
  <c r="K136" i="911"/>
  <c r="K279" i="911"/>
  <c r="G279" i="911"/>
  <c r="I279" i="911" s="1"/>
  <c r="K159" i="911"/>
  <c r="G159" i="911"/>
  <c r="I159" i="911" s="1"/>
  <c r="G46" i="911"/>
  <c r="I46" i="911" s="1"/>
  <c r="K46" i="911"/>
  <c r="K235" i="911"/>
  <c r="G235" i="911"/>
  <c r="I235" i="911" s="1"/>
  <c r="G19" i="911"/>
  <c r="I19" i="911" s="1"/>
  <c r="K19" i="911"/>
  <c r="G130" i="911"/>
  <c r="I130" i="911" s="1"/>
  <c r="K130" i="911"/>
  <c r="K408" i="911"/>
  <c r="G408" i="911"/>
  <c r="I408" i="911" s="1"/>
  <c r="K247" i="911"/>
  <c r="G247" i="911"/>
  <c r="I247" i="911" s="1"/>
  <c r="G375" i="911"/>
  <c r="I375" i="911" s="1"/>
  <c r="K375" i="911"/>
  <c r="K317" i="911"/>
  <c r="G317" i="911"/>
  <c r="I317" i="911" s="1"/>
  <c r="G82" i="911"/>
  <c r="I82" i="911" s="1"/>
  <c r="K82" i="911"/>
  <c r="K89" i="911"/>
  <c r="G89" i="911"/>
  <c r="I89" i="911" s="1"/>
  <c r="G168" i="911"/>
  <c r="I168" i="911" s="1"/>
  <c r="K168" i="911"/>
  <c r="K64" i="911"/>
  <c r="G64" i="911"/>
  <c r="I64" i="911" s="1"/>
  <c r="K259" i="911"/>
  <c r="G259" i="911"/>
  <c r="I259" i="911" s="1"/>
  <c r="K181" i="911"/>
  <c r="G181" i="911"/>
  <c r="I181" i="911" s="1"/>
  <c r="G55" i="911"/>
  <c r="I55" i="911" s="1"/>
  <c r="K55" i="911"/>
  <c r="G69" i="911"/>
  <c r="I69" i="911" s="1"/>
  <c r="K69" i="911"/>
  <c r="K73" i="911"/>
  <c r="G73" i="911"/>
  <c r="I73" i="911" s="1"/>
  <c r="G52" i="911"/>
  <c r="I52" i="911" s="1"/>
  <c r="K52" i="911"/>
  <c r="G295" i="911"/>
  <c r="I295" i="911" s="1"/>
  <c r="K295" i="911"/>
  <c r="K364" i="911"/>
  <c r="G364" i="911"/>
  <c r="I364" i="911" s="1"/>
  <c r="G53" i="911"/>
  <c r="I53" i="911" s="1"/>
  <c r="K53" i="911"/>
  <c r="G333" i="911"/>
  <c r="I333" i="911" s="1"/>
  <c r="K333" i="911"/>
  <c r="K137" i="911"/>
  <c r="G137" i="911"/>
  <c r="I137" i="911" s="1"/>
  <c r="K32" i="911"/>
  <c r="G32" i="911"/>
  <c r="I32" i="911" s="1"/>
  <c r="K221" i="911"/>
  <c r="G221" i="911"/>
  <c r="I221" i="911" s="1"/>
  <c r="G142" i="911"/>
  <c r="I142" i="911" s="1"/>
  <c r="K142" i="911"/>
  <c r="K189" i="911"/>
  <c r="G189" i="911"/>
  <c r="I189" i="911" s="1"/>
  <c r="K366" i="911"/>
  <c r="G366" i="911"/>
  <c r="I366" i="911" s="1"/>
  <c r="K95" i="911"/>
  <c r="G95" i="911"/>
  <c r="I95" i="911" s="1"/>
  <c r="G23" i="911"/>
  <c r="I23" i="911" s="1"/>
  <c r="K23" i="911"/>
  <c r="G61" i="911"/>
  <c r="I61" i="911" s="1"/>
  <c r="K61" i="911"/>
  <c r="G329" i="911"/>
  <c r="I329" i="911" s="1"/>
  <c r="K329" i="911"/>
  <c r="G80" i="911"/>
  <c r="I80" i="911" s="1"/>
  <c r="K80" i="911"/>
  <c r="G138" i="911"/>
  <c r="I138" i="911" s="1"/>
  <c r="K138" i="911"/>
  <c r="K401" i="911"/>
  <c r="G401" i="911"/>
  <c r="I401" i="911" s="1"/>
  <c r="K274" i="911"/>
  <c r="G274" i="911"/>
  <c r="I274" i="911" s="1"/>
  <c r="K99" i="911"/>
  <c r="G99" i="911"/>
  <c r="I99" i="911" s="1"/>
  <c r="G237" i="911"/>
  <c r="I237" i="911" s="1"/>
  <c r="K237" i="911"/>
  <c r="G396" i="911"/>
  <c r="I396" i="911" s="1"/>
  <c r="K396" i="911"/>
  <c r="G222" i="911"/>
  <c r="I222" i="911" s="1"/>
  <c r="K222" i="911"/>
  <c r="K180" i="911"/>
  <c r="G180" i="911"/>
  <c r="I180" i="911" s="1"/>
  <c r="G81" i="911"/>
  <c r="I81" i="911" s="1"/>
  <c r="K81" i="911"/>
  <c r="K88" i="911"/>
  <c r="G88" i="911"/>
  <c r="I88" i="911" s="1"/>
  <c r="G405" i="911"/>
  <c r="I405" i="911" s="1"/>
  <c r="K405" i="911"/>
  <c r="G294" i="911"/>
  <c r="I294" i="911" s="1"/>
  <c r="K294" i="911"/>
  <c r="G107" i="911"/>
  <c r="I107" i="911" s="1"/>
  <c r="K107" i="911"/>
  <c r="G298" i="911"/>
  <c r="I298" i="911" s="1"/>
  <c r="K298" i="911"/>
  <c r="K236" i="911"/>
  <c r="G236" i="911"/>
  <c r="I236" i="911" s="1"/>
  <c r="G164" i="911"/>
  <c r="I164" i="911" s="1"/>
  <c r="K164" i="911"/>
  <c r="G103" i="911"/>
  <c r="I103" i="911" s="1"/>
  <c r="K103" i="911"/>
  <c r="G29" i="911"/>
  <c r="I29" i="911" s="1"/>
  <c r="K29" i="911"/>
  <c r="K128" i="911"/>
  <c r="G128" i="911"/>
  <c r="I128" i="911" s="1"/>
  <c r="G72" i="911"/>
  <c r="I72" i="911" s="1"/>
  <c r="K72" i="911"/>
  <c r="G202" i="911"/>
  <c r="I202" i="911" s="1"/>
  <c r="K202" i="911"/>
  <c r="K161" i="911"/>
  <c r="G161" i="911"/>
  <c r="I161" i="911" s="1"/>
  <c r="G268" i="911"/>
  <c r="I268" i="911" s="1"/>
  <c r="K268" i="911"/>
  <c r="K249" i="911"/>
  <c r="G249" i="911"/>
  <c r="I249" i="911" s="1"/>
  <c r="G125" i="911"/>
  <c r="I125" i="911" s="1"/>
  <c r="K125" i="911"/>
  <c r="G344" i="911"/>
  <c r="I344" i="911" s="1"/>
  <c r="K344" i="911"/>
  <c r="G402" i="911"/>
  <c r="I402" i="911" s="1"/>
  <c r="K402" i="911"/>
  <c r="G262" i="911"/>
  <c r="I262" i="911" s="1"/>
  <c r="K262" i="911"/>
  <c r="K345" i="911"/>
  <c r="G345" i="911"/>
  <c r="I345" i="911" s="1"/>
  <c r="K325" i="911"/>
  <c r="G325" i="911"/>
  <c r="I325" i="911" s="1"/>
  <c r="G109" i="911"/>
  <c r="I109" i="911" s="1"/>
  <c r="K109" i="911"/>
  <c r="G392" i="911"/>
  <c r="I392" i="911" s="1"/>
  <c r="K392" i="911"/>
  <c r="K192" i="911"/>
  <c r="G192" i="911"/>
  <c r="I192" i="911" s="1"/>
  <c r="G373" i="911"/>
  <c r="I373" i="911" s="1"/>
  <c r="K373" i="911"/>
  <c r="K404" i="911"/>
  <c r="G404" i="911"/>
  <c r="I404" i="911" s="1"/>
  <c r="G337" i="911"/>
  <c r="I337" i="911" s="1"/>
  <c r="K337" i="911"/>
  <c r="K121" i="911"/>
  <c r="G121" i="911"/>
  <c r="I121" i="911" s="1"/>
  <c r="G323" i="911"/>
  <c r="I323" i="911" s="1"/>
  <c r="K323" i="911"/>
  <c r="G131" i="911"/>
  <c r="I131" i="911" s="1"/>
  <c r="K131" i="911"/>
  <c r="G331" i="911"/>
  <c r="I331" i="911" s="1"/>
  <c r="K331" i="911"/>
  <c r="G283" i="911"/>
  <c r="I283" i="911" s="1"/>
  <c r="K283" i="911"/>
  <c r="K207" i="911"/>
  <c r="G207" i="911"/>
  <c r="I207" i="911" s="1"/>
  <c r="G43" i="911"/>
  <c r="I43" i="911" s="1"/>
  <c r="K43" i="911"/>
  <c r="K156" i="911"/>
  <c r="G156" i="911"/>
  <c r="I156" i="911" s="1"/>
  <c r="G388" i="911"/>
  <c r="I388" i="911" s="1"/>
  <c r="K388" i="911"/>
  <c r="K106" i="911"/>
  <c r="G106" i="911"/>
  <c r="I106" i="911" s="1"/>
  <c r="G171" i="911"/>
  <c r="I171" i="911" s="1"/>
  <c r="K171" i="911"/>
  <c r="K157" i="911"/>
  <c r="G157" i="911"/>
  <c r="I157" i="911" s="1"/>
  <c r="G58" i="911"/>
  <c r="I58" i="911" s="1"/>
  <c r="K58" i="911"/>
  <c r="K60" i="911"/>
  <c r="G60" i="911"/>
  <c r="I60" i="911" s="1"/>
  <c r="G346" i="911"/>
  <c r="I346" i="911" s="1"/>
  <c r="K346" i="911"/>
  <c r="G133" i="911"/>
  <c r="I133" i="911" s="1"/>
  <c r="K133" i="911"/>
  <c r="G165" i="911"/>
  <c r="I165" i="911" s="1"/>
  <c r="K165" i="911"/>
  <c r="K350" i="911"/>
  <c r="G350" i="911"/>
  <c r="I350" i="911" s="1"/>
  <c r="G304" i="911"/>
  <c r="I304" i="911" s="1"/>
  <c r="K304" i="911"/>
  <c r="K135" i="911"/>
  <c r="G135" i="911"/>
  <c r="I135" i="911" s="1"/>
  <c r="K93" i="911"/>
  <c r="G93" i="911"/>
  <c r="I93" i="911" s="1"/>
  <c r="G14" i="911"/>
  <c r="I14" i="911" s="1"/>
  <c r="K14" i="911"/>
  <c r="K21" i="911"/>
  <c r="G21" i="911"/>
  <c r="I21" i="911" s="1"/>
  <c r="G84" i="911"/>
  <c r="I84" i="911" s="1"/>
  <c r="K84" i="911"/>
  <c r="K218" i="911"/>
  <c r="G218" i="911"/>
  <c r="I218" i="911" s="1"/>
  <c r="G167" i="911"/>
  <c r="I167" i="911" s="1"/>
  <c r="K167" i="911"/>
  <c r="G183" i="911"/>
  <c r="I183" i="911" s="1"/>
  <c r="K183" i="911"/>
  <c r="G182" i="911"/>
  <c r="I182" i="911" s="1"/>
  <c r="K182" i="911"/>
  <c r="G70" i="911"/>
  <c r="I70" i="911" s="1"/>
  <c r="K70" i="911"/>
  <c r="G315" i="911"/>
  <c r="I315" i="911" s="1"/>
  <c r="K315" i="911"/>
  <c r="G363" i="911"/>
  <c r="I363" i="911" s="1"/>
  <c r="K363" i="911"/>
  <c r="G349" i="911"/>
  <c r="I349" i="911" s="1"/>
  <c r="K349" i="911"/>
  <c r="K320" i="911"/>
  <c r="G320" i="911"/>
  <c r="I320" i="911" s="1"/>
  <c r="K143" i="911"/>
  <c r="G143" i="911"/>
  <c r="I143" i="911" s="1"/>
  <c r="K195" i="911"/>
  <c r="G195" i="911"/>
  <c r="I195" i="911" s="1"/>
  <c r="K377" i="911"/>
  <c r="G377" i="911"/>
  <c r="I377" i="911" s="1"/>
  <c r="K191" i="911"/>
  <c r="G191" i="911"/>
  <c r="I191" i="911" s="1"/>
  <c r="G339" i="911"/>
  <c r="I339" i="911" s="1"/>
  <c r="K339" i="911"/>
  <c r="G215" i="911"/>
  <c r="I215" i="911" s="1"/>
  <c r="K215" i="911"/>
  <c r="G68" i="911"/>
  <c r="I68" i="911" s="1"/>
  <c r="K68" i="911"/>
  <c r="K175" i="911"/>
  <c r="G175" i="911"/>
  <c r="I175" i="911" s="1"/>
  <c r="G51" i="911"/>
  <c r="I51" i="911" s="1"/>
  <c r="K51" i="911"/>
  <c r="K56" i="911"/>
  <c r="G56" i="911"/>
  <c r="I56" i="911" s="1"/>
  <c r="K116" i="911"/>
  <c r="G116" i="911"/>
  <c r="I116" i="911" s="1"/>
  <c r="K48" i="911"/>
  <c r="G48" i="911"/>
  <c r="I48" i="911" s="1"/>
  <c r="K54" i="911"/>
  <c r="G54" i="911"/>
  <c r="I54" i="911" s="1"/>
  <c r="K305" i="911"/>
  <c r="G305" i="911"/>
  <c r="I305" i="911" s="1"/>
  <c r="K40" i="911"/>
  <c r="G40" i="911"/>
  <c r="I40" i="911" s="1"/>
  <c r="K244" i="911"/>
  <c r="G244" i="911"/>
  <c r="I244" i="911" s="1"/>
  <c r="G117" i="911"/>
  <c r="I117" i="911" s="1"/>
  <c r="K117" i="911"/>
  <c r="K266" i="911"/>
  <c r="G266" i="911"/>
  <c r="I266" i="911" s="1"/>
  <c r="K389" i="911"/>
  <c r="G389" i="911"/>
  <c r="I389" i="911" s="1"/>
  <c r="K177" i="911"/>
  <c r="G177" i="911"/>
  <c r="I177" i="911" s="1"/>
  <c r="K35" i="911"/>
  <c r="G35" i="911"/>
  <c r="I35" i="911" s="1"/>
  <c r="K241" i="911"/>
  <c r="G241" i="911"/>
  <c r="I241" i="911" s="1"/>
  <c r="K282" i="911"/>
  <c r="G282" i="911"/>
  <c r="I282" i="911" s="1"/>
  <c r="G25" i="911"/>
  <c r="I25" i="911" s="1"/>
  <c r="K25" i="911"/>
  <c r="G278" i="911"/>
  <c r="I278" i="911" s="1"/>
  <c r="K278" i="911"/>
  <c r="K327" i="911"/>
  <c r="G327" i="911"/>
  <c r="I327" i="911" s="1"/>
  <c r="K158" i="911"/>
  <c r="G158" i="911"/>
  <c r="I158" i="911" s="1"/>
  <c r="K71" i="911"/>
  <c r="G71" i="911"/>
  <c r="I71" i="911" s="1"/>
  <c r="G147" i="911"/>
  <c r="I147" i="911" s="1"/>
  <c r="K147" i="911"/>
  <c r="K122" i="911"/>
  <c r="G122" i="911"/>
  <c r="I122" i="911" s="1"/>
  <c r="K328" i="911"/>
  <c r="G328" i="911"/>
  <c r="I328" i="911" s="1"/>
  <c r="G102" i="911"/>
  <c r="I102" i="911" s="1"/>
  <c r="K102" i="911"/>
  <c r="G297" i="911"/>
  <c r="I297" i="911" s="1"/>
  <c r="K297" i="911"/>
  <c r="G12" i="911"/>
  <c r="I12" i="911" s="1"/>
  <c r="K12" i="911"/>
  <c r="G118" i="911"/>
  <c r="I118" i="911" s="1"/>
  <c r="K118" i="911"/>
  <c r="G150" i="911"/>
  <c r="I150" i="911" s="1"/>
  <c r="K150" i="911"/>
  <c r="K97" i="911"/>
  <c r="G97" i="911"/>
  <c r="I97" i="911" s="1"/>
  <c r="G308" i="911"/>
  <c r="I308" i="911" s="1"/>
  <c r="K308" i="911"/>
  <c r="K173" i="911"/>
  <c r="G173" i="911"/>
  <c r="I173" i="911" s="1"/>
  <c r="K148" i="911"/>
  <c r="G148" i="911"/>
  <c r="I148" i="911" s="1"/>
  <c r="K140" i="911"/>
  <c r="G140" i="911"/>
  <c r="I140" i="911" s="1"/>
  <c r="K256" i="911"/>
  <c r="G256" i="911"/>
  <c r="I256" i="911" s="1"/>
  <c r="K246" i="911"/>
  <c r="G246" i="911"/>
  <c r="I246" i="911" s="1"/>
  <c r="G113" i="911"/>
  <c r="I113" i="911" s="1"/>
  <c r="K113" i="911"/>
  <c r="G263" i="911"/>
  <c r="I263" i="911" s="1"/>
  <c r="K263" i="911"/>
  <c r="G335" i="911"/>
  <c r="I335" i="911" s="1"/>
  <c r="K335" i="911"/>
  <c r="G343" i="911"/>
  <c r="I343" i="911" s="1"/>
  <c r="K343" i="911"/>
  <c r="K100" i="911"/>
  <c r="G100" i="911"/>
  <c r="I100" i="911" s="1"/>
  <c r="G216" i="911"/>
  <c r="I216" i="911" s="1"/>
  <c r="K216" i="911"/>
  <c r="K324" i="911"/>
  <c r="G324" i="911"/>
  <c r="I324" i="911" s="1"/>
  <c r="G299" i="911"/>
  <c r="I299" i="911" s="1"/>
  <c r="K299" i="911"/>
  <c r="K330" i="911"/>
  <c r="G330" i="911"/>
  <c r="I330" i="911" s="1"/>
  <c r="K169" i="911"/>
  <c r="G169" i="911"/>
  <c r="I169" i="911" s="1"/>
  <c r="K30" i="911"/>
  <c r="G30" i="911"/>
  <c r="I30" i="911" s="1"/>
  <c r="G321" i="911"/>
  <c r="I321" i="911" s="1"/>
  <c r="K321" i="911"/>
  <c r="K110" i="911"/>
  <c r="G110" i="911"/>
  <c r="I110" i="911" s="1"/>
  <c r="G115" i="911"/>
  <c r="I115" i="911" s="1"/>
  <c r="K115" i="911"/>
  <c r="G94" i="911"/>
  <c r="I94" i="911" s="1"/>
  <c r="K94" i="911"/>
  <c r="G372" i="911"/>
  <c r="I372" i="911" s="1"/>
  <c r="K372" i="911"/>
  <c r="K186" i="911"/>
  <c r="G186" i="911"/>
  <c r="I186" i="911" s="1"/>
  <c r="K226" i="911"/>
  <c r="G226" i="911"/>
  <c r="I226" i="911" s="1"/>
  <c r="K42" i="911"/>
  <c r="G42" i="911"/>
  <c r="I42" i="911" s="1"/>
  <c r="K359" i="911"/>
  <c r="G359" i="911"/>
  <c r="I359" i="911" s="1"/>
  <c r="G105" i="911"/>
  <c r="I105" i="911" s="1"/>
  <c r="K105" i="911"/>
  <c r="K253" i="911"/>
  <c r="G253" i="911"/>
  <c r="I253" i="911" s="1"/>
  <c r="K319" i="911"/>
  <c r="G319" i="911"/>
  <c r="I319" i="911" s="1"/>
  <c r="G59" i="911"/>
  <c r="I59" i="911" s="1"/>
  <c r="K59" i="911"/>
  <c r="G277" i="911"/>
  <c r="I277" i="911" s="1"/>
  <c r="K277" i="911"/>
  <c r="K232" i="911"/>
  <c r="G232" i="911"/>
  <c r="I232" i="911" s="1"/>
  <c r="G307" i="911"/>
  <c r="I307" i="911" s="1"/>
  <c r="K307" i="911"/>
  <c r="K370" i="911"/>
  <c r="G370" i="911"/>
  <c r="I370" i="911" s="1"/>
  <c r="K50" i="911"/>
  <c r="G50" i="911"/>
  <c r="I50" i="911" s="1"/>
  <c r="G187" i="911"/>
  <c r="I187" i="911" s="1"/>
  <c r="K187" i="911"/>
  <c r="G257" i="911"/>
  <c r="I257" i="911" s="1"/>
  <c r="K257" i="911"/>
  <c r="K199" i="911"/>
  <c r="G199" i="911"/>
  <c r="I199" i="911" s="1"/>
  <c r="G397" i="911"/>
  <c r="I397" i="911" s="1"/>
  <c r="K397" i="911"/>
  <c r="G390" i="911"/>
  <c r="I390" i="911" s="1"/>
  <c r="K390" i="911"/>
  <c r="K290" i="911"/>
  <c r="G290" i="911"/>
  <c r="I290" i="911" s="1"/>
  <c r="K160" i="911"/>
  <c r="G160" i="911"/>
  <c r="I160" i="911" s="1"/>
  <c r="G114" i="911"/>
  <c r="I114" i="911" s="1"/>
  <c r="K114" i="911"/>
  <c r="G96" i="911"/>
  <c r="I96" i="911" s="1"/>
  <c r="K96" i="911"/>
  <c r="G16" i="911"/>
  <c r="I16" i="911" s="1"/>
  <c r="K16" i="911"/>
  <c r="K104" i="911"/>
  <c r="G104" i="911"/>
  <c r="I104" i="911" s="1"/>
  <c r="K234" i="911"/>
  <c r="G234" i="911"/>
  <c r="I234" i="911" s="1"/>
  <c r="K184" i="911"/>
  <c r="G184" i="911"/>
  <c r="I184" i="911" s="1"/>
  <c r="K193" i="911"/>
  <c r="G193" i="911"/>
  <c r="I193" i="911" s="1"/>
  <c r="K254" i="911"/>
  <c r="G254" i="911"/>
  <c r="I254" i="911" s="1"/>
  <c r="K44" i="911"/>
  <c r="G44" i="911"/>
  <c r="I44" i="911" s="1"/>
  <c r="K291" i="911"/>
  <c r="G291" i="911"/>
  <c r="I291" i="911" s="1"/>
  <c r="K17" i="911"/>
  <c r="G17" i="911"/>
  <c r="I17" i="911" s="1"/>
  <c r="G342" i="911"/>
  <c r="I342" i="911" s="1"/>
  <c r="K342" i="911"/>
  <c r="G239" i="911"/>
  <c r="I239" i="911" s="1"/>
  <c r="K239" i="911"/>
  <c r="K361" i="911"/>
  <c r="G361" i="911"/>
  <c r="I361" i="911" s="1"/>
  <c r="K10" i="911"/>
  <c r="M6" i="911"/>
  <c r="G10" i="911"/>
  <c r="I10" i="911" s="1"/>
  <c r="G201" i="911"/>
  <c r="I201" i="911" s="1"/>
  <c r="K201" i="911"/>
  <c r="K354" i="911"/>
  <c r="G354" i="911"/>
  <c r="I354" i="911" s="1"/>
  <c r="K355" i="911"/>
  <c r="G355" i="911"/>
  <c r="I355" i="911" s="1"/>
  <c r="K91" i="911"/>
  <c r="G91" i="911"/>
  <c r="I91" i="911" s="1"/>
  <c r="K204" i="911"/>
  <c r="G204" i="911"/>
  <c r="I204" i="911" s="1"/>
  <c r="K203" i="911"/>
  <c r="G203" i="911"/>
  <c r="I203" i="911" s="1"/>
  <c r="K112" i="911"/>
  <c r="G112" i="911"/>
  <c r="I112" i="911" s="1"/>
  <c r="K384" i="911"/>
  <c r="G384" i="911"/>
  <c r="I384" i="911" s="1"/>
  <c r="K292" i="911"/>
  <c r="G292" i="911"/>
  <c r="I292" i="911" s="1"/>
  <c r="K74" i="911"/>
  <c r="G74" i="911"/>
  <c r="I74" i="911" s="1"/>
  <c r="K400" i="911"/>
  <c r="G400" i="911"/>
  <c r="I400" i="911" s="1"/>
  <c r="K126" i="911"/>
  <c r="G126" i="911"/>
  <c r="I126" i="911" s="1"/>
  <c r="K111" i="911"/>
  <c r="G111" i="911"/>
  <c r="I111" i="911" s="1"/>
  <c r="K230" i="911"/>
  <c r="G230" i="911"/>
  <c r="I230" i="911" s="1"/>
  <c r="G265" i="911"/>
  <c r="I265" i="911" s="1"/>
  <c r="K265" i="911"/>
  <c r="K228" i="911"/>
  <c r="G228" i="911"/>
  <c r="I228" i="911" s="1"/>
  <c r="K172" i="911"/>
  <c r="G172" i="911"/>
  <c r="I172" i="911" s="1"/>
  <c r="G151" i="911"/>
  <c r="I151" i="911" s="1"/>
  <c r="K151" i="911"/>
  <c r="K399" i="911"/>
  <c r="G399" i="911"/>
  <c r="I399" i="911" s="1"/>
  <c r="G303" i="911"/>
  <c r="I303" i="911" s="1"/>
  <c r="K303" i="911"/>
  <c r="K208" i="911"/>
  <c r="G208" i="911"/>
  <c r="I208" i="911" s="1"/>
  <c r="K185" i="911"/>
  <c r="G185" i="911"/>
  <c r="I185" i="911" s="1"/>
  <c r="L24" i="55" l="1"/>
  <c r="L5" i="55"/>
  <c r="C11" i="55"/>
  <c r="L11" i="55" s="1"/>
  <c r="L10" i="55"/>
  <c r="E6" i="55"/>
  <c r="U2" i="56" s="1"/>
  <c r="C6" i="55"/>
  <c r="B6" i="55"/>
  <c r="D6" i="55"/>
  <c r="T2" i="56" s="1"/>
  <c r="B3" i="55"/>
  <c r="F34" i="53"/>
  <c r="F45" i="53" s="1"/>
  <c r="D45" i="53"/>
  <c r="C618" i="953"/>
  <c r="C573" i="953"/>
  <c r="C693" i="953"/>
  <c r="C723" i="953"/>
  <c r="C708" i="953"/>
  <c r="C783" i="953"/>
  <c r="C768" i="953"/>
  <c r="C678" i="953"/>
  <c r="C753" i="953"/>
  <c r="C738" i="953"/>
  <c r="C633" i="953"/>
  <c r="C648" i="953"/>
  <c r="C603" i="953"/>
  <c r="C663" i="953"/>
  <c r="C558" i="953"/>
  <c r="C588" i="953"/>
  <c r="L19" i="55"/>
  <c r="C604" i="953"/>
  <c r="C619" i="953"/>
  <c r="C559" i="953"/>
  <c r="C754" i="953"/>
  <c r="C724" i="953"/>
  <c r="C664" i="953"/>
  <c r="C574" i="953"/>
  <c r="C649" i="953"/>
  <c r="C784" i="953"/>
  <c r="C739" i="953"/>
  <c r="C634" i="953"/>
  <c r="C694" i="953"/>
  <c r="C679" i="953"/>
  <c r="C709" i="953"/>
  <c r="C589" i="953"/>
  <c r="C663" i="952"/>
  <c r="C603" i="952"/>
  <c r="C753" i="952"/>
  <c r="C558" i="952"/>
  <c r="C723" i="952"/>
  <c r="C648" i="952"/>
  <c r="C768" i="952"/>
  <c r="C708" i="952"/>
  <c r="C738" i="952"/>
  <c r="C573" i="952"/>
  <c r="C588" i="952"/>
  <c r="C618" i="952"/>
  <c r="C693" i="952"/>
  <c r="C783" i="952"/>
  <c r="C678" i="952"/>
  <c r="C633" i="952"/>
  <c r="C589" i="952"/>
  <c r="C604" i="952"/>
  <c r="C679" i="952"/>
  <c r="C694" i="952"/>
  <c r="C634" i="952"/>
  <c r="C619" i="952"/>
  <c r="C664" i="952"/>
  <c r="C724" i="952"/>
  <c r="C649" i="952"/>
  <c r="C784" i="952"/>
  <c r="C559" i="952"/>
  <c r="C739" i="952"/>
  <c r="C574" i="952"/>
  <c r="C709" i="952"/>
  <c r="C754" i="952"/>
  <c r="F44" i="55"/>
  <c r="E44" i="55"/>
  <c r="D44" i="55"/>
  <c r="H44" i="55"/>
  <c r="G44" i="55"/>
  <c r="I409" i="911"/>
  <c r="D25" i="55" l="1"/>
  <c r="C25" i="55"/>
  <c r="E25" i="55"/>
  <c r="G25" i="55"/>
  <c r="H25" i="55"/>
  <c r="S2" i="56"/>
  <c r="AB2" i="56" s="1"/>
  <c r="AM2" i="56" s="1"/>
  <c r="AN2" i="56" s="1"/>
  <c r="AO2" i="56" s="1"/>
  <c r="L6" i="55"/>
  <c r="L44" i="55"/>
  <c r="C20" i="55"/>
  <c r="G20" i="55"/>
  <c r="F20" i="55"/>
  <c r="D20" i="55"/>
  <c r="E20" i="55"/>
  <c r="H20" i="55"/>
  <c r="L25" i="55" l="1"/>
  <c r="P36" i="53" s="1"/>
  <c r="L20" i="55"/>
  <c r="P35" i="53" s="1"/>
  <c r="E45" i="55"/>
  <c r="E46" i="55" s="1"/>
  <c r="U10" i="56" s="1"/>
  <c r="G45" i="55"/>
  <c r="G46" i="55" s="1"/>
  <c r="W10" i="56" s="1"/>
  <c r="C45" i="55"/>
  <c r="D45" i="55"/>
  <c r="D46" i="55" s="1"/>
  <c r="T10" i="56" s="1"/>
  <c r="H45" i="55"/>
  <c r="H46" i="55" s="1"/>
  <c r="X10" i="56" s="1"/>
  <c r="F45" i="55"/>
  <c r="F46" i="55" s="1"/>
  <c r="V10" i="56" s="1"/>
  <c r="M26" i="55" l="1"/>
  <c r="R36" i="53"/>
  <c r="C46" i="55"/>
  <c r="L45" i="55"/>
  <c r="R35" i="53"/>
  <c r="R45" i="53" s="1"/>
  <c r="M21" i="55"/>
  <c r="P45" i="53"/>
  <c r="L26" i="55" l="1"/>
  <c r="C26" i="55"/>
  <c r="S4" i="56" s="1"/>
  <c r="G26" i="55"/>
  <c r="W4" i="56" s="1"/>
  <c r="B23" i="55"/>
  <c r="H26" i="55"/>
  <c r="X4" i="56" s="1"/>
  <c r="B26" i="55"/>
  <c r="D26" i="55"/>
  <c r="T4" i="56" s="1"/>
  <c r="E26" i="55"/>
  <c r="U4" i="56" s="1"/>
  <c r="C21" i="55"/>
  <c r="B18" i="55"/>
  <c r="D21" i="55"/>
  <c r="T3" i="56" s="1"/>
  <c r="H21" i="55"/>
  <c r="X3" i="56" s="1"/>
  <c r="B21" i="55"/>
  <c r="G21" i="55"/>
  <c r="W3" i="56" s="1"/>
  <c r="E21" i="55"/>
  <c r="U3" i="56" s="1"/>
  <c r="F21" i="55"/>
  <c r="V3" i="56" s="1"/>
  <c r="S10" i="56"/>
  <c r="AB10" i="56" s="1"/>
  <c r="AM10" i="56" s="1"/>
  <c r="L46" i="55"/>
  <c r="AB4" i="56" l="1"/>
  <c r="AM4" i="56" s="1"/>
  <c r="AN4" i="56" s="1"/>
  <c r="AO4" i="56" s="1"/>
  <c r="AL10" i="56"/>
  <c r="AN10" i="56"/>
  <c r="AO10" i="56" s="1"/>
  <c r="S3" i="56"/>
  <c r="AB3" i="56" s="1"/>
  <c r="AM3" i="56" s="1"/>
  <c r="AN3" i="56" s="1"/>
  <c r="AO3" i="56" s="1"/>
  <c r="L21" i="55"/>
</calcChain>
</file>

<file path=xl/comments1.xml><?xml version="1.0" encoding="utf-8"?>
<comments xmlns="http://schemas.openxmlformats.org/spreadsheetml/2006/main">
  <authors>
    <author>Потовой Сергей</author>
  </authors>
  <commentList>
    <comment ref="D66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Заполняется автоматоматически</t>
        </r>
      </text>
    </comment>
  </commentList>
</comments>
</file>

<file path=xl/comments10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11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12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13.xml><?xml version="1.0" encoding="utf-8"?>
<comments xmlns="http://schemas.openxmlformats.org/spreadsheetml/2006/main">
  <authors>
    <author>Потовой Сергей</author>
  </authors>
  <commentList>
    <comment ref="AB10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общий крепеж</t>
        </r>
      </text>
    </comment>
    <comment ref="AC10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сверх лимита</t>
        </r>
      </text>
    </comment>
    <comment ref="V418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текст изменен</t>
        </r>
      </text>
    </comment>
  </commentList>
</comments>
</file>

<file path=xl/comments14.xml><?xml version="1.0" encoding="utf-8"?>
<comments xmlns="http://schemas.openxmlformats.org/spreadsheetml/2006/main">
  <authors>
    <author>tolstov</author>
  </authors>
  <commentList>
    <comment ref="M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Служебный столбец значения кратности материалов</t>
        </r>
      </text>
    </comment>
    <comment ref="N5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Разная упаковка</t>
        </r>
      </text>
    </comment>
    <comment ref="N11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Разноцветный</t>
        </r>
      </text>
    </comment>
    <comment ref="N1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Разноцветный</t>
        </r>
      </text>
    </comment>
    <comment ref="N30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Разные кратности</t>
        </r>
      </text>
    </comment>
    <comment ref="N39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Разноцветный</t>
        </r>
      </text>
    </comment>
    <comment ref="N40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Разноцветный</t>
        </r>
      </text>
    </comment>
  </commentList>
</comments>
</file>

<file path=xl/comments15.xml><?xml version="1.0" encoding="utf-8"?>
<comments xmlns="http://schemas.openxmlformats.org/spreadsheetml/2006/main">
  <authors>
    <author>tolstov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ознакомления с правилами выполнения расчетов в ПРЦ пройдите по гиперссылке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ввода примечаний по расчету</t>
        </r>
      </text>
    </comment>
    <comment ref="B1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ТИП1,2,3… - Участки, на которые делится кровля при расчете кол-ва материалов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участка кровли за вычетом ответстий</t>
        </r>
      </text>
    </comment>
    <comment ref="F1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основного слоя утеплителя</t>
        </r>
      </text>
    </comment>
    <comment ref="G1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Клиновидные плиты основного уклона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Клиновидные плиты контруклона</t>
        </r>
      </text>
    </comment>
    <comment ref="Q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Ячейка для выбора типа реек на ПВХ кровлях. Если Суммарная площадь ПВХ кровель меньше 1000 - рейка ПРО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B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перехода по ссылке нажмите на ячейку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перехода по ссылке нажмите на ячейку</t>
        </r>
      </text>
    </comment>
    <comment ref="B3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перехода по ссылке нажмите на ячейку</t>
        </r>
      </text>
    </comment>
    <comment ref="B3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ТИП1,2,3… - Участки, на которые делится кровля при расчете кол-ва материалов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Площадь участка кровли за вычетом ответстий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ТИП1,2,3… - Участки, на которые делится кровля при расчете кол-ва материалов</t>
        </r>
      </text>
    </comment>
    <comment ref="C5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Площадь участка кровли за вычетом ответстий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ТИП1,2,3… - Участки, на которые делится кровля при расчете кол-ва материалов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Крепеж</t>
        </r>
      </text>
    </comment>
    <comment ref="B7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ТИП1,2,3… - Участки, на которые делится кровля при расчете кол-ва материалов</t>
        </r>
      </text>
    </comment>
    <comment ref="I7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Ниже настроены гиперссылки на общий вид устройства примыканий</t>
        </r>
      </text>
    </comment>
    <comment ref="Q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Z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AA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8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9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11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1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1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18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20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21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Q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Имя</t>
        </r>
      </text>
    </comment>
    <comment ref="R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S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Длина</t>
        </r>
      </text>
    </comment>
    <comment ref="T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U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V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W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Y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примыкания</t>
        </r>
      </text>
    </comment>
    <comment ref="AA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Ширина</t>
        </r>
      </text>
    </comment>
    <comment ref="AB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</t>
        </r>
      </text>
    </comment>
    <comment ref="AC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Нут</t>
        </r>
      </text>
    </comment>
    <comment ref="AD23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tут</t>
        </r>
      </text>
    </comment>
    <comment ref="C25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ниже разъясняет чему указана кратность в таблице общей спецификации</t>
        </r>
      </text>
    </comment>
  </commentList>
</comments>
</file>

<file path=xl/comments16.xml><?xml version="1.0" encoding="utf-8"?>
<comments xmlns="http://schemas.openxmlformats.org/spreadsheetml/2006/main">
  <authors>
    <author>Потовой Сергей</author>
    <author>tolstov</author>
  </authors>
  <commentList>
    <comment ref="O1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только для клинов
</t>
        </r>
      </text>
    </comment>
    <comment ref="AH1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КОГДА "РТП" дб пусто
</t>
        </r>
      </text>
    </comment>
    <comment ref="BN1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забирать с типа 1</t>
        </r>
      </text>
    </comment>
  </commentList>
</comments>
</file>

<file path=xl/comments17.xml><?xml version="1.0" encoding="utf-8"?>
<comments xmlns="http://schemas.openxmlformats.org/spreadsheetml/2006/main">
  <authors>
    <author>Потовой Сергей</author>
  </authors>
  <commentList>
    <comment ref="Q4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 таблица, для подсчета стоимости затрат по расчету клинов</t>
        </r>
      </text>
    </comment>
    <comment ref="AC5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клинов</t>
        </r>
      </text>
    </comment>
    <comment ref="AD5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количество элементов
</t>
        </r>
      </text>
    </comment>
    <comment ref="AC6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отвечает за столбец при подборе стоимости
зависит от площади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количество типов кровель с клинами ,шт.</t>
        </r>
      </text>
    </comment>
    <comment ref="AC7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отвечает за строку при подборе стоимости
зависит от количества элементов клиновидной изоляции.</t>
        </r>
      </text>
    </comment>
    <comment ref="AC8" authorId="0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стоимость расчета клинов</t>
        </r>
      </text>
    </comment>
  </commentList>
</comments>
</file>

<file path=xl/comments2.xml><?xml version="1.0" encoding="utf-8"?>
<comments xmlns="http://schemas.openxmlformats.org/spreadsheetml/2006/main">
  <authors>
    <author>Пользователь Windows</author>
    <author>tolstov</author>
    <author>Потовой Сергей</author>
  </authors>
  <commentLis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ВАЖНО!Вводить номер заявки из письма. </t>
        </r>
      </text>
    </comment>
    <comment ref="C8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Промокод из заявки (если есть)</t>
        </r>
      </text>
    </comment>
    <comment ref="C15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Телефон</t>
        </r>
      </text>
    </comment>
    <comment ref="E15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Почта</t>
        </r>
      </text>
    </comment>
    <comment ref="C20" authorId="2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автоматом</t>
        </r>
      </text>
    </comment>
    <comment ref="D26" authorId="2" shapeId="0">
      <text>
        <r>
          <rPr>
            <b/>
            <sz val="9"/>
            <color indexed="81"/>
            <rFont val="Tahoma"/>
            <family val="2"/>
            <charset val="204"/>
          </rPr>
          <t>Считается автоматом</t>
        </r>
      </text>
    </comment>
    <comment ref="J27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выпадающего списка причину перерасчёта</t>
        </r>
      </text>
    </comment>
    <comment ref="O34" authorId="2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СЧИТАЕТ АВТОМАТОМ</t>
        </r>
      </text>
    </comment>
    <comment ref="N37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Указываем количество ветровых расчетов ПМ, выполненных в калькуляторе</t>
        </r>
      </text>
    </comment>
    <comment ref="N38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Указываем количество ветровых расчетов РМ, выполненных в калькуляторе</t>
        </r>
      </text>
    </comment>
    <comment ref="O39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ТУТ ВЫБИРАЕМ КОЛИЧЕСТВО РАСЧЕТОВ ТЕПЛОТЕХНИКИ. СЛОЖНОСТЬ У ВСЕХ ОДИНАКОВАЯ
</t>
        </r>
        <r>
          <rPr>
            <sz val="9"/>
            <color indexed="81"/>
            <rFont val="Tahoma"/>
            <family val="2"/>
            <charset val="204"/>
          </rPr>
          <t xml:space="preserve">
ПРИСУТСТВИЕ СБЕ ЗАПОЛНЯЕМ ВРУЧНУЮ. 
СМ ==========&gt;</t>
        </r>
      </text>
    </comment>
    <comment ref="O41" authorId="2" shapeId="0">
      <text>
        <r>
          <rPr>
            <b/>
            <sz val="9"/>
            <color indexed="81"/>
            <rFont val="Tahoma"/>
            <family val="2"/>
            <charset val="204"/>
          </rPr>
          <t>ТУТ ВЫБИРАЕМ КОЛИЧЕСТВО РАСЧЕТОВ ТЕПЛОТЕХНИКИ. СЛОЖНОСТЬ У ВСЕХ ОДИНАКОВАЯ</t>
        </r>
      </text>
    </comment>
    <comment ref="O43" authorId="2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СЧИТАЕТ АВТОМАТОМ</t>
        </r>
      </text>
    </comment>
    <comment ref="O44" authorId="2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СЧИТАЕТ АВТОМАТОМ</t>
        </r>
      </text>
    </comment>
    <comment ref="N80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ПМ</t>
        </r>
      </text>
    </comment>
    <comment ref="O80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РМ</t>
        </r>
      </text>
    </comment>
    <comment ref="P80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расчёта "анализ"
считает от общей площади</t>
        </r>
      </text>
    </comment>
    <comment ref="N83" authorId="2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плоских кровель</t>
        </r>
      </text>
    </comment>
    <comment ref="O83" authorId="2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клинов
</t>
        </r>
      </text>
    </comment>
    <comment ref="N84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К-т ветровой ПМ</t>
        </r>
      </text>
    </comment>
    <comment ref="O84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К-т ветровой РМ</t>
        </r>
      </text>
    </comment>
    <comment ref="N85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БРМ участков</t>
        </r>
      </text>
    </comment>
    <comment ref="N86" authorId="1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ПВХ участков</t>
        </r>
      </text>
    </comment>
  </commentList>
</comments>
</file>

<file path=xl/comments3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4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F4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5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6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7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8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comments9.xml><?xml version="1.0" encoding="utf-8"?>
<comments xmlns="http://schemas.openxmlformats.org/spreadsheetml/2006/main">
  <authors>
    <author>tolstov</author>
    <author>Потовой Сергей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расчета количества ограждений.
Объекты ФЗ-44 - школы, садики, больницы, поликлиники, интернаты, прочее
Объекты ПП-615 - многоквартирные дома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включения подсчета количества анкеров для самореза 6.3.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КРОВЛИ, М2</t>
        </r>
      </text>
    </comment>
    <comment ref="Q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ТОЛЩИНА ОСНОВНОЙ ИЗОЛЯЦИИ, ММ</t>
        </r>
      </text>
    </comment>
    <comment ref="S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ОСНОВНОГО УКЛОНА </t>
        </r>
      </text>
    </comment>
    <comment ref="U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ГИДРОИЗОЛЯЦИИ.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Указывать тип ГИ ТОЛЬКО в том случае если выполняетяся ПОЛНЫЙ расчет кол-ва материалов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Расположение плит PIR КУ НАД слоями ОТИ 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из списка тип системы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Заполнить при выборе "Прочее" из списка систем</t>
        </r>
      </text>
    </comment>
    <comment ref="O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ПРИМЫКАНИЙ КО ВСЕМ ВЕРТИКАЛЬНЫМ ПОВЕРХНОСТЯМ, М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ТИП ОСНОВАНИЯ КРОВЛИ. ИСПОЛЬЗУЕТСЯ ДЛЯ ПОДБОРА КРЕПЕЖА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КЛИНОВИДНОЙ ИЗОЛЯЦИИ ДЛЯ КОНТРУКЛОНА</t>
        </r>
      </text>
    </comment>
    <comment ref="U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ВЫБРАТЬ, ВЫПОЛНЯТЬ РАСЧЕТ КРЕПЕЖА ИЛИ НЕТ.
В СЛУЧАЕ КРЕПЛЕНИЯ МЕМБРАНЫ В СТЯЖКУ ОСТАВЛЯЕМ ПАРАМЕТР </t>
        </r>
        <r>
          <rPr>
            <b/>
            <sz val="9"/>
            <color indexed="81"/>
            <rFont val="Tahoma"/>
            <family val="2"/>
            <charset val="204"/>
          </rPr>
          <t>"НЕТ"</t>
        </r>
      </text>
    </comment>
    <comment ref="V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выполняем расчет </t>
        </r>
        <r>
          <rPr>
            <b/>
            <sz val="9"/>
            <color indexed="81"/>
            <rFont val="Tahoma"/>
            <family val="2"/>
            <charset val="204"/>
          </rPr>
          <t>только клинов</t>
        </r>
        <r>
          <rPr>
            <sz val="9"/>
            <color indexed="81"/>
            <rFont val="Tahoma"/>
            <family val="2"/>
            <charset val="204"/>
          </rPr>
          <t xml:space="preserve">, то выбираем: </t>
        </r>
        <r>
          <rPr>
            <b/>
            <u/>
            <sz val="9"/>
            <color indexed="81"/>
            <rFont val="Tahoma"/>
            <family val="2"/>
            <charset val="204"/>
          </rPr>
          <t xml:space="preserve">КУ+ГИ, </t>
        </r>
        <r>
          <rPr>
            <sz val="9"/>
            <color indexed="81"/>
            <rFont val="Tahoma"/>
            <family val="2"/>
            <charset val="204"/>
          </rPr>
          <t>при необходимости мех. фиксации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контроля длины периметра с длиной примыканий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ЗАПОЛНЯЕМ ПРИ РАСЧЕТЕ УТЕПЛИТЕЛЯ В ГОФРАХ. ВВОДИМ ОБЩУЮ ДЛИНУ КОНЬКОВ И ЕНДОВ В М
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РАЗМЕР ПРОФЛИСТА</t>
        </r>
      </text>
    </comment>
    <comment ref="S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РАСЧЕТ ЗАКРЕПЛЯЕМОЙ ВЫСОТЫ КЛИНОВИДНОЙ ИЗОЛЯЦИИ
2 варианта: с учетом толщины ОТИ и без ее добавления. </t>
        </r>
      </text>
    </comment>
    <comment ref="T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БЕЗ ОТИ (н)- для подбора телескоп/ саморез используется выгрузка из клина 
+ОТИ (с)- к высоте крепежа добавляем толщину ОТИ</t>
        </r>
      </text>
    </comment>
    <comment ref="U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Материал основной теплоизоляции. Для подсчета крепежа.
В приоритете </t>
        </r>
        <r>
          <rPr>
            <b/>
            <sz val="9"/>
            <color indexed="81"/>
            <rFont val="Tahoma"/>
            <family val="2"/>
            <charset val="204"/>
          </rPr>
          <t>верхний слой</t>
        </r>
        <r>
          <rPr>
            <sz val="9"/>
            <color indexed="81"/>
            <rFont val="Tahoma"/>
            <family val="2"/>
            <charset val="204"/>
          </rPr>
          <t xml:space="preserve">. 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вспомогательные для отображения расчета утепленного парапета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отображения крепежа сборной стяжки на листе примыканий</t>
        </r>
      </text>
    </comment>
    <comment ref="AB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Блок для расчета объема заполнения гофр профлиста</t>
        </r>
      </text>
    </comment>
    <comment ref="AD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AD8:AD10 - коэффициенты запаса расхода паробарьера в зависимости от вида профлиста</t>
        </r>
      </text>
    </comment>
    <comment ref="AE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используется для надписи в названиях парапетов
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ПАРОИЗОЛЯЦИЮ</t>
        </r>
      </text>
    </comment>
    <comment ref="U12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данные ветрового расчета, по которым считает количество крепежа для гидроизоляции EXCEL. 
</t>
        </r>
        <r>
          <rPr>
            <b/>
            <sz val="10"/>
            <color indexed="81"/>
            <rFont val="Tahoma"/>
            <family val="2"/>
            <charset val="204"/>
          </rPr>
          <t>Если рассчитывается ОУ+КУ, или ОУ то:</t>
        </r>
        <r>
          <rPr>
            <sz val="10"/>
            <color indexed="81"/>
            <rFont val="Tahoma"/>
            <family val="2"/>
            <charset val="204"/>
          </rPr>
          <t xml:space="preserve">
Используется для подгона общего расхода крепежа. Значения берутся на основании ветрового расчета, если данных нет- по умолчанию  стартуем с 4-х. Затем подгоняется под требуемое значение (ячейка N21)
</t>
        </r>
        <r>
          <rPr>
            <b/>
            <sz val="10"/>
            <color indexed="81"/>
            <rFont val="Tahoma"/>
            <family val="2"/>
            <charset val="204"/>
          </rPr>
          <t xml:space="preserve">Если только КУ, то:
</t>
        </r>
        <r>
          <rPr>
            <sz val="10"/>
            <color indexed="81"/>
            <rFont val="Tahoma"/>
            <family val="2"/>
            <charset val="204"/>
          </rPr>
          <t>считаем стандартно. Либо 4 по умолчанию либо данные по ветровому расчету.
БОЛЬШЕ НИЧЕГО НЕ МЕНЯЕМ</t>
        </r>
      </text>
    </comment>
    <comment ref="AC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ПО ЛИСТАМ + ИТОГОВАЯ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 xml:space="preserve">Количество крепежа на 1 м2 только на КУ
</t>
        </r>
        <r>
          <rPr>
            <b/>
            <sz val="9"/>
            <color indexed="81"/>
            <rFont val="Tahoma"/>
            <family val="2"/>
            <charset val="204"/>
          </rPr>
          <t xml:space="preserve">Толстов 18/01/21 </t>
        </r>
        <r>
          <rPr>
            <sz val="9"/>
            <color indexed="81"/>
            <rFont val="Tahoma"/>
            <family val="2"/>
            <charset val="204"/>
          </rPr>
          <t>Изменил 6,5 на PIR на 3,4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подсчет количества типов кровель с клинами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сумма количества элементов ОУ и КУ</t>
        </r>
      </text>
    </comment>
    <comment ref="AF1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кровли с клинами</t>
        </r>
      </text>
    </comment>
    <comment ref="U14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СЧИТАЕТ КОРРЕКТНО только для одновременного построения ОУ+КУ или ОУ!!!!!!!!!!!!!!!!
</t>
        </r>
        <r>
          <rPr>
            <sz val="10"/>
            <color indexed="81"/>
            <rFont val="Tahoma"/>
            <family val="2"/>
            <charset val="204"/>
          </rPr>
          <t xml:space="preserve">
Для правильного отображения ОБЯЗАТЕЛЬНО ПОСЧИТАТЬ И ЗАПОЛНИТЬ данные по площади кровли. 
Считается на основании выгруженного крепежа по клинам. 
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ДАННЫЕ ПО ВЕТРОВОМУ РАСЧЕТУ</t>
        </r>
      </text>
    </comment>
    <comment ref="W14" authorId="1" shapeId="0">
      <text>
        <r>
          <rPr>
            <b/>
            <sz val="10"/>
            <color indexed="81"/>
            <rFont val="Tahoma"/>
            <family val="2"/>
            <charset val="204"/>
          </rPr>
          <t>Потовой Сергей:</t>
        </r>
        <r>
          <rPr>
            <sz val="10"/>
            <color indexed="81"/>
            <rFont val="Tahoma"/>
            <family val="2"/>
            <charset val="204"/>
          </rPr>
          <t xml:space="preserve">
Если делали ветровой расчет то вводим полученное значение, если нет оставляем 4 по умолчанию (согласно руководства по ПВХ).
</t>
        </r>
        <r>
          <rPr>
            <b/>
            <sz val="10"/>
            <color indexed="81"/>
            <rFont val="Tahoma"/>
            <family val="2"/>
            <charset val="204"/>
          </rPr>
          <t>По нему считается рекомендуемый расход крепежа для кровли</t>
        </r>
      </text>
    </comment>
    <comment ref="Y1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0,6*1,2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ТЕПЛОИЗОЛЯЦИЮ</t>
        </r>
      </text>
    </comment>
    <comment ref="AB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учавствует в расчете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коэф. От типа расчета</t>
        </r>
      </text>
    </comment>
    <comment ref="AD1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 от площади</t>
        </r>
      </text>
    </comment>
    <comment ref="U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ПРИ ОДНОВРЕМЕННОМ ПОСТРОЕНИИ ОУ+КУ или ОУ
</t>
        </r>
        <r>
          <rPr>
            <sz val="10"/>
            <color indexed="81"/>
            <rFont val="Tahoma"/>
            <family val="2"/>
            <charset val="204"/>
          </rPr>
          <t xml:space="preserve">
Не должно быть больше рекомендуемого значения. 
Меньше может.
Подгоняется к РЕКОМЕНДУЕМОМУ при помощи ячейки T11.</t>
        </r>
      </text>
    </comment>
    <comment ref="V1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РЕКОМЕНДАЦИИ ПО РАСХОДУ КРЕПЕЖА</t>
        </r>
      </text>
    </comment>
    <comment ref="W16" authorId="1" shapeId="0">
      <text>
        <r>
          <rPr>
            <b/>
            <sz val="10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10"/>
            <color indexed="81"/>
            <rFont val="Tahoma"/>
            <family val="2"/>
            <charset val="204"/>
          </rPr>
          <t xml:space="preserve">РЕКОМЕНДУЕМЫЙ РАСХОД КРЕПЕЖА ДЛЯ ВСЕЙ КРОВЛИ.
</t>
        </r>
        <r>
          <rPr>
            <b/>
            <sz val="10"/>
            <color indexed="81"/>
            <rFont val="Tahoma"/>
            <family val="2"/>
            <charset val="204"/>
          </rPr>
          <t>Толстов 18/01/21</t>
        </r>
        <r>
          <rPr>
            <sz val="10"/>
            <color indexed="81"/>
            <rFont val="Tahoma"/>
            <family val="2"/>
            <charset val="204"/>
          </rPr>
          <t xml:space="preserve">
Поменял 3,5 и 6,5 на 3,4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если считаем повторно, то для вычета стоимости клинов требуется удалить количество элементов из таблицы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вспомогательная. Необходимо для подсчетов типов кровель на общих данных</t>
        </r>
      </text>
    </comment>
    <comment ref="AJ2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Для листа Выгрузка</t>
        </r>
      </text>
    </comment>
    <comment ref="AF2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КУ КИ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 на БРМ кровлях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 заполнению исходных данных по воронкам, углам, дорожкам, негорючему материалу на ПВХ кровлях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БРМ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ПВХ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Не влезай. Убьет.
Для вывода сообщения о наличии крепежа стороннего производителя в листе примечаний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воронки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БРМ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Гиперссылка на заполнение исходных данных по примыканиям ПВХ</t>
        </r>
      </text>
    </comment>
    <comment ref="H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БРМ кровли</t>
        </r>
      </text>
    </comment>
    <comment ref="J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материалы ПВХ кровли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ССЫЛКА НА УТЕПЛЕННЫЙ ПАРАПЕТ</t>
        </r>
      </text>
    </comment>
    <comment ref="H62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ССЫЛКА НА КЛИНЫ</t>
        </r>
      </text>
    </comment>
    <comment ref="Q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ГИДРОИЗОЛЯЦИИ
</t>
        </r>
      </text>
    </comment>
    <comment ref="S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КРАЕВОЙ РЕЙКИ</t>
        </r>
      </text>
    </comment>
    <comment ref="T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ПРИЖИМНОЙ РЕЙКИ</t>
        </r>
      </text>
    </comment>
    <comment ref="U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ДЛИНА ПАРАПЕТА С ТАРЕЛЬЧАТЫМИ ЭЛЕМЕНТАМИ</t>
        </r>
      </text>
    </comment>
    <comment ref="V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ГЕОТЕКСТИЛЬ НА ПАРАПЕТ</t>
        </r>
      </text>
    </comment>
    <comment ref="AB7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Q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ВЕРХНИЙ СЛОЙ ГИДРОИЗОЛЯЦИИ</t>
        </r>
      </text>
    </comment>
    <comment ref="R7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НИЖНИЙ СЛОЙ ГИДРОИЗОЛЯЦИИ</t>
        </r>
      </text>
    </comment>
    <comment ref="O7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Данный блок используется для проверки введенной информации. Заполняется автоматически</t>
        </r>
      </text>
    </comment>
    <comment ref="P79" authorId="1" shapeId="0">
      <text/>
    </comment>
    <comment ref="AG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7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9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9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Q9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0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P10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площадь вводить в м2</t>
        </r>
      </text>
    </comment>
    <comment ref="S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ПАРАПЕТА, М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АНКЕРА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</t>
        </r>
      </text>
    </comment>
    <comment ref="S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ГЕОТЕКСТИЛЯ, М2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</t>
        </r>
      </text>
    </comment>
    <comment ref="S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В М, ГДЕ ПРИМЕНЯЕМ ПВХ металл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пешеходных дорожек выбрать вариант исполнения (Puzzle или АЦЛ/ОСБ), ввести длину дорожек. Материал посчитается сам</t>
        </r>
      </text>
    </comment>
    <comment ref="T110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длину дорожек в метрах!!!
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При наличии NG выбрать из выпадающего списка и ввести кол-во </t>
        </r>
      </text>
    </comment>
    <comment ref="T11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Вводить чистую площадь  без коэффициента запаса.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внутренних/внешних углов считается в надстройке КЛИН</t>
        </r>
      </text>
    </comment>
    <comment ref="P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
</t>
        </r>
      </text>
    </comment>
    <comment ref="AA13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Исключили прижимную рейку на парапете
</t>
        </r>
      </text>
    </comment>
    <comment ref="AE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P138" authorId="1" shapeId="0">
      <text/>
    </comment>
    <comment ref="P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Q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Q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НИЖЕ ВЫБИРАЕМ ТИП ПАРАПЕТА, ИЗ ВЫПАДАЮЩЕГО СПИСКА</t>
        </r>
      </text>
    </comment>
    <comment ref="AE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НА ПРИМЫКАНИЕ</t>
        </r>
      </text>
    </comment>
    <comment ref="AG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I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утеплителя</t>
        </r>
      </text>
    </comment>
    <comment ref="AK147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Крепление реек</t>
        </r>
      </text>
    </comment>
    <comment ref="R1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5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Ввести название рассчитываемого узла</t>
        </r>
      </text>
    </comment>
    <comment ref="P160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Для нестандартных парапетов, которые считаем "на коленке" предусмотрел ввод данных вручную. Можно вводить отрицательные значения, если необходимо вычесть по какой либо позиции.</t>
        </r>
      </text>
    </comment>
    <comment ref="Q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ВЕРХНИЙ СЛОЙ, М2</t>
        </r>
      </text>
    </comment>
    <comment ref="S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КРАЕВОЙ РЕЙКОЙ, М</t>
        </r>
      </text>
    </comment>
    <comment ref="U16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ПАРАПЕТОВ, ГДЕ ПРИМЕНЯЕМ АНКЕРА</t>
        </r>
      </text>
    </comment>
    <comment ref="Q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ПЛОЩАДЬ ГИДРОИЗОЛЯЦИИ НИЖНИЙ СЛОЙ, М2</t>
        </r>
      </text>
    </comment>
    <comment ref="S162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ПАРАПЕТА С ПРИЖИМНОЙ РЕЙКОЙ, М</t>
        </r>
      </text>
    </comment>
    <comment ref="Q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С САМОРЕЗАМИ ПО МЕТАЛЛУ</t>
        </r>
      </text>
    </comment>
    <comment ref="S163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ВВОДИМ ДЛИНУ ПАРАПЕТОВ В М, ГДЕ ПРИМЕНЯЕМ САМОРЕЗЫ ПО БЕТОНУ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обычных воронок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Количество парапетных воронок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Выбрать материал и указать длину примыкания галтели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Тип ограждения</t>
        </r>
      </text>
    </comment>
    <comment ref="Y171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Высота парапета</t>
        </r>
      </text>
    </comment>
    <comment ref="Y22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Считается автоматически</t>
        </r>
      </text>
    </comment>
    <comment ref="Y223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Толщина утеплителя</t>
        </r>
      </text>
    </comment>
    <comment ref="P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Выбор типа основания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Ручной ввод кол-ва слоёв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Вводится среднее значение расхода из файла расчета ЦСП 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tolstov:
</t>
        </r>
        <r>
          <rPr>
            <sz val="9"/>
            <color indexed="81"/>
            <rFont val="Tahoma"/>
            <family val="2"/>
            <charset val="204"/>
          </rPr>
          <t>Средний расход крепежа из файла расчета сборной стяжки</t>
        </r>
      </text>
    </comment>
    <comment ref="S228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Площадь зон из файла расчета сборной стяжки</t>
        </r>
      </text>
    </comment>
    <comment ref="P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S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Расчет ведется для плит 1200*600</t>
        </r>
      </text>
    </comment>
    <comment ref="N30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ПВХ примыкания</t>
        </r>
      </text>
    </comment>
    <comment ref="N549" authorId="0" shapeId="0">
      <text>
        <r>
          <rPr>
            <b/>
            <sz val="9"/>
            <color indexed="81"/>
            <rFont val="Tahoma"/>
            <family val="2"/>
            <charset val="204"/>
          </rPr>
          <t>tolstov:</t>
        </r>
        <r>
          <rPr>
            <sz val="9"/>
            <color indexed="81"/>
            <rFont val="Tahoma"/>
            <family val="2"/>
            <charset val="204"/>
          </rPr>
          <t xml:space="preserve">
БРМ примыкания</t>
        </r>
      </text>
    </comment>
    <comment ref="F91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92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I984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коэфф. Расхода не 0,01, а 0,007142857. 
См. значение в ячейке.</t>
        </r>
      </text>
    </comment>
    <comment ref="I98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Потовой Сергей:
</t>
        </r>
        <r>
          <rPr>
            <sz val="9"/>
            <color indexed="81"/>
            <rFont val="Tahoma"/>
            <family val="2"/>
            <charset val="204"/>
          </rPr>
          <t>коэфф. расхода не 0,01, а 0,007142857. 
См. значение в ячейке.</t>
        </r>
      </text>
    </comment>
    <comment ref="F1038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F10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принимаем такую же толщину, как у нижнего слоя Н30, если нет КВ, то 100 мм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  <charset val="204"/>
          </rPr>
          <t>Потовой Сергей:</t>
        </r>
        <r>
          <rPr>
            <sz val="9"/>
            <color indexed="81"/>
            <rFont val="Tahoma"/>
            <family val="2"/>
            <charset val="204"/>
          </rPr>
          <t xml:space="preserve">
не удалять строку. Расчет сомореза 50 остроконечного на парапеты
</t>
        </r>
      </text>
    </comment>
  </commentList>
</comments>
</file>

<file path=xl/sharedStrings.xml><?xml version="1.0" encoding="utf-8"?>
<sst xmlns="http://schemas.openxmlformats.org/spreadsheetml/2006/main" count="30377" uniqueCount="1558">
  <si>
    <t xml:space="preserve">Ветровой расчет </t>
  </si>
  <si>
    <t>№ CRM</t>
  </si>
  <si>
    <t>Площадь конструкции, м2</t>
  </si>
  <si>
    <t>Сложность</t>
  </si>
  <si>
    <t>Скидка %</t>
  </si>
  <si>
    <t>Расчет количества клиновидной теплоизоляции основной уклон+контруклон  XPS, КВ</t>
  </si>
  <si>
    <t>-</t>
  </si>
  <si>
    <t>Итого:</t>
  </si>
  <si>
    <t>Вид расчета</t>
  </si>
  <si>
    <t xml:space="preserve">Сложность </t>
  </si>
  <si>
    <t>Трудозатраты (чел/час)</t>
  </si>
  <si>
    <t>Стоимость часа работ (руб.)</t>
  </si>
  <si>
    <t>Себестоимость расчета</t>
  </si>
  <si>
    <t>Площадь (кв.м)</t>
  </si>
  <si>
    <t xml:space="preserve">до 1000 </t>
  </si>
  <si>
    <t>от 1001 до 5000</t>
  </si>
  <si>
    <t>от 5001 до 10 000</t>
  </si>
  <si>
    <t>от 10 001</t>
  </si>
  <si>
    <t>Расчет количества клиновидной теплоизоляции контр уклон ПИР</t>
  </si>
  <si>
    <t>Расчет количества клиновидной теплоизоляции основной уклон+контруклон  ПИР</t>
  </si>
  <si>
    <t>Расчет количества материалов утеплителя для  фасада</t>
  </si>
  <si>
    <t>Расчет количества изоляции для перегородок</t>
  </si>
  <si>
    <t>Расчет количества материалов Фундаменты</t>
  </si>
  <si>
    <t>Расчет количества материалов изоляции для полов</t>
  </si>
  <si>
    <t>Вид работ</t>
  </si>
  <si>
    <t>до 500</t>
  </si>
  <si>
    <t>от 501 до 1500</t>
  </si>
  <si>
    <t>от 1501 до 3 000</t>
  </si>
  <si>
    <t>от 3001</t>
  </si>
  <si>
    <t>Расчет количества материалов изоляции</t>
  </si>
  <si>
    <t>Расчет водосточной системы</t>
  </si>
  <si>
    <t>Теплотехнический расчет методика СП 23-02-2003</t>
  </si>
  <si>
    <t>Акустический расчет перекрытия</t>
  </si>
  <si>
    <t>Акустический  расчет стены</t>
  </si>
  <si>
    <t>Расчет количества материалов ТН для УШП</t>
  </si>
  <si>
    <t>Расчет нагрузок здания под УШП</t>
  </si>
  <si>
    <t>Стоимость часа работ(руб.)</t>
  </si>
  <si>
    <t>от 501 до 1000</t>
  </si>
  <si>
    <t>от 1001 до 5 000</t>
  </si>
  <si>
    <t>от 5 001</t>
  </si>
  <si>
    <t>Расчет количества материалов Техническая изоляция (плоские элементы)</t>
  </si>
  <si>
    <t>Погонаж мп</t>
  </si>
  <si>
    <t>до 100</t>
  </si>
  <si>
    <t>от 101 до 500</t>
  </si>
  <si>
    <t>от 501 до 1 000</t>
  </si>
  <si>
    <t>от  1 000</t>
  </si>
  <si>
    <t>Расчет количества материалов Техническая изоляция (трубопроводы)</t>
  </si>
  <si>
    <t xml:space="preserve">Расчет толщины Технической изоляции         (1 элемент) </t>
  </si>
  <si>
    <t>от 1 001</t>
  </si>
  <si>
    <t>Расчет количества материалов огнезащита металла</t>
  </si>
  <si>
    <t>Расчет толщины огнезащита металла (1 элемент)</t>
  </si>
  <si>
    <t>Стоимость</t>
  </si>
  <si>
    <t>ПМ</t>
  </si>
  <si>
    <t>КВ</t>
  </si>
  <si>
    <t>XPS</t>
  </si>
  <si>
    <t>Вес</t>
  </si>
  <si>
    <t>Промежуточный вес</t>
  </si>
  <si>
    <t>Итоговый вес</t>
  </si>
  <si>
    <t>РМ</t>
  </si>
  <si>
    <t>Итого</t>
  </si>
  <si>
    <t>ПИР</t>
  </si>
  <si>
    <t>Плантер</t>
  </si>
  <si>
    <t>Расчет количества материалов Плоской кровли  ПМ</t>
  </si>
  <si>
    <t>Расчет количества материалов Плоской кровли  РМ</t>
  </si>
  <si>
    <t>МиСХ</t>
  </si>
  <si>
    <t>Контакты заказчика</t>
  </si>
  <si>
    <t>Шифр</t>
  </si>
  <si>
    <t>CRM</t>
  </si>
  <si>
    <t>Название объекта</t>
  </si>
  <si>
    <t xml:space="preserve">Площадь </t>
  </si>
  <si>
    <t>Тип расчета</t>
  </si>
  <si>
    <t>ТИ и ОГН</t>
  </si>
  <si>
    <t>СК</t>
  </si>
  <si>
    <t>Тип заказчика</t>
  </si>
  <si>
    <t>Регион заказчика</t>
  </si>
  <si>
    <t xml:space="preserve">Дата выдачи </t>
  </si>
  <si>
    <t>Дата поступ.</t>
  </si>
  <si>
    <t>Срок выполн.</t>
  </si>
  <si>
    <t>Заказчик</t>
  </si>
  <si>
    <t>Наименование показателя</t>
  </si>
  <si>
    <t>Класс</t>
  </si>
  <si>
    <t>Погрешность</t>
  </si>
  <si>
    <t>Расчет материалов по горизонтальной части кровли</t>
  </si>
  <si>
    <t>Т0</t>
  </si>
  <si>
    <t>Расчет материалов по примыканиям</t>
  </si>
  <si>
    <t>Расчет количества клиновидной теплоизоляции</t>
  </si>
  <si>
    <t>Ветровой расчет</t>
  </si>
  <si>
    <t>Т1</t>
  </si>
  <si>
    <t>Т2</t>
  </si>
  <si>
    <t>Т3</t>
  </si>
  <si>
    <t>Кровля горизонт</t>
  </si>
  <si>
    <t>Кровля примыкан.</t>
  </si>
  <si>
    <t xml:space="preserve">Присутствует частичная информация по примыканиям,  в случае если узлы примыканий в проекте отличаются от стандартов ТН, принимаются узлы ТН. </t>
  </si>
  <si>
    <t xml:space="preserve">Присутствует полная информация по примыканиям,  в случае если узлы примыканий в проекте отличаются от стандартов ТН, принимаются узлы ТН. </t>
  </si>
  <si>
    <t>Предоставлены все данные для расчета.</t>
  </si>
  <si>
    <t>Количество вариантов расчета</t>
  </si>
  <si>
    <t>Скидка</t>
  </si>
  <si>
    <t>СБЕ</t>
  </si>
  <si>
    <t>ОЦО КП</t>
  </si>
  <si>
    <t>СРТП</t>
  </si>
  <si>
    <t>Торговый партнер</t>
  </si>
  <si>
    <t>Интернет магазин</t>
  </si>
  <si>
    <t>Частное лицо</t>
  </si>
  <si>
    <t>Проектировщик</t>
  </si>
  <si>
    <t>№ варианта</t>
  </si>
  <si>
    <t xml:space="preserve"> № Варианта</t>
  </si>
  <si>
    <t>Перерасчет (новые данные)</t>
  </si>
  <si>
    <t>Перерасчет (корректировка)</t>
  </si>
  <si>
    <t>Количество типов конструкции</t>
  </si>
  <si>
    <t>Кол-во типов</t>
  </si>
  <si>
    <t xml:space="preserve">Нет информации по узлам примыканий, учитывается стандартное примыкание тип1 (для ПМ), тип 2 (для РМ) </t>
  </si>
  <si>
    <t>Кол-во вариантов</t>
  </si>
  <si>
    <t>м2</t>
  </si>
  <si>
    <t>ИСХОДНЫЕ ДАННЫЕ:</t>
  </si>
  <si>
    <t>НЕТ</t>
  </si>
  <si>
    <t>руб.</t>
  </si>
  <si>
    <t>ПЛОЩАДЬ:</t>
  </si>
  <si>
    <t>ОТИ:</t>
  </si>
  <si>
    <t>ОУ:</t>
  </si>
  <si>
    <t>МЕМБРАНА:</t>
  </si>
  <si>
    <t>Битумно- полимерная</t>
  </si>
  <si>
    <t>ПЕРИМЕТР:</t>
  </si>
  <si>
    <t>ОСНОВАНИЕ:</t>
  </si>
  <si>
    <t>КУ:</t>
  </si>
  <si>
    <t>КРЕПЕЖ:</t>
  </si>
  <si>
    <t>ПВХ</t>
  </si>
  <si>
    <t>Спецификация материалов</t>
  </si>
  <si>
    <t>БЕТОН</t>
  </si>
  <si>
    <t>№</t>
  </si>
  <si>
    <t>Наименование материала</t>
  </si>
  <si>
    <t>К-т. расх</t>
  </si>
  <si>
    <t>Кол-во</t>
  </si>
  <si>
    <t>Ед. изм.</t>
  </si>
  <si>
    <t xml:space="preserve">Стоимость ед., руб. </t>
  </si>
  <si>
    <t>Сметная стоимость, руб.</t>
  </si>
  <si>
    <t>фильтр</t>
  </si>
  <si>
    <t>ПРОФЛИСТ</t>
  </si>
  <si>
    <t>ДА</t>
  </si>
  <si>
    <t>Устройство пароизоляционного слоя</t>
  </si>
  <si>
    <t>Устройство теплоизоляционного слоя</t>
  </si>
  <si>
    <t>XPS 1.7%</t>
  </si>
  <si>
    <t>PIR 1.7%</t>
  </si>
  <si>
    <t>XPS 3.4%</t>
  </si>
  <si>
    <t>Устройство гидроизоляционного слоя</t>
  </si>
  <si>
    <t>XPS 8.3%</t>
  </si>
  <si>
    <t xml:space="preserve">Устройство уклонообразующего слоя </t>
  </si>
  <si>
    <t xml:space="preserve">Сметная стоимость крепежа : </t>
  </si>
  <si>
    <t>Спецификация крепежа</t>
  </si>
  <si>
    <t xml:space="preserve">Наименование </t>
  </si>
  <si>
    <t>Кол-во*</t>
  </si>
  <si>
    <t>мм</t>
  </si>
  <si>
    <t>шт.</t>
  </si>
  <si>
    <t>Примыкание к парапету высотой более 500 мм</t>
  </si>
  <si>
    <t>ПГ</t>
  </si>
  <si>
    <t>ДПР</t>
  </si>
  <si>
    <t>ТЭ</t>
  </si>
  <si>
    <t>ГнП</t>
  </si>
  <si>
    <t>ВЕРХ</t>
  </si>
  <si>
    <t>НИЗ</t>
  </si>
  <si>
    <t>Примыкание к парапету высотой менее 500 мм</t>
  </si>
  <si>
    <t>Примыкания к вертикальным поверхностям стен и другим конструкциям</t>
  </si>
  <si>
    <t>Саморез</t>
  </si>
  <si>
    <t>ДКР</t>
  </si>
  <si>
    <t>Анкерный элемент</t>
  </si>
  <si>
    <t>Анкерный элемент ТехноНИКОЛЬ</t>
  </si>
  <si>
    <t>8х</t>
  </si>
  <si>
    <t>Открытый водосток</t>
  </si>
  <si>
    <t xml:space="preserve">Высота крепежа </t>
  </si>
  <si>
    <t>ТЕЛЕСКОП</t>
  </si>
  <si>
    <t>САМОРЕЗ</t>
  </si>
  <si>
    <t>Высота крепежа</t>
  </si>
  <si>
    <t>Таблица группировки крепежа</t>
  </si>
  <si>
    <t>Толщина утеплителя, мм</t>
  </si>
  <si>
    <t xml:space="preserve">Телескопи- ческий крепеж, мм.  </t>
  </si>
  <si>
    <t xml:space="preserve">Анкерный элемент мм.      </t>
  </si>
  <si>
    <t>Крепление теплоизо-ляции*, шт.</t>
  </si>
  <si>
    <t xml:space="preserve">Крепление гидроизоляции**, шт.     </t>
  </si>
  <si>
    <t>Общее количество крепежа, шт.</t>
  </si>
  <si>
    <t>м3</t>
  </si>
  <si>
    <t>Профилированная мембрана PLANTER geo (8 мм)</t>
  </si>
  <si>
    <t>ТЕХНОРУФ 45 ГАЛТЕЛЬ (1.2 м)</t>
  </si>
  <si>
    <t>Устройство гидроизоляции из битумнополимерных материалов</t>
  </si>
  <si>
    <t>Праймер битумный ТехноНИКОЛЬ № 01</t>
  </si>
  <si>
    <t>кг.</t>
  </si>
  <si>
    <t>Техноэласт СОЛО РП1 (5.0 мм)</t>
  </si>
  <si>
    <t>Мастика приклеивающая ТЕХНОНИКОЛЬ №22</t>
  </si>
  <si>
    <t>Устройство примыканий из битумно полимерных материалов</t>
  </si>
  <si>
    <t>Унифлекс ЭКСПРЕСС ЭМП</t>
  </si>
  <si>
    <t>Рейка прижимная стальная ТехноНИКОЛЬ 3м</t>
  </si>
  <si>
    <t>Анкерный элемент ТехноНИКОЛЬ 8х45 мм</t>
  </si>
  <si>
    <t xml:space="preserve">шт. </t>
  </si>
  <si>
    <t>Устройство гидроизоляции из ПВХ</t>
  </si>
  <si>
    <t>Геотекстиль термообработанный ПЭТ 300 гр/м2</t>
  </si>
  <si>
    <t>Геотекстиль термообработанный ПЭТ 150 гр/м2</t>
  </si>
  <si>
    <r>
      <t>ПВХ мембрана LOGICR</t>
    </r>
    <r>
      <rPr>
        <sz val="10"/>
        <rFont val="Arial"/>
        <family val="2"/>
        <charset val="204"/>
      </rPr>
      <t>OOF V-RP (1.2 мм)</t>
    </r>
  </si>
  <si>
    <r>
      <t>ПВХ мембрана LOGICR</t>
    </r>
    <r>
      <rPr>
        <sz val="10"/>
        <rFont val="Arial"/>
        <family val="2"/>
        <charset val="204"/>
      </rPr>
      <t>OOF V-RP ARCTIC (1.2 мм)</t>
    </r>
  </si>
  <si>
    <r>
      <t>ПВХ мембрана ECOPLAST</t>
    </r>
    <r>
      <rPr>
        <sz val="10"/>
        <rFont val="Arial"/>
        <family val="2"/>
        <charset val="204"/>
      </rPr>
      <t xml:space="preserve"> V-RP (1.2 мм)</t>
    </r>
  </si>
  <si>
    <r>
      <t>ПВХ мембрана LOGICR</t>
    </r>
    <r>
      <rPr>
        <sz val="10"/>
        <rFont val="Arial"/>
        <family val="2"/>
        <charset val="204"/>
      </rPr>
      <t>OOF V-GR FB (1.2 мм)</t>
    </r>
  </si>
  <si>
    <t>ПВХ Logicroof Walkway Puzzle (дорожка 0.6х0.6 м)</t>
  </si>
  <si>
    <t>Воронка водоприемная</t>
  </si>
  <si>
    <r>
      <t>ПВХ мембрана LOGICR</t>
    </r>
    <r>
      <rPr>
        <sz val="10"/>
        <rFont val="Arial"/>
        <family val="2"/>
        <charset val="204"/>
      </rPr>
      <t>OOF V-RP (1.5 мм)</t>
    </r>
  </si>
  <si>
    <r>
      <t>ПВХ мембрана LOGICR</t>
    </r>
    <r>
      <rPr>
        <sz val="10"/>
        <rFont val="Arial"/>
        <family val="2"/>
        <charset val="204"/>
      </rPr>
      <t>OOF V-RP ARCTIC (1.5 мм)</t>
    </r>
  </si>
  <si>
    <r>
      <t>ПВХ мембрана ECOPLAST</t>
    </r>
    <r>
      <rPr>
        <sz val="10"/>
        <rFont val="Arial"/>
        <family val="2"/>
        <charset val="204"/>
      </rPr>
      <t xml:space="preserve"> V-RP (1.5 мм)</t>
    </r>
  </si>
  <si>
    <r>
      <t>ПВХ мембрана LOGICR</t>
    </r>
    <r>
      <rPr>
        <sz val="10"/>
        <rFont val="Arial"/>
        <family val="2"/>
        <charset val="204"/>
      </rPr>
      <t>OOF V-RP (1.8 мм)</t>
    </r>
  </si>
  <si>
    <r>
      <t>ПВХ мембрана LOGICR</t>
    </r>
    <r>
      <rPr>
        <sz val="10"/>
        <rFont val="Arial"/>
        <family val="2"/>
        <charset val="204"/>
      </rPr>
      <t>OOF V-RP ARCTIC (1.8 мм)</t>
    </r>
  </si>
  <si>
    <r>
      <t>ПВХ мембрана ECOPLAST</t>
    </r>
    <r>
      <rPr>
        <sz val="10"/>
        <rFont val="Arial"/>
        <family val="2"/>
        <charset val="204"/>
      </rPr>
      <t xml:space="preserve"> V-RP (1.8 мм)</t>
    </r>
  </si>
  <si>
    <t>Устройство примыканий из ПВХ</t>
  </si>
  <si>
    <t>Держатель тарельчатый ТехноНИКОЛЬ, 50 мм</t>
  </si>
  <si>
    <t>ПВХ металл LOGICROOF, лист 1x2м  длина карниза</t>
  </si>
  <si>
    <t>Устройство клиновидной теплоизоляции</t>
  </si>
  <si>
    <t>PIR SLOPE (доборная плита C 40 мм)</t>
  </si>
  <si>
    <t>Расчет материалов</t>
  </si>
  <si>
    <t>Расчет выполнил:</t>
  </si>
  <si>
    <t>Саморезы</t>
  </si>
  <si>
    <t>кровля</t>
  </si>
  <si>
    <t>Коэф. кол-ва вариантов расчета</t>
  </si>
  <si>
    <t>Коэф. кол-ва типов конструкций</t>
  </si>
  <si>
    <t>Коэф. влияния  типа расчета</t>
  </si>
  <si>
    <t>Невозможно оценить</t>
  </si>
  <si>
    <t>5-15%</t>
  </si>
  <si>
    <t>5-30%</t>
  </si>
  <si>
    <t>Потовой С.</t>
  </si>
  <si>
    <t>Заброда Р.</t>
  </si>
  <si>
    <t>Шелестов А.</t>
  </si>
  <si>
    <t>Крутоверцева Ю.</t>
  </si>
  <si>
    <t>Дудин М.</t>
  </si>
  <si>
    <t>Козырева Е.</t>
  </si>
  <si>
    <t>ЦФО</t>
  </si>
  <si>
    <t>ЮФО</t>
  </si>
  <si>
    <t>ПФО</t>
  </si>
  <si>
    <t>СЗФО</t>
  </si>
  <si>
    <t>УФО</t>
  </si>
  <si>
    <t>СФО</t>
  </si>
  <si>
    <t>ДФО</t>
  </si>
  <si>
    <t>Беларусь</t>
  </si>
  <si>
    <t>Украина</t>
  </si>
  <si>
    <t>Казахстан</t>
  </si>
  <si>
    <t>Европа</t>
  </si>
  <si>
    <t>Ветровой расчет РМ</t>
  </si>
  <si>
    <t>Ветровой расчет ПМ</t>
  </si>
  <si>
    <t>м</t>
  </si>
  <si>
    <t>МЕТ+ТЕПЛО</t>
  </si>
  <si>
    <t>СТЯЖКА</t>
  </si>
  <si>
    <t>АЦЛ (ЦСП)</t>
  </si>
  <si>
    <t>Н75</t>
  </si>
  <si>
    <t>Н114</t>
  </si>
  <si>
    <t>по умолчанию</t>
  </si>
  <si>
    <t>н/д</t>
  </si>
  <si>
    <t>Профилированная мембрана PLANTER standart</t>
  </si>
  <si>
    <t>КРЕПЕЖ ТЕХНОНИКОЛЬ №01</t>
  </si>
  <si>
    <t>Ж/Б</t>
  </si>
  <si>
    <t>МЕТ</t>
  </si>
  <si>
    <t>Ж/Б+ТЕПЛО</t>
  </si>
  <si>
    <t>СМРЗ БЕТ.</t>
  </si>
  <si>
    <t>СМРЗ. МЕТ</t>
  </si>
  <si>
    <t>АНКЕР</t>
  </si>
  <si>
    <t xml:space="preserve"> ГОФРЫ</t>
  </si>
  <si>
    <t>Н153</t>
  </si>
  <si>
    <t>ТИП</t>
  </si>
  <si>
    <t>Анализ документации</t>
  </si>
  <si>
    <t xml:space="preserve">for each s in sheets:s.visible=true:next 
</t>
  </si>
  <si>
    <t>отображение всех скрытых листов</t>
  </si>
  <si>
    <t>МПК ПМ</t>
  </si>
  <si>
    <t>МПК РМ</t>
  </si>
  <si>
    <t>м.п.</t>
  </si>
  <si>
    <r>
      <t>ПВХ мембрана LOGICR</t>
    </r>
    <r>
      <rPr>
        <sz val="10"/>
        <rFont val="Arial"/>
        <family val="2"/>
        <charset val="204"/>
      </rPr>
      <t>OOF V-RP ARCTIC (2.0 мм)</t>
    </r>
  </si>
  <si>
    <r>
      <t>ПВХ мембрана ECOPLAST</t>
    </r>
    <r>
      <rPr>
        <sz val="10"/>
        <rFont val="Arial"/>
        <family val="2"/>
        <charset val="204"/>
      </rPr>
      <t xml:space="preserve"> V-RP (2.0 мм)</t>
    </r>
  </si>
  <si>
    <t>СУММА</t>
  </si>
  <si>
    <t>Телескопический крепеж ТехноНИКОЛЬ</t>
  </si>
  <si>
    <t>PIR SLOPE (1,7% элемент А)</t>
  </si>
  <si>
    <t>PIR SLOPE (1,7% элемент В)</t>
  </si>
  <si>
    <t>PIR SLOPE (3.4% элемент J)</t>
  </si>
  <si>
    <t>ПВХ металл LOGICROOF, лист 1x2м</t>
  </si>
  <si>
    <t>Создание схемы ветровых зон</t>
  </si>
  <si>
    <t>Оформление раскладки гидроизоляции на кровле</t>
  </si>
  <si>
    <t>ПК РМ</t>
  </si>
  <si>
    <t>ПК ПМ</t>
  </si>
  <si>
    <t>Ветер зоны</t>
  </si>
  <si>
    <t>Раскладка рулонов</t>
  </si>
  <si>
    <t>Шумилов М.</t>
  </si>
  <si>
    <t>Азербайджан</t>
  </si>
  <si>
    <t>Узбекистан</t>
  </si>
  <si>
    <t>Грунт TAIKOR Primer 210</t>
  </si>
  <si>
    <t>Финишный слой TAIKOR Top 400</t>
  </si>
  <si>
    <t>Стекломат</t>
  </si>
  <si>
    <t xml:space="preserve">TAIKOR Elastic 300 первый слой </t>
  </si>
  <si>
    <t xml:space="preserve">TAIKOR Elastic 300 второй слой </t>
  </si>
  <si>
    <t>TAIKOR Elastic 300</t>
  </si>
  <si>
    <r>
      <t>ПВХ мембрана ECOPLAST</t>
    </r>
    <r>
      <rPr>
        <sz val="10"/>
        <rFont val="Arial"/>
        <family val="2"/>
        <charset val="204"/>
      </rPr>
      <t xml:space="preserve"> V-GR (2.0 мм)</t>
    </r>
  </si>
  <si>
    <r>
      <t>ПВХ мембрана ECOPLAST</t>
    </r>
    <r>
      <rPr>
        <sz val="10"/>
        <rFont val="Arial"/>
        <family val="2"/>
        <charset val="204"/>
      </rPr>
      <t xml:space="preserve"> V-GR (1.8 мм)</t>
    </r>
  </si>
  <si>
    <r>
      <t>ПВХ мембрана ECOPLAST</t>
    </r>
    <r>
      <rPr>
        <sz val="10"/>
        <rFont val="Arial"/>
        <family val="2"/>
        <charset val="204"/>
      </rPr>
      <t xml:space="preserve"> V-GR (1.5 мм)</t>
    </r>
  </si>
  <si>
    <t>ОКУ</t>
  </si>
  <si>
    <t>КУ</t>
  </si>
  <si>
    <t>ОКУП</t>
  </si>
  <si>
    <t>КУП</t>
  </si>
  <si>
    <t>ЦЕНА КЛИН</t>
  </si>
  <si>
    <t xml:space="preserve"> </t>
  </si>
  <si>
    <t>сложность</t>
  </si>
  <si>
    <t>счет если</t>
  </si>
  <si>
    <t>Подрядчик</t>
  </si>
  <si>
    <t>Прочее</t>
  </si>
  <si>
    <t>Номер типа</t>
  </si>
  <si>
    <t>НАЗВАНИЕ</t>
  </si>
  <si>
    <t>марка утеплителя</t>
  </si>
  <si>
    <t>МЕТ+ТЕПЛО БК</t>
  </si>
  <si>
    <t>Ж/Б+ТЕПЛО БК</t>
  </si>
  <si>
    <t>толщина, мм</t>
  </si>
  <si>
    <t>ТАБЛИЦА ПОДБОРА КРПЕЖА ДЛЯ крепления реек в парапет</t>
  </si>
  <si>
    <t>нет</t>
  </si>
  <si>
    <t>ОБЪЕМ УТЕПЛ</t>
  </si>
  <si>
    <t>САМОРЕЗ КУ</t>
  </si>
  <si>
    <t>ТЕЛЕСКОП КУ</t>
  </si>
  <si>
    <t>САМОРЕЗ КР</t>
  </si>
  <si>
    <t>кол-во, шт</t>
  </si>
  <si>
    <t>размер</t>
  </si>
  <si>
    <t>ТЕХНОРУФ В60</t>
  </si>
  <si>
    <t>ТЕХНОРУФ Н30</t>
  </si>
  <si>
    <t>Утепленный парапет, перечень материалов</t>
  </si>
  <si>
    <t>Плиты теплоизоляционные PIR</t>
  </si>
  <si>
    <t>ТЕХНОРУФ 45</t>
  </si>
  <si>
    <t>ТЕХНОРУФ ПРОФ</t>
  </si>
  <si>
    <t>ТЕХНОРУФ Н ПРОФ</t>
  </si>
  <si>
    <t>ТЕХНОРУФ Н ЭКСТРА</t>
  </si>
  <si>
    <t>ТЕХНОРУФ В ПРОФ</t>
  </si>
  <si>
    <t>ТЕХНОРУФ В ПРОФ С</t>
  </si>
  <si>
    <t>ТЕХНОРУФ В ЭКСТРА</t>
  </si>
  <si>
    <t>ТЕХНОРУФ В ЭКСТРА С</t>
  </si>
  <si>
    <t>ТЕХНОРУФ Н ОПТИМА</t>
  </si>
  <si>
    <t>ТЕХНОРУФ В ОПТИМА</t>
  </si>
  <si>
    <t>ТЕХНОРУФ В ОПТИМА С</t>
  </si>
  <si>
    <t>Фильтр</t>
  </si>
  <si>
    <t>Н утепл, мм</t>
  </si>
  <si>
    <t>толщ., мм</t>
  </si>
  <si>
    <t>марка ут.</t>
  </si>
  <si>
    <t>Н утепл., мм</t>
  </si>
  <si>
    <t>Подробная спецификация примыканий</t>
  </si>
  <si>
    <t>Рейка прижимная алюминиевая ТехноНИКОЛЬ, 3м</t>
  </si>
  <si>
    <t>Саморез ТехноНИКОЛЬ                                         4,8х</t>
  </si>
  <si>
    <t xml:space="preserve">. Общая длина примыкания- </t>
  </si>
  <si>
    <t xml:space="preserve"> м.</t>
  </si>
  <si>
    <t>Служба качества</t>
  </si>
  <si>
    <t>LOGICROOF Spray Клей-пена, баллон 10 л.</t>
  </si>
  <si>
    <t>дорогой вариант!</t>
  </si>
  <si>
    <t>LOGICROOF Spray Клей контактный, баллон 17 л.</t>
  </si>
  <si>
    <t>LOGICROOF Bond Клей контактный, ведро 5 л.</t>
  </si>
  <si>
    <t>оптимальный вариант</t>
  </si>
  <si>
    <r>
      <t>ПВХ мембрана LOGICR</t>
    </r>
    <r>
      <rPr>
        <sz val="10"/>
        <rFont val="Arial"/>
        <family val="2"/>
        <charset val="204"/>
      </rPr>
      <t>OOF V-RP (2.0 мм)</t>
    </r>
  </si>
  <si>
    <r>
      <t>ПВХ мембрана LOGICR</t>
    </r>
    <r>
      <rPr>
        <sz val="10"/>
        <rFont val="Arial"/>
        <family val="2"/>
        <charset val="204"/>
      </rPr>
      <t>OOF V-GR FB (1.5 мм)</t>
    </r>
  </si>
  <si>
    <r>
      <t>ПВХ мембрана LOGICR</t>
    </r>
    <r>
      <rPr>
        <sz val="10"/>
        <rFont val="Arial"/>
        <family val="2"/>
        <charset val="204"/>
      </rPr>
      <t>OOF V-GR FB (1.8 мм)</t>
    </r>
  </si>
  <si>
    <r>
      <t>ПВХ мембрана LOGICR</t>
    </r>
    <r>
      <rPr>
        <sz val="10"/>
        <rFont val="Arial"/>
        <family val="2"/>
        <charset val="204"/>
      </rPr>
      <t>OOF V-RP FR (1.2 мм)</t>
    </r>
  </si>
  <si>
    <t>ПВХ мембрана LOGICROOF V-RP FR (1.2 мм)</t>
  </si>
  <si>
    <t>Базовая ставка</t>
  </si>
  <si>
    <t>Бух 1</t>
  </si>
  <si>
    <t>Бух 2</t>
  </si>
  <si>
    <t>Базовая стоимость</t>
  </si>
  <si>
    <t xml:space="preserve">В </t>
  </si>
  <si>
    <t>Тип 1</t>
  </si>
  <si>
    <t>Тип 3</t>
  </si>
  <si>
    <t>Тип 4</t>
  </si>
  <si>
    <t>Тип 5</t>
  </si>
  <si>
    <t>Тип 6</t>
  </si>
  <si>
    <t>Тип 7</t>
  </si>
  <si>
    <t>Тип 8</t>
  </si>
  <si>
    <t>Тип 9</t>
  </si>
  <si>
    <t>Тип 10</t>
  </si>
  <si>
    <t>Площадь</t>
  </si>
  <si>
    <t>Типы</t>
  </si>
  <si>
    <t>Тип 2</t>
  </si>
  <si>
    <t>вспом. Коэф.</t>
  </si>
  <si>
    <t>Нет данных</t>
  </si>
  <si>
    <t>⇑</t>
  </si>
  <si>
    <t xml:space="preserve">Система : </t>
  </si>
  <si>
    <t xml:space="preserve">Площадь кровли : </t>
  </si>
  <si>
    <t>дубль</t>
  </si>
  <si>
    <t>Проектирование</t>
  </si>
  <si>
    <t>Нулевой цикл</t>
  </si>
  <si>
    <t>Строительство</t>
  </si>
  <si>
    <t>Примечание:</t>
  </si>
  <si>
    <t>Согласование</t>
  </si>
  <si>
    <t>Критерий заказчика</t>
  </si>
  <si>
    <t>Вывод</t>
  </si>
  <si>
    <t>Согласование СБЕ</t>
  </si>
  <si>
    <t>Итог по площади</t>
  </si>
  <si>
    <t xml:space="preserve">Таблица согласования площадей для ПК </t>
  </si>
  <si>
    <t>Анализ чертежей</t>
  </si>
  <si>
    <t>МАТЕР. ОТИ:</t>
  </si>
  <si>
    <t>PIR</t>
  </si>
  <si>
    <t xml:space="preserve">Сметная стоимость: </t>
  </si>
  <si>
    <t xml:space="preserve">СМЕТНЫЙ РАСЧЕТ ПО УСТРОЙСТВУ КРОВЕЛЬНОГО ПОКРЫТИЯ </t>
  </si>
  <si>
    <t>пп</t>
  </si>
  <si>
    <r>
      <t>ПВХ мембрана LOGICR</t>
    </r>
    <r>
      <rPr>
        <i/>
        <sz val="10"/>
        <rFont val="Arial"/>
        <family val="2"/>
        <charset val="204"/>
      </rPr>
      <t>OOF V-RP (1.2 мм)</t>
    </r>
  </si>
  <si>
    <r>
      <t>ПВХ мембрана LOGICR</t>
    </r>
    <r>
      <rPr>
        <i/>
        <sz val="10"/>
        <rFont val="Arial"/>
        <family val="2"/>
        <charset val="204"/>
      </rPr>
      <t>OOF V-RP ARCTIC (1.2 мм)</t>
    </r>
  </si>
  <si>
    <r>
      <t>ПВХ мембрана ECOPLAST</t>
    </r>
    <r>
      <rPr>
        <i/>
        <sz val="10"/>
        <rFont val="Arial"/>
        <family val="2"/>
        <charset val="204"/>
      </rPr>
      <t xml:space="preserve"> V-RP (1.2 мм)</t>
    </r>
  </si>
  <si>
    <r>
      <t>ПВХ мембрана ECOPLAST</t>
    </r>
    <r>
      <rPr>
        <i/>
        <sz val="10"/>
        <rFont val="Arial"/>
        <family val="2"/>
        <charset val="204"/>
      </rPr>
      <t xml:space="preserve"> V-GR (1.5 мм)</t>
    </r>
  </si>
  <si>
    <r>
      <t>ПВХ мембрана LOGICR</t>
    </r>
    <r>
      <rPr>
        <i/>
        <sz val="10"/>
        <rFont val="Arial"/>
        <family val="2"/>
        <charset val="204"/>
      </rPr>
      <t>OOF V-RP (1.5 мм)</t>
    </r>
  </si>
  <si>
    <r>
      <t>ПВХ мембрана LOGICR</t>
    </r>
    <r>
      <rPr>
        <i/>
        <sz val="10"/>
        <rFont val="Arial"/>
        <family val="2"/>
        <charset val="204"/>
      </rPr>
      <t>OOF V-RP ARCTIC (1.5 мм)</t>
    </r>
  </si>
  <si>
    <r>
      <t>ПВХ мембрана ECOPLAST</t>
    </r>
    <r>
      <rPr>
        <i/>
        <sz val="10"/>
        <rFont val="Arial"/>
        <family val="2"/>
        <charset val="204"/>
      </rPr>
      <t xml:space="preserve"> V-RP (1.5 мм)</t>
    </r>
  </si>
  <si>
    <r>
      <t>ПВХ мембрана ECOPLAST</t>
    </r>
    <r>
      <rPr>
        <i/>
        <sz val="10"/>
        <rFont val="Arial"/>
        <family val="2"/>
        <charset val="204"/>
      </rPr>
      <t xml:space="preserve"> V-GR (1.8 мм)</t>
    </r>
  </si>
  <si>
    <r>
      <t>ПВХ мембрана LOGICR</t>
    </r>
    <r>
      <rPr>
        <i/>
        <sz val="10"/>
        <rFont val="Arial"/>
        <family val="2"/>
        <charset val="204"/>
      </rPr>
      <t>OOF V-RP (1.8 мм)</t>
    </r>
  </si>
  <si>
    <r>
      <t>ПВХ мембрана LOGICR</t>
    </r>
    <r>
      <rPr>
        <i/>
        <sz val="10"/>
        <rFont val="Arial"/>
        <family val="2"/>
        <charset val="204"/>
      </rPr>
      <t>OOF V-RP ARCTIC (1.8 мм)</t>
    </r>
  </si>
  <si>
    <r>
      <t>ПВХ мембрана ECOPLAST</t>
    </r>
    <r>
      <rPr>
        <i/>
        <sz val="10"/>
        <rFont val="Arial"/>
        <family val="2"/>
        <charset val="204"/>
      </rPr>
      <t xml:space="preserve"> V-RP (1.8 мм)</t>
    </r>
  </si>
  <si>
    <r>
      <t>ПВХ мембрана LOGICR</t>
    </r>
    <r>
      <rPr>
        <i/>
        <sz val="10"/>
        <rFont val="Arial"/>
        <family val="2"/>
        <charset val="204"/>
      </rPr>
      <t>OOF V-RP ARCTIC (2.0 мм)</t>
    </r>
  </si>
  <si>
    <r>
      <t>ПВХ мембрана ECOPLAST</t>
    </r>
    <r>
      <rPr>
        <i/>
        <sz val="10"/>
        <rFont val="Arial"/>
        <family val="2"/>
        <charset val="204"/>
      </rPr>
      <t xml:space="preserve"> V-GR (2.0 мм)</t>
    </r>
  </si>
  <si>
    <r>
      <t>ПВХ мембрана ECOPLAST</t>
    </r>
    <r>
      <rPr>
        <i/>
        <sz val="10"/>
        <rFont val="Arial"/>
        <family val="2"/>
        <charset val="204"/>
      </rPr>
      <t xml:space="preserve"> V-RP (2.0 мм)</t>
    </r>
  </si>
  <si>
    <r>
      <t>ПВХ мембрана LOGICR</t>
    </r>
    <r>
      <rPr>
        <i/>
        <sz val="10"/>
        <rFont val="Arial"/>
        <family val="2"/>
        <charset val="204"/>
      </rPr>
      <t>OOF V-GR FB (1.2 мм)</t>
    </r>
  </si>
  <si>
    <r>
      <t>ПВХ мембрана LOGICR</t>
    </r>
    <r>
      <rPr>
        <i/>
        <sz val="10"/>
        <rFont val="Arial"/>
        <family val="2"/>
        <charset val="204"/>
      </rPr>
      <t>OOF V-RP (2.0 мм)</t>
    </r>
  </si>
  <si>
    <r>
      <t>ПВХ мембрана LOGICR</t>
    </r>
    <r>
      <rPr>
        <i/>
        <sz val="10"/>
        <rFont val="Arial"/>
        <family val="2"/>
        <charset val="204"/>
      </rPr>
      <t>OOF V-GR FB (1.5 мм)</t>
    </r>
  </si>
  <si>
    <r>
      <t>ПВХ мембрана LOGICR</t>
    </r>
    <r>
      <rPr>
        <i/>
        <sz val="10"/>
        <rFont val="Arial"/>
        <family val="2"/>
        <charset val="204"/>
      </rPr>
      <t>OOF V-GR FB (1.8 мм)</t>
    </r>
  </si>
  <si>
    <t>ПВХ металл LOGICROOF, лист 1x2м  длина</t>
  </si>
  <si>
    <t>XPS CARBON PROF SLOPE (8.3% элемент М)</t>
  </si>
  <si>
    <t>Саморез остроконечный ТехноНИКОЛЬ          4,8х</t>
  </si>
  <si>
    <t xml:space="preserve">Стоимость единицы, руб. </t>
  </si>
  <si>
    <t>ИСКЛЮЧЕНИЕ</t>
  </si>
  <si>
    <t>Телескопический крепеж</t>
  </si>
  <si>
    <t>Кол- во ОУ и КУ</t>
  </si>
  <si>
    <t>Название</t>
  </si>
  <si>
    <t>Кол-во шт.</t>
  </si>
  <si>
    <t>ОУ</t>
  </si>
  <si>
    <t>КУ как ОУ</t>
  </si>
  <si>
    <t>ПРАЙМЕР</t>
  </si>
  <si>
    <t>Клин КУ</t>
  </si>
  <si>
    <t>Клин КУ как ОУ</t>
  </si>
  <si>
    <t>Клины</t>
  </si>
  <si>
    <t xml:space="preserve">Расчет количества клиновидной теплоизоляции </t>
  </si>
  <si>
    <t>+</t>
  </si>
  <si>
    <t>количество элементов (диапазоны)</t>
  </si>
  <si>
    <t>клин</t>
  </si>
  <si>
    <t>Согласованная площадь</t>
  </si>
  <si>
    <r>
      <t>м</t>
    </r>
    <r>
      <rPr>
        <b/>
        <vertAlign val="superscript"/>
        <sz val="10"/>
        <color rgb="FF000000"/>
        <rFont val="Arial"/>
        <family val="2"/>
        <charset val="204"/>
      </rPr>
      <t>2</t>
    </r>
  </si>
  <si>
    <t>РВК:</t>
  </si>
  <si>
    <t>А-профиль (2 м), серый</t>
  </si>
  <si>
    <t>БЕЗ ОТИ (н)</t>
  </si>
  <si>
    <t>+ОТИ (с)</t>
  </si>
  <si>
    <t>мм***</t>
  </si>
  <si>
    <r>
      <t>ПВХ мембрана LOGICR</t>
    </r>
    <r>
      <rPr>
        <i/>
        <sz val="10"/>
        <rFont val="Arial"/>
        <family val="2"/>
        <charset val="204"/>
      </rPr>
      <t>OOF V-GR (1.2 мм)</t>
    </r>
  </si>
  <si>
    <r>
      <t>ПВХ мембрана LOGICR</t>
    </r>
    <r>
      <rPr>
        <i/>
        <sz val="10"/>
        <rFont val="Arial"/>
        <family val="2"/>
        <charset val="204"/>
      </rPr>
      <t>OOF V-GR (1.5 мм)</t>
    </r>
  </si>
  <si>
    <r>
      <t>ПВХ мембрана LOGICR</t>
    </r>
    <r>
      <rPr>
        <i/>
        <sz val="10"/>
        <rFont val="Arial"/>
        <family val="2"/>
        <charset val="204"/>
      </rPr>
      <t>OOF V-GR (1.8 мм)</t>
    </r>
  </si>
  <si>
    <r>
      <t>ПВХ мембрана LOGICR</t>
    </r>
    <r>
      <rPr>
        <i/>
        <sz val="10"/>
        <rFont val="Arial"/>
        <family val="2"/>
        <charset val="204"/>
      </rPr>
      <t>OOF V-GR FB (2.0 мм)</t>
    </r>
  </si>
  <si>
    <r>
      <t>ПВХ мембрана LOGICR</t>
    </r>
    <r>
      <rPr>
        <sz val="10"/>
        <rFont val="Arial"/>
        <family val="2"/>
        <charset val="204"/>
      </rPr>
      <t>OOF V-GR (1.2 мм)</t>
    </r>
  </si>
  <si>
    <r>
      <t>ПВХ мембрана LOGICR</t>
    </r>
    <r>
      <rPr>
        <sz val="10"/>
        <rFont val="Arial"/>
        <family val="2"/>
        <charset val="204"/>
      </rPr>
      <t>OOF V-GR (1.5 мм)</t>
    </r>
  </si>
  <si>
    <r>
      <t>ПВХ мембрана LOGICR</t>
    </r>
    <r>
      <rPr>
        <sz val="10"/>
        <rFont val="Arial"/>
        <family val="2"/>
        <charset val="204"/>
      </rPr>
      <t>OOF V-GR (1.8 мм)</t>
    </r>
  </si>
  <si>
    <t>ТЕХНОРУФ Н ПРОФ, для гофр*</t>
  </si>
  <si>
    <t>Очиститель для ПВХ мембран ТехноНИКОЛЬ*</t>
  </si>
  <si>
    <t>материалы</t>
  </si>
  <si>
    <t>паробарьер</t>
  </si>
  <si>
    <t>фикс и соло</t>
  </si>
  <si>
    <t>клины</t>
  </si>
  <si>
    <t xml:space="preserve">основные </t>
  </si>
  <si>
    <t>МАТЕРИАЛЫ</t>
  </si>
  <si>
    <t>названия расчета материалов</t>
  </si>
  <si>
    <t>крепеж</t>
  </si>
  <si>
    <t>Толстов А.</t>
  </si>
  <si>
    <t>XPS ТехноНИКОЛЬ CARBON PROF</t>
  </si>
  <si>
    <t>XPS ТехноНИКОЛЬ CARBON ECO</t>
  </si>
  <si>
    <t>XPS CARBON PROF (50 мм)</t>
  </si>
  <si>
    <t>Реконструкция</t>
  </si>
  <si>
    <r>
      <t>ПВХ мембрана LOGICR</t>
    </r>
    <r>
      <rPr>
        <sz val="10"/>
        <rFont val="Arial"/>
        <family val="2"/>
        <charset val="204"/>
      </rPr>
      <t>OOF V-RP (1.5 мм), рулон 2,10 м.</t>
    </r>
  </si>
  <si>
    <t>ПВХ мембрана LOGICROOF V-RP (1.5 мм), рулон 1,05 м.</t>
  </si>
  <si>
    <t>ПВХ мембрана LOGICROOF V-RP (1.5 мм), рулон 0,70 м.</t>
  </si>
  <si>
    <t>ПВХ мембрана LOGICROOF V-RP (1.5 мм), рулон 0,50 м.</t>
  </si>
  <si>
    <t>ПВХ мембрана LOGICROOF V-RP (1.5 мм), для д.ш</t>
  </si>
  <si>
    <t>ПВХ мембрана LOGICROOF V-RP (1.2 мм), для дорожек</t>
  </si>
  <si>
    <t>новые позиции</t>
  </si>
  <si>
    <t>XPS ТехноНИКОЛЬ CARBON PROF RF</t>
  </si>
  <si>
    <t>Саморез остроконечный ТехноНИКОЛЬ       4.8х</t>
  </si>
  <si>
    <t>По расчету</t>
  </si>
  <si>
    <t>Регион объекта</t>
  </si>
  <si>
    <t>уп.</t>
  </si>
  <si>
    <t>шт</t>
  </si>
  <si>
    <t xml:space="preserve">Огнезащитный материал </t>
  </si>
  <si>
    <t>ПВХ Logicroof Walkway Puzzle</t>
  </si>
  <si>
    <t>Дорожки пешеходные</t>
  </si>
  <si>
    <t>АЦЛ/ОСБ</t>
  </si>
  <si>
    <t xml:space="preserve">Внешний </t>
  </si>
  <si>
    <t>парапетная</t>
  </si>
  <si>
    <t>ПВХ угол ТехноНИКОЛЬ*</t>
  </si>
  <si>
    <t>ПВХ угол ТехноНИКОЛЬ*,</t>
  </si>
  <si>
    <t>ПВХ Внутренний угол ТехноНИКОЛЬ*</t>
  </si>
  <si>
    <t>ПВХ Внешний угол ТехноНИКОЛЬ*</t>
  </si>
  <si>
    <t>Примечания к расчету</t>
  </si>
  <si>
    <t>Общие сведения</t>
  </si>
  <si>
    <t>Общие расчетные данные</t>
  </si>
  <si>
    <t>Основание</t>
  </si>
  <si>
    <t>ТИП1</t>
  </si>
  <si>
    <t>ТИП2</t>
  </si>
  <si>
    <t>ТИП3</t>
  </si>
  <si>
    <t>ТИП4</t>
  </si>
  <si>
    <t>ТИП5</t>
  </si>
  <si>
    <t>ТИП6</t>
  </si>
  <si>
    <t>ТИП7</t>
  </si>
  <si>
    <t>ТИП8</t>
  </si>
  <si>
    <t>ТИП9</t>
  </si>
  <si>
    <t>ТИП10</t>
  </si>
  <si>
    <t>Примыкания</t>
  </si>
  <si>
    <t>ТИП 1</t>
  </si>
  <si>
    <t>ТИП 2</t>
  </si>
  <si>
    <t>ТИП 3</t>
  </si>
  <si>
    <t>ТИП 4</t>
  </si>
  <si>
    <t>ТИП 5</t>
  </si>
  <si>
    <t>ТИП 6</t>
  </si>
  <si>
    <t>ТИП 7</t>
  </si>
  <si>
    <t>ТИП 8</t>
  </si>
  <si>
    <t>ТИП 9</t>
  </si>
  <si>
    <t>ТИП 10</t>
  </si>
  <si>
    <t>Расчет пароизоляции</t>
  </si>
  <si>
    <t>Расчет крепежа</t>
  </si>
  <si>
    <t>САМОРЕЗ 6,3</t>
  </si>
  <si>
    <t>САМОРЕЗ 4,8</t>
  </si>
  <si>
    <t>ДА 6,3</t>
  </si>
  <si>
    <t xml:space="preserve">Саморез, мм.    </t>
  </si>
  <si>
    <t>Площадь, м2</t>
  </si>
  <si>
    <t>Толщина пирога, мм</t>
  </si>
  <si>
    <t>Длина выступающих частей, м.п.</t>
  </si>
  <si>
    <t>Кол-во материала, м2</t>
  </si>
  <si>
    <t>Общее кол-во крепежа, шт.</t>
  </si>
  <si>
    <t>1.</t>
  </si>
  <si>
    <t>2.</t>
  </si>
  <si>
    <t>3.</t>
  </si>
  <si>
    <t>4.</t>
  </si>
  <si>
    <t>5.</t>
  </si>
  <si>
    <t>Длина, м.п.</t>
  </si>
  <si>
    <t>1</t>
  </si>
  <si>
    <t>Номер заявки</t>
  </si>
  <si>
    <t>Фриланс</t>
  </si>
  <si>
    <t>ТЕХНОРУФ ПРОФ С</t>
  </si>
  <si>
    <t xml:space="preserve">Внутренний </t>
  </si>
  <si>
    <t>Битум нефтяной кровельный БНК 90/30</t>
  </si>
  <si>
    <t>ПВХ примыкания</t>
  </si>
  <si>
    <t>БРМ примыкания</t>
  </si>
  <si>
    <t>Жидкий ПВХ ТехноНИКОЛЬ, 1л*</t>
  </si>
  <si>
    <t>Фартук из ПВХ мембраны для воронки ТН*</t>
  </si>
  <si>
    <t>Саморез сверлоконечный ТехноНИКОЛЬ       4,8х</t>
  </si>
  <si>
    <t>Саморез                                                               4,8х</t>
  </si>
  <si>
    <t>Саморез остроконечный ТехноНИКОЛЬ          6,3х</t>
  </si>
  <si>
    <t>5-25%</t>
  </si>
  <si>
    <t>5-8%</t>
  </si>
  <si>
    <t>Клин.плиты 5-8% Доб.плиты 5-15%</t>
  </si>
  <si>
    <t>Клин.плиты 5-8% Доб.плиты 5-10%</t>
  </si>
  <si>
    <t>5-10%</t>
  </si>
  <si>
    <t xml:space="preserve">Нет полной информации о площади объекта (чертежи с искажениями, нечитаемые размеры). </t>
  </si>
  <si>
    <t>Присутствует полная информация о площади кровли и выступающим элементам + выполнен ветровой расчет п.5.</t>
  </si>
  <si>
    <t>Присутствует информация о площади и составу конструкций, нет данных по любому из пунктов:
-Тип местности;
-Тип основания;
-Продуваемость конструкции.</t>
  </si>
  <si>
    <t>Присутствует информация о площади, нет данных по любому из пунктов:
- Состав типов кровли;
- Тип местности;
- Тип основания;
- Продуваемость конструкции.</t>
  </si>
  <si>
    <t>Нет данных по любому из пунктов:
-Тип местности;
-Тип основания;
-Продуваемость конструкции;
-Геометрические размеры здания.</t>
  </si>
  <si>
    <t>10-200%</t>
  </si>
  <si>
    <t>6.</t>
  </si>
  <si>
    <t>Кратность материалов</t>
  </si>
  <si>
    <t>6 упаковок</t>
  </si>
  <si>
    <t>Каменная вата</t>
  </si>
  <si>
    <t>Поддоны</t>
  </si>
  <si>
    <t>XPS ТехноНИКОЛЬ CARBON PROF (40,50,100 мм)</t>
  </si>
  <si>
    <t>XPS ТехноНИКОЛЬ CARBON PROF (60,80 мм)</t>
  </si>
  <si>
    <t>XPS ТехноНИКОЛЬ CARBON PROF RF (50 мм)</t>
  </si>
  <si>
    <t>500 м3</t>
  </si>
  <si>
    <t>Рулоны</t>
  </si>
  <si>
    <t>Битумно-полимерная гидроизоляция</t>
  </si>
  <si>
    <t>ПВХ мембрана</t>
  </si>
  <si>
    <t>Крепежные элементы</t>
  </si>
  <si>
    <t>Коробки</t>
  </si>
  <si>
    <t>Саморез остроконечный ТехноНИКОЛЬ 5,5х35</t>
  </si>
  <si>
    <t>Нож для резки мембран ТехноНИКОЛЬ*</t>
  </si>
  <si>
    <t>Пробник для проверки качества шва*</t>
  </si>
  <si>
    <t>Примечание</t>
  </si>
  <si>
    <t>Устройство примыкания</t>
  </si>
  <si>
    <t xml:space="preserve">Ширина </t>
  </si>
  <si>
    <t>Высота</t>
  </si>
  <si>
    <t>Толщ. утепл., мм</t>
  </si>
  <si>
    <t>Высокий парапет</t>
  </si>
  <si>
    <t>Низкий парапет</t>
  </si>
  <si>
    <t>С краевой рейкой</t>
  </si>
  <si>
    <t>Открыт.в-к</t>
  </si>
  <si>
    <t>Нестандарт</t>
  </si>
  <si>
    <t xml:space="preserve">Устройство примыканий </t>
  </si>
  <si>
    <t>Устройство примыканий</t>
  </si>
  <si>
    <t>ТОЛЬКО КУ</t>
  </si>
  <si>
    <t>ТОЛЬКО КУ+ГИ</t>
  </si>
  <si>
    <t>Тип</t>
  </si>
  <si>
    <t>Гиперссылки на примыкания</t>
  </si>
  <si>
    <t>Высокий парапет БРМ</t>
  </si>
  <si>
    <t>Высокий парапет ПВХ</t>
  </si>
  <si>
    <t>https://cloud.mail.ru/public/63cS/iqfZGKaVE</t>
  </si>
  <si>
    <t>https://cloud.mail.ru/public/ERie/27hriaXKC</t>
  </si>
  <si>
    <t>Краевая БРМ</t>
  </si>
  <si>
    <t>https://cloud.mail.ru/public/Hrni/KYNyR66tG</t>
  </si>
  <si>
    <t>Краевая ПВХ</t>
  </si>
  <si>
    <t>https://cloud.mail.ru/public/LBxk/ra7WXdFKD</t>
  </si>
  <si>
    <t>https://cloud.mail.ru/public/ATnw/77x51VqY9</t>
  </si>
  <si>
    <t>Низкий парапет БРМ</t>
  </si>
  <si>
    <t>https://cloud.mail.ru/public/LWQk/J43FqXWWE</t>
  </si>
  <si>
    <t>Низкий парапет ПВХ</t>
  </si>
  <si>
    <t>https://cloud.mail.ru/public/Ephr/PaJqdQ58A</t>
  </si>
  <si>
    <t>https://cloud.mail.ru/public/4zjk/pBXrK4HY2</t>
  </si>
  <si>
    <t>https://cloud.mail.ru/public/AddF/GJy3vMyiD</t>
  </si>
  <si>
    <t>Открытый ПВХ</t>
  </si>
  <si>
    <t>Открытый БРМ</t>
  </si>
  <si>
    <t>Высокий парапет ПВХ с утеплением</t>
  </si>
  <si>
    <t>Низкий парапет ПВХ с утеплением</t>
  </si>
  <si>
    <t>Краевая ПВХ с утеплением</t>
  </si>
  <si>
    <t>Тип примыканий</t>
  </si>
  <si>
    <t>В Примечания</t>
  </si>
  <si>
    <t>АНКЕР, шт</t>
  </si>
  <si>
    <t>Принимая в работу данную спецификацию, Вы соглашаетесь с правилами выполнения расчетов в Проектно-Расчетном центре.</t>
  </si>
  <si>
    <t>КВ 4.2%</t>
  </si>
  <si>
    <t>Сумма крепежа ТИ, шт.</t>
  </si>
  <si>
    <t>Сумма крепежа ГИ, шт.</t>
  </si>
  <si>
    <t>Общий расход на 1 м2, шт.</t>
  </si>
  <si>
    <t>Расход ТИ     на 1 м2, шт.</t>
  </si>
  <si>
    <t>Расход ГИ      на 1 м2, шт.</t>
  </si>
  <si>
    <t>Контакты заказчика (E-mail)</t>
  </si>
  <si>
    <t>Пятков Е.</t>
  </si>
  <si>
    <t>Гиперссылки на альбом клинов</t>
  </si>
  <si>
    <t>Альбом с примерами раскладки клиновидной теплоизоляции из каменной ваты можно скачать по этой ссылке</t>
  </si>
  <si>
    <t>Альбом с примерами раскладки клиновидной теплоизоляции из XPS можно скачать по этой ссылке</t>
  </si>
  <si>
    <t>Альбом с примерами раскладки клиновидной теплоизоляции из PIR можно скачать по этой ссылке</t>
  </si>
  <si>
    <t>↓ Устройство теплоизоляционного слоя</t>
  </si>
  <si>
    <t>↓ Устройство гидроизоляционного слоя</t>
  </si>
  <si>
    <t>↓ Устройство примыканий к вертикальным поверхностям</t>
  </si>
  <si>
    <t xml:space="preserve">↓ Устройство уклонообразующего слоя </t>
  </si>
  <si>
    <t>↓ Телескопы</t>
  </si>
  <si>
    <t>↓ Саморезы</t>
  </si>
  <si>
    <t>↓ Анкера</t>
  </si>
  <si>
    <t>Сборная стяжка</t>
  </si>
  <si>
    <t>Блок ввода данных по расчету количества крепежа сборной стяжки</t>
  </si>
  <si>
    <t>АЦЛ 6 мм</t>
  </si>
  <si>
    <t>АЦЛ 8 мм</t>
  </si>
  <si>
    <t>АЦЛ 10 мм</t>
  </si>
  <si>
    <t>ЦСП 8 мм</t>
  </si>
  <si>
    <t>ЦСП 10 мм</t>
  </si>
  <si>
    <t>ЦСП 12 мм</t>
  </si>
  <si>
    <t>ЦСП 16 мм</t>
  </si>
  <si>
    <t>ЦСП 20 мм</t>
  </si>
  <si>
    <t>ЦСП 24 мм</t>
  </si>
  <si>
    <t>ЦСП 26 мм</t>
  </si>
  <si>
    <t>Кол-во слоев</t>
  </si>
  <si>
    <t>1 слой</t>
  </si>
  <si>
    <t>ВЫСОТА</t>
  </si>
  <si>
    <t>КОЛ-ВО</t>
  </si>
  <si>
    <t>[шт/м2]</t>
  </si>
  <si>
    <t>Выгрузка крепежа, Н</t>
  </si>
  <si>
    <t>Выгрузка крепежа, F</t>
  </si>
  <si>
    <t>Выгрузка крепежа, G</t>
  </si>
  <si>
    <t>[м2]</t>
  </si>
  <si>
    <t>Вид стяжки</t>
  </si>
  <si>
    <t>t, mm</t>
  </si>
  <si>
    <t>F (угол)</t>
  </si>
  <si>
    <t>G (парапет)</t>
  </si>
  <si>
    <t>Толщина слоя, мм</t>
  </si>
  <si>
    <t>Крепление слоя, шт.</t>
  </si>
  <si>
    <t>H (центр)</t>
  </si>
  <si>
    <t>Средн. расх.</t>
  </si>
  <si>
    <t>Сборная стяжка+ГИ</t>
  </si>
  <si>
    <t>Рейка прижимная алюминиевая ТехноНИКОЛЬ, 2м</t>
  </si>
  <si>
    <t>Рейка краевая алюминиевая ТехноНИКОЛЬ, 3м</t>
  </si>
  <si>
    <t>Мастика герметизирующая ТЕХНОНИКОЛЬ №71 (310 мл)</t>
  </si>
  <si>
    <t>ТИП ЗДАНИЯ:</t>
  </si>
  <si>
    <t>Объекты ФЗ-44</t>
  </si>
  <si>
    <t>Объекты ПП-615</t>
  </si>
  <si>
    <t>Ограждение</t>
  </si>
  <si>
    <t>Нормируемая высота ограждения = 600 мм.</t>
  </si>
  <si>
    <t>Нормируемая высота ограждения = 1200 мм.</t>
  </si>
  <si>
    <t>Кол-во, шт.</t>
  </si>
  <si>
    <t>Тип здания:</t>
  </si>
  <si>
    <t>200≤</t>
  </si>
  <si>
    <t>0≤</t>
  </si>
  <si>
    <t>400≤</t>
  </si>
  <si>
    <t>600≤</t>
  </si>
  <si>
    <t>800≤</t>
  </si>
  <si>
    <t>Стоимость расчета СБЕ</t>
  </si>
  <si>
    <t>7.</t>
  </si>
  <si>
    <t>Таблица группировки крепежа по сборной стяжке</t>
  </si>
  <si>
    <t>Воеводин В.</t>
  </si>
  <si>
    <t xml:space="preserve">Калачев </t>
  </si>
  <si>
    <t xml:space="preserve">Колесников </t>
  </si>
  <si>
    <t xml:space="preserve">Кремянская </t>
  </si>
  <si>
    <t xml:space="preserve">Мареева </t>
  </si>
  <si>
    <t xml:space="preserve">Новожонов </t>
  </si>
  <si>
    <t xml:space="preserve">Силищев </t>
  </si>
  <si>
    <t>LOGICROOF Bond Arctic Клей контактный, ведро 10 л.</t>
  </si>
  <si>
    <t>Кровельное ограждение ТехноНИКОЛЬ КО/PRO/PL/1200-3</t>
  </si>
  <si>
    <t>Кровельное ограждение ТехноНИКОЛЬ КО/PRO/PV/800-3</t>
  </si>
  <si>
    <t>Кровельное ограждение ТехноНИКОЛЬ КО/PRO/PL/600-2</t>
  </si>
  <si>
    <t>Кровельное ограждение ТехноНИКОЛЬ КО/PRO/PV/600-2</t>
  </si>
  <si>
    <t>Расход на стяжку
 на 1 м2, шт.</t>
  </si>
  <si>
    <t>ОБЩИЕ_ДАННЫЕ</t>
  </si>
  <si>
    <t>Расчет паронакопления СП 50-13330.2012</t>
  </si>
  <si>
    <t>Расчет ограждения</t>
  </si>
  <si>
    <t>Рейка краевая алюминиевая ТехноНИКОЛЬ PRO, 2 м</t>
  </si>
  <si>
    <t>Рейка прижимная алюминиевая ТехноНИКОЛЬ PRO, 2 м</t>
  </si>
  <si>
    <t>Воронка ESSMANNGULLY DN 100</t>
  </si>
  <si>
    <t xml:space="preserve">Воронка ULTRA ремонтная парапетная 100 </t>
  </si>
  <si>
    <t>Фильтр для воронок универсальный</t>
  </si>
  <si>
    <t>Воронка ULTRA парапетная 110</t>
  </si>
  <si>
    <t>Воронка ТехноНИКОЛЬ ВБ, 110х450 мм</t>
  </si>
  <si>
    <t>Воронка ТехноНИКОЛЬ с обжимным фланцем, 110х450 мм</t>
  </si>
  <si>
    <t>Воронка ТехноНИКОЛЬ с обжимным фланцем обогреваемая, 110х450 мм</t>
  </si>
  <si>
    <t>Уточнять применение в зависимости от сезона!</t>
  </si>
  <si>
    <t>https://nav.tn.ru/upload/files/prc/Albom_KI_КВ.pdf</t>
  </si>
  <si>
    <t>https://nav.tn.ru/upload/files/prc/Albom_KI_XPS.pdf</t>
  </si>
  <si>
    <t>https://nav.tn.ru/upload/files/prc/Albom_KI_PIR.pdf</t>
  </si>
  <si>
    <t>https://cloud.mail.ru/public/3Xm2/2B5MYc1Nz</t>
  </si>
  <si>
    <t>003513</t>
  </si>
  <si>
    <t>571209</t>
  </si>
  <si>
    <t>570392</t>
  </si>
  <si>
    <t>553058</t>
  </si>
  <si>
    <t>342509</t>
  </si>
  <si>
    <t>530464</t>
  </si>
  <si>
    <t>479733</t>
  </si>
  <si>
    <t>479732</t>
  </si>
  <si>
    <t>659577</t>
  </si>
  <si>
    <t>659578</t>
  </si>
  <si>
    <t>659573</t>
  </si>
  <si>
    <t>659568</t>
  </si>
  <si>
    <t>659570</t>
  </si>
  <si>
    <t>364399</t>
  </si>
  <si>
    <t>616080</t>
  </si>
  <si>
    <t>ОБЩИЕ ДАННЫЕ</t>
  </si>
  <si>
    <t>ТОЧНОСТЬ РАСЧЁТА</t>
  </si>
  <si>
    <t>СТОИМОСТЬ РАСЧЁТА</t>
  </si>
  <si>
    <t>Материал (СК)</t>
  </si>
  <si>
    <t>Объект</t>
  </si>
  <si>
    <t>Шифр расчета</t>
  </si>
  <si>
    <t>Дата выдачи расчета</t>
  </si>
  <si>
    <t>Дата поступления исходных данных</t>
  </si>
  <si>
    <t>Адрес объекта/ Регион объекта</t>
  </si>
  <si>
    <t>Заказчик/ Регион заказчика</t>
  </si>
  <si>
    <t>ФИО Заказчика</t>
  </si>
  <si>
    <t>Должность</t>
  </si>
  <si>
    <t>Текущая стадия</t>
  </si>
  <si>
    <t>Новый вариант системы</t>
  </si>
  <si>
    <t>Изменения в чертежах</t>
  </si>
  <si>
    <t>Корректировка по ветровому расчету</t>
  </si>
  <si>
    <t>ТН-КРОВЛЯ КЛАССИК</t>
  </si>
  <si>
    <t>ТН-КРОВЛЯ СМАРТ PIR</t>
  </si>
  <si>
    <t>ТН-КРОВЛЯ СМАРТ</t>
  </si>
  <si>
    <t>ТН-КРОВЛЯ ФИКС</t>
  </si>
  <si>
    <t>Тип конструкции</t>
  </si>
  <si>
    <t>Примечание 2</t>
  </si>
  <si>
    <t>ТН-КРОВЛЯ ТИТАН</t>
  </si>
  <si>
    <t>ТН-КРОВЛЯ СТАНДАРТ</t>
  </si>
  <si>
    <t>ТН-КРОВЛЯ БАЛЛАСТ</t>
  </si>
  <si>
    <t>Система</t>
  </si>
  <si>
    <t>Аэратор кровельный  ТехноНИКОЛЬ  160х460мм*</t>
  </si>
  <si>
    <t>ПВХ Кровельный аэратор 75 х 375 мм*</t>
  </si>
  <si>
    <t>34591</t>
  </si>
  <si>
    <t>639887</t>
  </si>
  <si>
    <t>335424</t>
  </si>
  <si>
    <t>582405</t>
  </si>
  <si>
    <t>582406</t>
  </si>
  <si>
    <t>582408</t>
  </si>
  <si>
    <t>582416</t>
  </si>
  <si>
    <t>418324</t>
  </si>
  <si>
    <t>418321</t>
  </si>
  <si>
    <t>418320</t>
  </si>
  <si>
    <t>418318</t>
  </si>
  <si>
    <t>ТЕХНОРУФ Н ПРОФ КЛИН (1.7 % элемент А)</t>
  </si>
  <si>
    <t>ТЕХНОРУФ Н ПРОФ КЛИН (1.7 % элемент Б)</t>
  </si>
  <si>
    <t>ТЕХНОРУФ Н ПРОФ КЛИН (1.7 % элемент С)</t>
  </si>
  <si>
    <t>ТЕХНОРУФ Н ПРОФ КЛИН (4,2 % элемент А1)</t>
  </si>
  <si>
    <t>ТЕХНОРУФ Н ПРОФ КЛИН (4,2 % элемент А)</t>
  </si>
  <si>
    <t>ТЕХНОРУФ Н ПРОФ КЛИН (4,2 % элемент Б)</t>
  </si>
  <si>
    <t>ТЕХНОРУФ Н ПРОФ КЛИН (4,2 % элемент С)</t>
  </si>
  <si>
    <t>352606</t>
  </si>
  <si>
    <t>224523</t>
  </si>
  <si>
    <t>353256</t>
  </si>
  <si>
    <t>472219</t>
  </si>
  <si>
    <t>652067</t>
  </si>
  <si>
    <t>342508</t>
  </si>
  <si>
    <t>030179</t>
  </si>
  <si>
    <t>364972</t>
  </si>
  <si>
    <t>347305</t>
  </si>
  <si>
    <t>353962</t>
  </si>
  <si>
    <t>408679</t>
  </si>
  <si>
    <t>482379</t>
  </si>
  <si>
    <t>030214</t>
  </si>
  <si>
    <t>032665</t>
  </si>
  <si>
    <t>228680</t>
  </si>
  <si>
    <t>088497</t>
  </si>
  <si>
    <t>228683</t>
  </si>
  <si>
    <t>228675</t>
  </si>
  <si>
    <t>335072</t>
  </si>
  <si>
    <t>033422</t>
  </si>
  <si>
    <t>415521</t>
  </si>
  <si>
    <t>476790</t>
  </si>
  <si>
    <t>476788</t>
  </si>
  <si>
    <t>476789</t>
  </si>
  <si>
    <t>585231</t>
  </si>
  <si>
    <t>585233</t>
  </si>
  <si>
    <t>585232</t>
  </si>
  <si>
    <t>585234</t>
  </si>
  <si>
    <t>585235</t>
  </si>
  <si>
    <t>654180</t>
  </si>
  <si>
    <t>654394</t>
  </si>
  <si>
    <t>Сендвич-панель ТЕХНОНИКОЛЬ Ц-XPS CARBON</t>
  </si>
  <si>
    <t>422528</t>
  </si>
  <si>
    <r>
      <t>ПВХ мембрана LOGICR</t>
    </r>
    <r>
      <rPr>
        <sz val="10"/>
        <rFont val="Arial"/>
        <family val="2"/>
        <charset val="204"/>
      </rPr>
      <t>OOF V-GR FB (2.0 мм)</t>
    </r>
  </si>
  <si>
    <t>362078</t>
  </si>
  <si>
    <t>029384</t>
  </si>
  <si>
    <t>029586</t>
  </si>
  <si>
    <t>582415</t>
  </si>
  <si>
    <t>Промокод</t>
  </si>
  <si>
    <t>КВ 1.7% ВЭ</t>
  </si>
  <si>
    <t>КВ 1.7%</t>
  </si>
  <si>
    <t>Клей-пена LOGICPIR, 1000 мл</t>
  </si>
  <si>
    <t>Скотч двусторонний для пароизоляции</t>
  </si>
  <si>
    <t>(для ПК)</t>
  </si>
  <si>
    <t>(25 м)</t>
  </si>
  <si>
    <t>Стеклохолст ТехноНИКОЛЬ</t>
  </si>
  <si>
    <t xml:space="preserve"> (100 гр/м2)</t>
  </si>
  <si>
    <t>(100 гр/м2)</t>
  </si>
  <si>
    <t>(2 слоя)</t>
  </si>
  <si>
    <t>(для АЦЛ)</t>
  </si>
  <si>
    <t>Техноэласт ЭКП (4.2 мм)</t>
  </si>
  <si>
    <t>Унифлекс ВЕНТ ЭПВ</t>
  </si>
  <si>
    <t>Техноэласт ЭПП (4.0 мм)</t>
  </si>
  <si>
    <t>Техноэласт ФИКС (3.0 мм)</t>
  </si>
  <si>
    <t>Унифлекс С</t>
  </si>
  <si>
    <t>Техноэласт ПРАЙМ ЭММ</t>
  </si>
  <si>
    <t>Техноэласт ПРАЙМ ЭКМ</t>
  </si>
  <si>
    <t>Техноэласт Декор</t>
  </si>
  <si>
    <t>Техноэласт ПЛАМЯ СТОП ЭКП (4.2 мм)</t>
  </si>
  <si>
    <t>Унифлекс ЭКП (3.8 мм)</t>
  </si>
  <si>
    <t>Унифлекс ЭПП (2.8 мм)</t>
  </si>
  <si>
    <t>Техноэласт ЭПП (4.0 мм) (два слоя)</t>
  </si>
  <si>
    <t>Слоёв КУ</t>
  </si>
  <si>
    <t>2 и более</t>
  </si>
  <si>
    <t>Площадь плит [м2]</t>
  </si>
  <si>
    <t>Надставной элемент</t>
  </si>
  <si>
    <t>Уточнять применение!</t>
  </si>
  <si>
    <t>Изменения для заказчика</t>
  </si>
  <si>
    <t>Изменение схемы раскладки клинов</t>
  </si>
  <si>
    <t>Рейка краевая алюминиевая ТехноНИКОЛЬ, 2 м</t>
  </si>
  <si>
    <t>Рейка прижимная алюминиевая ТехноНИКОЛЬ, 2 м</t>
  </si>
  <si>
    <t>639886</t>
  </si>
  <si>
    <t>639884</t>
  </si>
  <si>
    <t>БРМ</t>
  </si>
  <si>
    <t>661125</t>
  </si>
  <si>
    <t>661124</t>
  </si>
  <si>
    <t>Т</t>
  </si>
  <si>
    <t>33260</t>
  </si>
  <si>
    <t>231242</t>
  </si>
  <si>
    <t>458949</t>
  </si>
  <si>
    <t>369260</t>
  </si>
  <si>
    <t>Семак М.</t>
  </si>
  <si>
    <t>Время регистрации заявки:</t>
  </si>
  <si>
    <t>Ф.И.О.:</t>
  </si>
  <si>
    <t>Должность:</t>
  </si>
  <si>
    <t>Телефон:</t>
  </si>
  <si>
    <t>Email:</t>
  </si>
  <si>
    <t>Заказчик расчета:</t>
  </si>
  <si>
    <t>Другое значение:</t>
  </si>
  <si>
    <t>Тип расчета:</t>
  </si>
  <si>
    <t>Номер расчета:</t>
  </si>
  <si>
    <t>Регион организации:</t>
  </si>
  <si>
    <t>Город организации:</t>
  </si>
  <si>
    <t>Прочий регион:</t>
  </si>
  <si>
    <t>Номер объекта:</t>
  </si>
  <si>
    <t>Известен номер объекта:</t>
  </si>
  <si>
    <t>Промокод:</t>
  </si>
  <si>
    <t>Наименование объекта:</t>
  </si>
  <si>
    <t>Стадия работ:</t>
  </si>
  <si>
    <t>Стадия объекта:</t>
  </si>
  <si>
    <t>Адрес объекта:</t>
  </si>
  <si>
    <t>Регион объекта:</t>
  </si>
  <si>
    <t>Широта:</t>
  </si>
  <si>
    <t>Долгота:</t>
  </si>
  <si>
    <t>Плоская кровля</t>
  </si>
  <si>
    <t>1000 м3</t>
  </si>
  <si>
    <t>XPS ТехноНИКОЛЬ CARBON PROF RF (60,80,100 мм)</t>
  </si>
  <si>
    <t>Новый расчет</t>
  </si>
  <si>
    <t>Центральный федеральный округ</t>
  </si>
  <si>
    <t>Дальневосточный федеральный округ</t>
  </si>
  <si>
    <t>Дата выдачи заявки</t>
  </si>
  <si>
    <t>Южный федеральный округ</t>
  </si>
  <si>
    <t>Приволжский федеральный округ</t>
  </si>
  <si>
    <t>Северо-западный федеральный округ</t>
  </si>
  <si>
    <t>Уральский федеральный округ</t>
  </si>
  <si>
    <t>Сибирский федеральный округ</t>
  </si>
  <si>
    <t>Перерасчет (выявлена ошибка)</t>
  </si>
  <si>
    <t>↓</t>
  </si>
  <si>
    <t>Для использования макроса откройте файл "Форма ПРЦ" для текущего расчета</t>
  </si>
  <si>
    <t>Новые данные для ветрового расчета</t>
  </si>
  <si>
    <t>Затем нажать "Вставить ОД"</t>
  </si>
  <si>
    <t>Поля "Количество вариантов расчёта" и "Номер варианта" в основной области заполняются вручную</t>
  </si>
  <si>
    <t>Номер расчёта, Дата выдачи заявки и Номер заявки заполняется вручную</t>
  </si>
  <si>
    <t>ID(номер) заявки:</t>
  </si>
  <si>
    <t>Типы расчётов:</t>
  </si>
  <si>
    <t>Регионы:</t>
  </si>
  <si>
    <t>Должности:</t>
  </si>
  <si>
    <t>Год</t>
  </si>
  <si>
    <t>Месяц</t>
  </si>
  <si>
    <t>№ сотр</t>
  </si>
  <si>
    <t>ГИ</t>
  </si>
  <si>
    <t>Организация/Для кого</t>
  </si>
  <si>
    <t>8.</t>
  </si>
  <si>
    <t>Приложенные файлы</t>
  </si>
  <si>
    <t>ТЕХНОРУФ Н ПРОФ КЛИН (4,2 %, Элемент А) (Н)</t>
  </si>
  <si>
    <t>ТЕХНОРУФ Н ПРОФ КЛИН (4,2 %, Элемент Б) (Н)</t>
  </si>
  <si>
    <t>КВ 4.2% Н</t>
  </si>
  <si>
    <t>Теплотехнический расчет по методике СП  50</t>
  </si>
  <si>
    <t>Тепло 
СП 23-02-2003</t>
  </si>
  <si>
    <t>Тепло 
СП  50</t>
  </si>
  <si>
    <t>Т50</t>
  </si>
  <si>
    <t>Листвоуловитель для воронки XL503</t>
  </si>
  <si>
    <t>693435</t>
  </si>
  <si>
    <t>693436</t>
  </si>
  <si>
    <t>693438</t>
  </si>
  <si>
    <t>692930</t>
  </si>
  <si>
    <t>692931</t>
  </si>
  <si>
    <t>Кровельный  вакуумный аэратор с клапаном 450x420 мм</t>
  </si>
  <si>
    <t>472155</t>
  </si>
  <si>
    <t>Добавляется вручную</t>
  </si>
  <si>
    <t>Клей-пена ТЕХНОНИКОЛЬ PROFESSIONAL для пенополистирола</t>
  </si>
  <si>
    <t>5 штук на плиту</t>
  </si>
  <si>
    <t>Плита ТЕХНО ОЗМ</t>
  </si>
  <si>
    <t>Огнезащита:</t>
  </si>
  <si>
    <t>Крепёж</t>
  </si>
  <si>
    <t>Диапазон толщин ОЗМ: 30-110 мм</t>
  </si>
  <si>
    <t>360957</t>
  </si>
  <si>
    <t>629549</t>
  </si>
  <si>
    <t>ТЕХНОРУФ В ЭКСТРА КЛИН (1,7 %, Элемент А)</t>
  </si>
  <si>
    <t>ТЕХНОРУФ В ЭКСТРА КЛИН (1,7 %, Элемент С)</t>
  </si>
  <si>
    <t>ТЕХНОРУФ В ЭКСТРА КЛИН (4,2 % элемент А)</t>
  </si>
  <si>
    <t>ТЕХНОРУФ В ЭКСТРА КЛИН (4,2 % элемент Б)</t>
  </si>
  <si>
    <t>ТЕХНОРУФ В ЭКСТРА КЛИН (4,2 % элемент С)</t>
  </si>
  <si>
    <t>617273</t>
  </si>
  <si>
    <t>617541</t>
  </si>
  <si>
    <t>617800</t>
  </si>
  <si>
    <t>ТЕХНОРУФ В ЭКСТРА КЛИН (1,7 %, Элемент Б)</t>
  </si>
  <si>
    <t>КВ 4.2% ВЭ</t>
  </si>
  <si>
    <t>(25 м) ****</t>
  </si>
  <si>
    <t>Для кого ТИП заказчика</t>
  </si>
  <si>
    <t>Для кого Наименование организации</t>
  </si>
  <si>
    <t>ИНН</t>
  </si>
  <si>
    <t>КПП</t>
  </si>
  <si>
    <t>ИНН организации:</t>
  </si>
  <si>
    <t>КПП организации:</t>
  </si>
  <si>
    <t>Герметик ПУ ТехноНИКОЛЬ Logicflex для плоских кровель</t>
  </si>
  <si>
    <t>2108</t>
  </si>
  <si>
    <t>2109</t>
  </si>
  <si>
    <t>Файлы:</t>
  </si>
  <si>
    <t>Ссылка на задание:</t>
  </si>
  <si>
    <t>ТАБЛИЦА ПОДБОРА КРЕПЕЖА ДЛЯ КЛИНОВИДНОЙ  ИЗОЛЯЦИИ</t>
  </si>
  <si>
    <t>ТАБЛИЦА ПОДБОРА КРЕПЕЖА ДЛЯ ОСНОВНОЙ ИЗОЛЯЦИИ</t>
  </si>
  <si>
    <t>Пояснения к расчётам ПРЦ можно получить по ссылке</t>
  </si>
  <si>
    <t>XPS 2.1%</t>
  </si>
  <si>
    <t>PIR SLOPE (3.4% элемент K)</t>
  </si>
  <si>
    <t>PIR 3.3% (J)</t>
  </si>
  <si>
    <t>PIR 3.3% (J+K)</t>
  </si>
  <si>
    <t>XPS 4.2%</t>
  </si>
  <si>
    <t>PIR SLOPE (доборная плита C 80 мм)</t>
  </si>
  <si>
    <t>645015</t>
  </si>
  <si>
    <t>645014</t>
  </si>
  <si>
    <t>Тепло</t>
  </si>
  <si>
    <t>ПАР</t>
  </si>
  <si>
    <t>Анализ</t>
  </si>
  <si>
    <t>Огражд</t>
  </si>
  <si>
    <t>Схемы Ветровых Зон</t>
  </si>
  <si>
    <t>Раскладка ГИ</t>
  </si>
  <si>
    <t>КИ</t>
  </si>
  <si>
    <t>А</t>
  </si>
  <si>
    <t>ОГР</t>
  </si>
  <si>
    <t>СВЗ</t>
  </si>
  <si>
    <t>РГИ</t>
  </si>
  <si>
    <t>КИ_Е</t>
  </si>
  <si>
    <t>МПК ПМ_Е</t>
  </si>
  <si>
    <t>МПК РМ_Е</t>
  </si>
  <si>
    <t>Т_Е</t>
  </si>
  <si>
    <t>Тепло_Е</t>
  </si>
  <si>
    <t>ПАР_Е</t>
  </si>
  <si>
    <t>А_Е</t>
  </si>
  <si>
    <t>ОГР_Е</t>
  </si>
  <si>
    <t>СВЗ_Е</t>
  </si>
  <si>
    <t>РГИ_Е</t>
  </si>
  <si>
    <t>RUS</t>
  </si>
  <si>
    <t>INT</t>
  </si>
  <si>
    <t>Регион</t>
  </si>
  <si>
    <t>Коээфициент ставки:</t>
  </si>
  <si>
    <t>040415</t>
  </si>
  <si>
    <t>584893</t>
  </si>
  <si>
    <t>584894</t>
  </si>
  <si>
    <t>584895</t>
  </si>
  <si>
    <t>418314</t>
  </si>
  <si>
    <t>584896</t>
  </si>
  <si>
    <t>584899</t>
  </si>
  <si>
    <t>XPS CARBON SOLID 500</t>
  </si>
  <si>
    <t>471150</t>
  </si>
  <si>
    <t>474977</t>
  </si>
  <si>
    <t>XPS CARBON SOLID 700</t>
  </si>
  <si>
    <t>XPS CARBON SOLID 1000</t>
  </si>
  <si>
    <t>418353</t>
  </si>
  <si>
    <t>418352</t>
  </si>
  <si>
    <t>ТЕХНОЛАЙТ ЭКСТРА</t>
  </si>
  <si>
    <t>12203</t>
  </si>
  <si>
    <t>15413</t>
  </si>
  <si>
    <t>20582</t>
  </si>
  <si>
    <t>12202</t>
  </si>
  <si>
    <t>ТЕХНОБЛОК СТАНДАРТ</t>
  </si>
  <si>
    <t>ТЕХНОВЕНТ СТАНДАРТ</t>
  </si>
  <si>
    <t>ТЕХНОЛАЙТ ЭКСТРА, для гофр*</t>
  </si>
  <si>
    <t>691611</t>
  </si>
  <si>
    <t>Шустов С.</t>
  </si>
  <si>
    <t>Стандарт</t>
  </si>
  <si>
    <t>Под заказ</t>
  </si>
  <si>
    <t>40;50</t>
  </si>
  <si>
    <t>Мин. Партия</t>
  </si>
  <si>
    <t>50;100</t>
  </si>
  <si>
    <t>497688</t>
  </si>
  <si>
    <t>497690</t>
  </si>
  <si>
    <t>73 м3</t>
  </si>
  <si>
    <t>60;70,80;90;110;120;130;140;150;160;170;180;190;200</t>
  </si>
  <si>
    <t>60;70,80;90;110;120;130;140;150</t>
  </si>
  <si>
    <t>50;60;70;80;100;110;120;150</t>
  </si>
  <si>
    <t>90;130;140;160;170;180</t>
  </si>
  <si>
    <t>105 м3</t>
  </si>
  <si>
    <t>66 м3</t>
  </si>
  <si>
    <t>62 м3</t>
  </si>
  <si>
    <t>60;70;90;130;140;160;170;180</t>
  </si>
  <si>
    <t>40;60;70;80;90;100;110;120;130;140;150</t>
  </si>
  <si>
    <t>76 м3</t>
  </si>
  <si>
    <t>69 м3</t>
  </si>
  <si>
    <t>60;70;90;110;120;130;140;150;160;170;180</t>
  </si>
  <si>
    <t>101 м3</t>
  </si>
  <si>
    <t>86 м3</t>
  </si>
  <si>
    <t>50;80;100;110;120;150</t>
  </si>
  <si>
    <t>121 м3</t>
  </si>
  <si>
    <t>50;80;100</t>
  </si>
  <si>
    <t>40;50;100</t>
  </si>
  <si>
    <t>40;60;80</t>
  </si>
  <si>
    <t>40;50;60;100</t>
  </si>
  <si>
    <t>20;40;100</t>
  </si>
  <si>
    <t>30;50</t>
  </si>
  <si>
    <t>С учетом кратности упаковки*****</t>
  </si>
  <si>
    <t xml:space="preserve">***** Значение в столбце "С учетом кратности упаковки" указано справочно. </t>
  </si>
  <si>
    <t>Точную информацию необходимо уточнять у региональных менеджеров</t>
  </si>
  <si>
    <t>https://cloud.mail.ru/public/CUxA/bNy1CsNKq</t>
  </si>
  <si>
    <t>548448</t>
  </si>
  <si>
    <t>72</t>
  </si>
  <si>
    <t>100</t>
  </si>
  <si>
    <t>Разные цвета</t>
  </si>
  <si>
    <t>3021</t>
  </si>
  <si>
    <t>329320</t>
  </si>
  <si>
    <t>543431</t>
  </si>
  <si>
    <t>78</t>
  </si>
  <si>
    <t>В прайсе ПВХ и в прайсе БРМ</t>
  </si>
  <si>
    <t>Разные виды</t>
  </si>
  <si>
    <t>ТН-КРОВЛЯ УНИВЕРСАЛ</t>
  </si>
  <si>
    <t>ТН-КРОВЛЯ ПРОФ</t>
  </si>
  <si>
    <t>ТН-КРОВЛЯ ОПТИМА</t>
  </si>
  <si>
    <t>Ролик прикаточный с телескопической ручкой</t>
  </si>
  <si>
    <t>043002</t>
  </si>
  <si>
    <t>1787</t>
  </si>
  <si>
    <t>670813</t>
  </si>
  <si>
    <t>670880</t>
  </si>
  <si>
    <t>500541</t>
  </si>
  <si>
    <t>ТН-КРОВЛЯ ГАРАНТ+</t>
  </si>
  <si>
    <t>ТН-КРОВЛЯ МАСТЕР</t>
  </si>
  <si>
    <t>ТН-КРОВЛЯ ЭКСПЕРТ PIR</t>
  </si>
  <si>
    <t>Расчитаны другие клины</t>
  </si>
  <si>
    <t>Добавлен расчет материалов</t>
  </si>
  <si>
    <t>Изменение пароизоляции</t>
  </si>
  <si>
    <t>Разделение кровли на участки</t>
  </si>
  <si>
    <t>Добавлен ветровой расчет</t>
  </si>
  <si>
    <t>Добавлен теплотехнический расчет</t>
  </si>
  <si>
    <t>Исключены клины</t>
  </si>
  <si>
    <t>Добавлен расчет клинов</t>
  </si>
  <si>
    <t>Проверка на изменение чертежей</t>
  </si>
  <si>
    <t>107</t>
  </si>
  <si>
    <t>539796</t>
  </si>
  <si>
    <t>631950</t>
  </si>
  <si>
    <t>631952</t>
  </si>
  <si>
    <t>591278</t>
  </si>
  <si>
    <t>591281</t>
  </si>
  <si>
    <t>501883</t>
  </si>
  <si>
    <t>41912</t>
  </si>
  <si>
    <t>41916</t>
  </si>
  <si>
    <t>41918</t>
  </si>
  <si>
    <t>41919</t>
  </si>
  <si>
    <t>362079</t>
  </si>
  <si>
    <t>696466 </t>
  </si>
  <si>
    <t>696210 </t>
  </si>
  <si>
    <t>696216 </t>
  </si>
  <si>
    <t>696218 </t>
  </si>
  <si>
    <t>696219 </t>
  </si>
  <si>
    <t>696220 </t>
  </si>
  <si>
    <t>30;45;55;60;65;70;75;80;85;90;95;110;120;130;140;150</t>
  </si>
  <si>
    <t>30;40;45;55;60;65;70;75;80;85;90;95;100</t>
  </si>
  <si>
    <t>Лобанова Т.</t>
  </si>
  <si>
    <t>42500</t>
  </si>
  <si>
    <t>Круглый тарельчатый держатель ТехноНИКОЛЬ 50мм</t>
  </si>
  <si>
    <t>458952</t>
  </si>
  <si>
    <t>Круглый тарельчатый держатель ТН (1/С) Ø 50</t>
  </si>
  <si>
    <t>472705</t>
  </si>
  <si>
    <t>467191</t>
  </si>
  <si>
    <t>Рубероид РКП-350</t>
  </si>
  <si>
    <t>488518</t>
  </si>
  <si>
    <t>537124</t>
  </si>
  <si>
    <t>528381</t>
  </si>
  <si>
    <t>Разные кратности</t>
  </si>
  <si>
    <t>118</t>
  </si>
  <si>
    <t xml:space="preserve">Лента LOGICROOF Tape PVC-B </t>
  </si>
  <si>
    <t>670083</t>
  </si>
  <si>
    <t>п.м.</t>
  </si>
  <si>
    <t>363239</t>
  </si>
  <si>
    <t>Техноэласт МОСТ С</t>
  </si>
  <si>
    <t>Пленка пароизоляционная ТехноНИКОЛЬ 120 мкм  (300 м2/рул)</t>
  </si>
  <si>
    <t>Пленка пароизоляционная ТехноНИКОЛЬ 3x100 м  (300 м2/рул)</t>
  </si>
  <si>
    <t>338080</t>
  </si>
  <si>
    <t>650347</t>
  </si>
  <si>
    <t>Воронка для ПВХ мембран XL503 с обогревом, 110х450 мм</t>
  </si>
  <si>
    <t>Воронка для ПВХ мембран XL503 без обогрева, 110х450 мм</t>
  </si>
  <si>
    <t>Воронка с обжимным металлическим фланцем с обогревом, 110х450 мм</t>
  </si>
  <si>
    <t>Воронка с обжимным металлическим фланцем без обогрева, 110х450 мм</t>
  </si>
  <si>
    <t>671701</t>
  </si>
  <si>
    <t>671702</t>
  </si>
  <si>
    <t>Воронка парапетная 100*100 (квадратное сечение)</t>
  </si>
  <si>
    <t>460062</t>
  </si>
  <si>
    <t>398253</t>
  </si>
  <si>
    <t>Кол-во:</t>
  </si>
  <si>
    <t>Коэф. Ветровой ПМ/РМ</t>
  </si>
  <si>
    <t>Ветер ПМ</t>
  </si>
  <si>
    <t>Ветер РМ</t>
  </si>
  <si>
    <t>В ПМ</t>
  </si>
  <si>
    <t>В РМ</t>
  </si>
  <si>
    <t>В ПМ_Е</t>
  </si>
  <si>
    <t>В РМ_Е</t>
  </si>
  <si>
    <t>Коэф. зависящий от площади ПМ/РМ</t>
  </si>
  <si>
    <t xml:space="preserve">  Ветровой расчет</t>
  </si>
  <si>
    <t>0,1 баллон на 1 м2</t>
  </si>
  <si>
    <t>Пена монтажная ТЕХНОНИКОЛЬ 70 PROFESSIONAL всесезонная</t>
  </si>
  <si>
    <t>528369</t>
  </si>
  <si>
    <t>Площадь конструкции:</t>
  </si>
  <si>
    <t>Расчёт объёма материалов:</t>
  </si>
  <si>
    <t>EKN:</t>
  </si>
  <si>
    <t>Способ расчета:</t>
  </si>
  <si>
    <t>Расчёт количества клиновидной теплоизоляции:</t>
  </si>
  <si>
    <t>Клин ТИ Основной уклон:</t>
  </si>
  <si>
    <t>Клин ТИ Контр уклон:</t>
  </si>
  <si>
    <t>Расчет крепежа:</t>
  </si>
  <si>
    <t>Введите толщину теплоизоляции основного слоя:</t>
  </si>
  <si>
    <t>Введите толщину основного слоя теплоизоляции :</t>
  </si>
  <si>
    <t>0,1 шт. на 1м2</t>
  </si>
  <si>
    <t>Тип основания</t>
  </si>
  <si>
    <t>РТП</t>
  </si>
  <si>
    <t>Стоякина А.</t>
  </si>
  <si>
    <t>Воронка водоприемная (п)</t>
  </si>
  <si>
    <t xml:space="preserve">Убрал </t>
  </si>
  <si>
    <t>1799</t>
  </si>
  <si>
    <t>ПВХ воронка парапетная 100х100 длиной 650мм с отводом и листоуловителем</t>
  </si>
  <si>
    <t>693437</t>
  </si>
  <si>
    <t>Противопожарный защитный материал LOGICROOF NG</t>
  </si>
  <si>
    <t>LOGICROOF NG</t>
  </si>
  <si>
    <r>
      <t>ПВХ мембрана LOGICROOF V-SR серый</t>
    </r>
    <r>
      <rPr>
        <i/>
        <sz val="10"/>
        <rFont val="Arial"/>
        <family val="2"/>
        <charset val="204"/>
      </rPr>
      <t xml:space="preserve"> (1.5 мм)*</t>
    </r>
  </si>
  <si>
    <t>ПВХ мембрана LOGICROOF V-SR серый (1.5 мм)*</t>
  </si>
  <si>
    <t>Воронка с обжимным металлическим фланцем с обогревом 110х720 мм</t>
  </si>
  <si>
    <t>Воронка с обжимным металлическим фланцем без обогрева 110х720 мм</t>
  </si>
  <si>
    <t>Покас О.</t>
  </si>
  <si>
    <t>Плита теплоизоляционная LOGICPIR PROF СХ/СХ</t>
  </si>
  <si>
    <t>Плита теплоизоляционная LOGICPIR PROF Ф/Ф</t>
  </si>
  <si>
    <t>Плита теплоизоляционная LOGICPIR PROF СХМ/СХМ</t>
  </si>
  <si>
    <t>30;40;50;60;70;80;90;100</t>
  </si>
  <si>
    <t>ТЕХНОРУФ В60 (40 мм)</t>
  </si>
  <si>
    <t>ТЕХНОРУФ В60 (50 мм)</t>
  </si>
  <si>
    <t>ТЕХНОРУФ Н30 (50 мм)</t>
  </si>
  <si>
    <t>ТЕХНОРУФ Н30 (60 мм)</t>
  </si>
  <si>
    <t>ТЕХНОРУФ Н30 (70 мм)</t>
  </si>
  <si>
    <t>ТЕХНОРУФ Н30 (80 мм)</t>
  </si>
  <si>
    <t>ТЕХНОРУФ Н30 (90 мм)</t>
  </si>
  <si>
    <t>ТЕХНОРУФ Н30 (100 мм)</t>
  </si>
  <si>
    <t>ТЕХНОРУФ Н30 (110 мм)</t>
  </si>
  <si>
    <t>ТЕХНОРУФ Н30 (120 мм)</t>
  </si>
  <si>
    <t>ТЕХНОРУФ Н30 (130 мм)</t>
  </si>
  <si>
    <t>ТЕХНОРУФ Н30 (140 мм)</t>
  </si>
  <si>
    <t>ТЕХНОРУФ Н30 (150 мм)</t>
  </si>
  <si>
    <t>ТЕХНОРУФ Н30 (160 мм)</t>
  </si>
  <si>
    <t>ТЕХНОРУФ Н30 (170 мм)</t>
  </si>
  <si>
    <t>ТЕХНОРУФ Н30 (180 мм)</t>
  </si>
  <si>
    <t>ТЕХНОРУФ 45 (50 мм)</t>
  </si>
  <si>
    <t>ТЕХНОРУФ 45 (60 мм)</t>
  </si>
  <si>
    <t>ТЕХНОРУФ 45 (70 мм)</t>
  </si>
  <si>
    <t>ТЕХНОРУФ 45 (80 мм)</t>
  </si>
  <si>
    <t>ТЕХНОРУФ 45 (90 мм)</t>
  </si>
  <si>
    <t>ТЕХНОРУФ 45 (100 мм)</t>
  </si>
  <si>
    <t>ТЕХНОРУФ 45 (110 мм)</t>
  </si>
  <si>
    <t>ТЕХНОРУФ 45 (120 мм)</t>
  </si>
  <si>
    <t>ТЕХНОРУФ 45 (130 мм)</t>
  </si>
  <si>
    <t>ТЕХНОРУФ 45 (140 мм)</t>
  </si>
  <si>
    <t>ТЕХНОРУФ 45 (150 мм)</t>
  </si>
  <si>
    <t>ТЕХНОРУФ ПРОФ (40 мм)</t>
  </si>
  <si>
    <t>ТЕХНОРУФ ПРОФ (50 мм)</t>
  </si>
  <si>
    <t>ТЕХНОРУФ ПРОФ (60 мм)</t>
  </si>
  <si>
    <t>ТЕХНОРУФ ПРОФ (70 мм)</t>
  </si>
  <si>
    <t>ТЕХНОРУФ ПРОФ (80 мм)</t>
  </si>
  <si>
    <t>ТЕХНОРУФ ПРОФ (90 мм)</t>
  </si>
  <si>
    <t>ТЕХНОРУФ ПРОФ (100 мм)</t>
  </si>
  <si>
    <t>ТЕХНОРУФ ПРОФ (110 мм)</t>
  </si>
  <si>
    <t>ТЕХНОРУФ ПРОФ (120 мм)</t>
  </si>
  <si>
    <t>ТЕХНОРУФ ПРОФ (130 мм)</t>
  </si>
  <si>
    <t>ТЕХНОРУФ ПРОФ (140 мм)</t>
  </si>
  <si>
    <t>ТЕХНОРУФ ПРОФ (150 мм)</t>
  </si>
  <si>
    <t>ТЕХНОРУФ Н ПРОФ (50 мм)</t>
  </si>
  <si>
    <t>ТЕХНОРУФ Н ПРОФ (60 мм)</t>
  </si>
  <si>
    <t>ТЕХНОРУФ Н ПРОФ (70 мм)</t>
  </si>
  <si>
    <t>ТЕХНОРУФ Н ПРОФ (80 мм)</t>
  </si>
  <si>
    <t>ТЕХНОРУФ Н ПРОФ (90 мм)</t>
  </si>
  <si>
    <t>ТЕХНОРУФ Н ПРОФ (100 мм)</t>
  </si>
  <si>
    <t>ТЕХНОРУФ Н ПРОФ (110 мм)</t>
  </si>
  <si>
    <t>ТЕХНОРУФ Н ПРОФ (120 мм)</t>
  </si>
  <si>
    <t>ТЕХНОРУФ Н ПРОФ (130 мм)</t>
  </si>
  <si>
    <t>ТЕХНОРУФ Н ПРОФ (140 мм)</t>
  </si>
  <si>
    <t>ТЕХНОРУФ Н ПРОФ (150 мм)</t>
  </si>
  <si>
    <t>ТЕХНОРУФ Н ПРОФ (160 мм)</t>
  </si>
  <si>
    <t>ТЕХНОРУФ Н ПРОФ (170 мм)</t>
  </si>
  <si>
    <t>ТЕХНОРУФ Н ПРОФ (180 мм)</t>
  </si>
  <si>
    <t>ТЕХНОРУФ Н ПРОФ (190 мм)</t>
  </si>
  <si>
    <t>ТЕХНОРУФ Н ПРОФ (200 мм)</t>
  </si>
  <si>
    <t>ТЕХНОРУФ В ПРОФ (30 мм)</t>
  </si>
  <si>
    <t>ТЕХНОРУФ В ПРОФ (40 мм)</t>
  </si>
  <si>
    <t>ТЕХНОРУФ В ПРОФ (50 мм)</t>
  </si>
  <si>
    <t>ТЕХНОРУФ В ПРОФ С (40 мм)</t>
  </si>
  <si>
    <t>ТЕХНОРУФ В ПРОФ С (50 мм)</t>
  </si>
  <si>
    <t>ТЕХНОРУФ Н ЭКСТРА (50 мм)</t>
  </si>
  <si>
    <t>ТЕХНОРУФ Н ЭКСТРА (60 мм)</t>
  </si>
  <si>
    <t>ТЕХНОРУФ Н ЭКСТРА (70 мм)</t>
  </si>
  <si>
    <t>ТЕХНОРУФ Н ЭКСТРА (80 мм)</t>
  </si>
  <si>
    <t>ТЕХНОРУФ Н ЭКСТРА (90 мм)</t>
  </si>
  <si>
    <t>ТЕХНОРУФ Н ЭКСТРА (100 мм)</t>
  </si>
  <si>
    <t>ТЕХНОРУФ Н ЭКСТРА (110 мм)</t>
  </si>
  <si>
    <t>ТЕХНОРУФ Н ЭКСТРА (120 мм)</t>
  </si>
  <si>
    <t>ТЕХНОРУФ Н ЭКСТРА (130 мм)</t>
  </si>
  <si>
    <t>ТЕХНОРУФ Н ЭКСТРА (140 мм)</t>
  </si>
  <si>
    <t>ТЕХНОРУФ Н ЭКСТРА (150 мм)</t>
  </si>
  <si>
    <t>ТЕХНОРУФ Н ЭКСТРА (160 мм)</t>
  </si>
  <si>
    <t>ТЕХНОРУФ Н ЭКСТРА (170 мм)</t>
  </si>
  <si>
    <t>ТЕХНОРУФ Н ЭКСТРА (180 мм)</t>
  </si>
  <si>
    <t>ТЕХНОРУФ В ЭКСТРА (30 мм)</t>
  </si>
  <si>
    <t>ТЕХНОРУФ В ЭКСТРА (40 мм)</t>
  </si>
  <si>
    <t>ТЕХНОРУФ В ЭКСТРА (50 мм)</t>
  </si>
  <si>
    <t>ТЕХНОРУФ В ЭКСТРА С (40 мм)</t>
  </si>
  <si>
    <t>ТЕХНОРУФ В ЭКСТРА С (50 мм)</t>
  </si>
  <si>
    <t>ТЕХНОРУФ Н ОПТИМА (50 мм)</t>
  </si>
  <si>
    <t>ТЕХНОРУФ Н ОПТИМА (60 мм)</t>
  </si>
  <si>
    <t>ТЕХНОРУФ Н ОПТИМА (70 мм)</t>
  </si>
  <si>
    <t>ТЕХНОРУФ Н ОПТИМА (80 мм)</t>
  </si>
  <si>
    <t>ТЕХНОРУФ Н ОПТИМА (90 мм)</t>
  </si>
  <si>
    <t>ТЕХНОРУФ Н ОПТИМА (100 мм)</t>
  </si>
  <si>
    <t>ТЕХНОРУФ Н ОПТИМА (110 мм)</t>
  </si>
  <si>
    <t>ТЕХНОРУФ Н ОПТИМА (120 мм)</t>
  </si>
  <si>
    <t>ТЕХНОРУФ Н ОПТИМА (130 мм)</t>
  </si>
  <si>
    <t>ТЕХНОРУФ Н ОПТИМА (140 мм)</t>
  </si>
  <si>
    <t>ТЕХНОРУФ Н ОПТИМА (150 мм)</t>
  </si>
  <si>
    <t>ТЕХНОРУФ Н ОПТИМА (160 мм)</t>
  </si>
  <si>
    <t>ТЕХНОРУФ Н ОПТИМА (170 мм)</t>
  </si>
  <si>
    <t>ТЕХНОРУФ Н ОПТИМА (180 мм)</t>
  </si>
  <si>
    <t>ТЕХНОРУФ В ОПТИМА (30 мм)</t>
  </si>
  <si>
    <t>ТЕХНОРУФ В ОПТИМА (40 мм)</t>
  </si>
  <si>
    <t>ТЕХНОРУФ В ОПТИМА (50 мм)</t>
  </si>
  <si>
    <t>ТЕХНОРУФ В ОПТИМА С (40 мм)</t>
  </si>
  <si>
    <t>ТЕХНОРУФ В ОПТИМА С (50 мм)</t>
  </si>
  <si>
    <t>ТЕХНОРУФ ПРОФ С (40 мм)</t>
  </si>
  <si>
    <t>ТЕХНОРУФ ПРОФ С (50 мм)</t>
  </si>
  <si>
    <t>XPS ТехноНИКОЛЬ CARBON ECO (20 мм)</t>
  </si>
  <si>
    <t>XPS ТехноНИКОЛЬ CARBON ECO (30 мм)</t>
  </si>
  <si>
    <t>XPS ТехноНИКОЛЬ CARBON ECO (40 мм)</t>
  </si>
  <si>
    <t>XPS ТехноНИКОЛЬ CARBON ECO (50 мм)</t>
  </si>
  <si>
    <t>XPS ТехноНИКОЛЬ CARBON ECO (100 мм)</t>
  </si>
  <si>
    <t>XPS ТехноНИКОЛЬ CARBON PROF (40 мм)</t>
  </si>
  <si>
    <t>XPS ТехноНИКОЛЬ CARBON PROF (50 мм)</t>
  </si>
  <si>
    <t>XPS ТехноНИКОЛЬ CARBON PROF (60 мм)</t>
  </si>
  <si>
    <t>XPS ТехноНИКОЛЬ CARBON PROF (80 мм)</t>
  </si>
  <si>
    <t>XPS ТехноНИКОЛЬ CARBON PROF (100 мм)</t>
  </si>
  <si>
    <t>XPS ТехноНИКОЛЬ CARBON PROF RF (60 мм)</t>
  </si>
  <si>
    <t>XPS ТехноНИКОЛЬ CARBON PROF RF (80 мм)</t>
  </si>
  <si>
    <t>XPS ТехноНИКОЛЬ CARBON PROF RF (100 мм)</t>
  </si>
  <si>
    <t>XPS ТехноНИКОЛЬ CARBON PROF RF (120 мм)</t>
  </si>
  <si>
    <t>XPS CARBON SOLID 500 (40 мм)</t>
  </si>
  <si>
    <t>XPS CARBON SOLID 500 (50 мм)</t>
  </si>
  <si>
    <t>XPS CARBON SOLID 500 (60 мм)</t>
  </si>
  <si>
    <t>XPS CARBON SOLID 500 (100 мм)</t>
  </si>
  <si>
    <t>XPS CARBON SOLID 700 (50 мм)</t>
  </si>
  <si>
    <t>XPS CARBON SOLID 1000 (50 мм)</t>
  </si>
  <si>
    <t>Сендвич-панель ТЕХНОНИКОЛЬ Ц-XPS CARBON (60 мм)</t>
  </si>
  <si>
    <t>Сендвич-панель ТЕХНОНИКОЛЬ Ц-XPS CARBON (110 мм)</t>
  </si>
  <si>
    <t>Плита теплоизоляционная LOGICPIR PROF Ф/Ф (30 мм)</t>
  </si>
  <si>
    <t>Плита теплоизоляционная LOGICPIR PROF Ф/Ф (40 мм)</t>
  </si>
  <si>
    <t>Плита теплоизоляционная LOGICPIR PROF Ф/Ф (45 мм)</t>
  </si>
  <si>
    <t>Плита теплоизоляционная LOGICPIR PROF Ф/Ф (50 мм)</t>
  </si>
  <si>
    <t>Плита теплоизоляционная LOGICPIR PROF Ф/Ф (55 мм)</t>
  </si>
  <si>
    <t>Плита теплоизоляционная LOGICPIR PROF Ф/Ф (60 мм)</t>
  </si>
  <si>
    <t>Плита теплоизоляционная LOGICPIR PROF Ф/Ф (65 мм)</t>
  </si>
  <si>
    <t>Плита теплоизоляционная LOGICPIR PROF Ф/Ф (70 мм)</t>
  </si>
  <si>
    <t>Плита теплоизоляционная LOGICPIR PROF Ф/Ф (75 мм)</t>
  </si>
  <si>
    <t>Плита теплоизоляционная LOGICPIR PROF Ф/Ф (80 мм)</t>
  </si>
  <si>
    <t>Плита теплоизоляционная LOGICPIR PROF Ф/Ф (85 мм)</t>
  </si>
  <si>
    <t>Плита теплоизоляционная LOGICPIR PROF Ф/Ф (90 мм)</t>
  </si>
  <si>
    <t>Плита теплоизоляционная LOGICPIR PROF Ф/Ф (95 мм)</t>
  </si>
  <si>
    <t>Плита теплоизоляционная LOGICPIR PROF Ф/Ф (100 мм)</t>
  </si>
  <si>
    <t>Плита теплоизоляционная LOGICPIR PROF Ф/Ф (110 мм)</t>
  </si>
  <si>
    <t>Плита теплоизоляционная LOGICPIR PROF Ф/Ф (120 мм)</t>
  </si>
  <si>
    <t>Плита теплоизоляционная LOGICPIR PROF Ф/Ф (130 мм)</t>
  </si>
  <si>
    <t>Плита теплоизоляционная LOGICPIR PROF Ф/Ф (140 мм)</t>
  </si>
  <si>
    <t>Плита теплоизоляционная LOGICPIR PROF Ф/Ф (150 мм)</t>
  </si>
  <si>
    <t>Плита теплоизоляционная LOGICPIR PROF СХМ/СХМ (30 мм)</t>
  </si>
  <si>
    <t>Плита теплоизоляционная LOGICPIR PROF СХМ/СХМ (40 мм)</t>
  </si>
  <si>
    <t>Плита теплоизоляционная LOGICPIR PROF СХМ/СХМ (45 мм)</t>
  </si>
  <si>
    <t>Плита теплоизоляционная LOGICPIR PROF СХМ/СХМ (50 мм)</t>
  </si>
  <si>
    <t>Плита теплоизоляционная LOGICPIR PROF СХМ/СХМ (55 мм)</t>
  </si>
  <si>
    <t>Плита теплоизоляционная LOGICPIR PROF СХМ/СХМ (60 мм)</t>
  </si>
  <si>
    <t>Плита теплоизоляционная LOGICPIR PROF СХМ/СХМ (65 мм)</t>
  </si>
  <si>
    <t>Плита теплоизоляционная LOGICPIR PROF СХМ/СХМ (70 мм)</t>
  </si>
  <si>
    <t>Плита теплоизоляционная LOGICPIR PROF СХМ/СХМ (75 мм)</t>
  </si>
  <si>
    <t>Плита теплоизоляционная LOGICPIR PROF СХМ/СХМ (80 мм)</t>
  </si>
  <si>
    <t>Плита теплоизоляционная LOGICPIR PROF СХМ/СХМ (85 мм)</t>
  </si>
  <si>
    <t>Плита теплоизоляционная LOGICPIR PROF СХМ/СХМ (90 мм)</t>
  </si>
  <si>
    <t>Плита теплоизоляционная LOGICPIR PROF СХМ/СХМ (95 мм)</t>
  </si>
  <si>
    <t>Плита теплоизоляционная LOGICPIR PROF СХМ/СХМ (100 мм)</t>
  </si>
  <si>
    <t>Плита теплоизоляционная LOGICPIR PROF СХ/СХ (30 мм)</t>
  </si>
  <si>
    <t>Плита теплоизоляционная LOGICPIR PROF СХ/СХ (40 мм)</t>
  </si>
  <si>
    <t>Плита теплоизоляционная LOGICPIR PROF СХ/СХ (50 мм)</t>
  </si>
  <si>
    <t>Плита теплоизоляционная LOGICPIR PROF СХ/СХ (60 мм)</t>
  </si>
  <si>
    <t>Плита теплоизоляционная LOGICPIR PROF СХ/СХ (70 мм)</t>
  </si>
  <si>
    <t>Плита теплоизоляционная LOGICPIR PROF СХ/СХ (80 мм)</t>
  </si>
  <si>
    <t>Плита теплоизоляционная LOGICPIR PROF СХ/СХ (90 мм)</t>
  </si>
  <si>
    <t>Плита теплоизоляционная LOGICPIR PROF СХ/СХ (100 мм)</t>
  </si>
  <si>
    <t>Плита ТЕХНО ОЗМ (30 мм)</t>
  </si>
  <si>
    <t>Плита ТЕХНО ОЗМ (40 мм)</t>
  </si>
  <si>
    <t>Плита ТЕХНО ОЗМ (50 мм)</t>
  </si>
  <si>
    <t>Плита ТЕХНО ОЗМ (60 мм)</t>
  </si>
  <si>
    <t>Плита ТЕХНО ОЗМ (70 мм)</t>
  </si>
  <si>
    <t>ПВХ мембрана LOGICROOF V-RP (1.2 мм)</t>
  </si>
  <si>
    <t>ПВХ мембрана LOGICROOF V-RP ARCTIC (1.2 мм)</t>
  </si>
  <si>
    <t>ПВХ мембрана ECOPLAST V-RP (1.2 мм)</t>
  </si>
  <si>
    <t>ПВХ мембрана ECOPLAST V-GR (1.5 мм)</t>
  </si>
  <si>
    <t>ПВХ мембрана LOGICROOF V-RP (1.5 мм)</t>
  </si>
  <si>
    <t>ПВХ мембрана LOGICROOF V-RP ARCTIC (1.5 мм)</t>
  </si>
  <si>
    <t>ПВХ мембрана ECOPLAST V-RP (1.5 мм)</t>
  </si>
  <si>
    <t>ПВХ мембрана ECOPLAST V-GR (1.8 мм)</t>
  </si>
  <si>
    <t>ПВХ мембрана LOGICROOF V-RP (1.8 мм)</t>
  </si>
  <si>
    <t>ПВХ мембрана LOGICROOF V-RP ARCTIC (1.8 мм)</t>
  </si>
  <si>
    <t>ПВХ мембрана ECOPLAST V-RP (1.8 мм)</t>
  </si>
  <si>
    <t>ПВХ мембрана LOGICROOF V-RP ARCTIC (2.0 мм)</t>
  </si>
  <si>
    <t>ПВХ мембрана ECOPLAST V-GR (2.0 мм)</t>
  </si>
  <si>
    <t>ПВХ мембрана ECOPLAST V-RP (2.0 мм)</t>
  </si>
  <si>
    <t>ПВХ мембрана LOGICROOF V-GR FB (1.2 мм)</t>
  </si>
  <si>
    <t>ПВХ мембрана LOGICROOF V-RP (2.0 мм)</t>
  </si>
  <si>
    <t>ПВХ мембрана LOGICROOF V-GR FB (2.0 мм)</t>
  </si>
  <si>
    <t>ПВХ мембрана LOGICROOF V-GR FB (1.5 мм)</t>
  </si>
  <si>
    <t>ПВХ мембрана LOGICROOF V-GR FB (1.8 мм)</t>
  </si>
  <si>
    <t>ПВХ мембрана LOGICROOF V-GR (1.2 мм)</t>
  </si>
  <si>
    <t>ПВХ мембрана LOGICROOF V-GR (1.5 мм)</t>
  </si>
  <si>
    <t>ПВХ мембрана LOGICROOF V-GR (1.8 мм)</t>
  </si>
  <si>
    <t>ТЕХНОЛАЙТ ЭКСТРА (50 мм)</t>
  </si>
  <si>
    <t>ТЕХНОЛАЙТ ЭКСТРА (60 мм)</t>
  </si>
  <si>
    <t>ТЕХНОЛАЙТ ЭКСТРА (70 мм)</t>
  </si>
  <si>
    <t>ТЕХНОЛАЙТ ЭКСТРА (80 мм)</t>
  </si>
  <si>
    <t>ТЕХНОЛАЙТ ЭКСТРА (90 мм)</t>
  </si>
  <si>
    <t>ТЕХНОЛАЙТ ЭКСТРА (100 мм)</t>
  </si>
  <si>
    <t>ТЕХНОЛАЙТ ЭКСТРА (110 мм)</t>
  </si>
  <si>
    <t>ТЕХНОЛАЙТ ЭКСТРА (120 мм)</t>
  </si>
  <si>
    <t>ТЕХНОЛАЙТ ЭКСТРА (130 мм)</t>
  </si>
  <si>
    <t>ТЕХНОЛАЙТ ЭКСТРА (140 мм)</t>
  </si>
  <si>
    <t>ТЕХНОЛАЙТ ЭКСТРА (150 мм)</t>
  </si>
  <si>
    <t>ТЕХНОЛАЙТ ЭКСТРА (160 мм)</t>
  </si>
  <si>
    <t>ТЕХНОЛАЙТ ЭКСТРА (170 мм)</t>
  </si>
  <si>
    <t>ТЕХНОЛАЙТ ЭКСТРА (180 мм)</t>
  </si>
  <si>
    <t>ТЕХНОЛАЙТ ЭКСТРА (190 мм)</t>
  </si>
  <si>
    <t>ТЕХНОЛАЙТ ЭКСТРА (200 мм)</t>
  </si>
  <si>
    <t>ТЕХНОБЛОК СТАНДАРТ (50 мм)</t>
  </si>
  <si>
    <t>ТЕХНОБЛОК СТАНДАРТ (60 мм)</t>
  </si>
  <si>
    <t>ТЕХНОБЛОК СТАНДАРТ (70 мм)</t>
  </si>
  <si>
    <t>ТЕХНОБЛОК СТАНДАРТ (80 мм)</t>
  </si>
  <si>
    <t>ТЕХНОБЛОК СТАНДАРТ (90 мм)</t>
  </si>
  <si>
    <t>ТЕХНОБЛОК СТАНДАРТ (100 мм)</t>
  </si>
  <si>
    <t>ТЕХНОБЛОК СТАНДАРТ (110 мм)</t>
  </si>
  <si>
    <t>ТЕХНОБЛОК СТАНДАРТ (120 мм)</t>
  </si>
  <si>
    <t>ТЕХНОБЛОК СТАНДАРТ (130 мм)</t>
  </si>
  <si>
    <t>ТЕХНОБЛОК СТАНДАРТ (140 мм)</t>
  </si>
  <si>
    <t>ТЕХНОБЛОК СТАНДАРТ (150 мм)</t>
  </si>
  <si>
    <t>ТЕХНОБЛОК СТАНДАРТ (160 мм)</t>
  </si>
  <si>
    <t>ТЕХНОБЛОК СТАНДАРТ (170 мм)</t>
  </si>
  <si>
    <t>ТЕХНОБЛОК СТАНДАРТ (180 мм)</t>
  </si>
  <si>
    <t>ТЕХНОБЛОК СТАНДАРТ (190 мм)</t>
  </si>
  <si>
    <t>ТЕХНОБЛОК СТАНДАРТ (200 мм)</t>
  </si>
  <si>
    <t>ТЕХНОВЕНТ СТАНДАРТ (50 мм)</t>
  </si>
  <si>
    <t>ТЕХНОВЕНТ СТАНДАРТ (60 мм)</t>
  </si>
  <si>
    <t>ТЕХНОВЕНТ СТАНДАРТ (70 мм)</t>
  </si>
  <si>
    <t>ТЕХНОВЕНТ СТАНДАРТ (80 мм)</t>
  </si>
  <si>
    <t>ТЕХНОВЕНТ СТАНДАРТ (90 мм)</t>
  </si>
  <si>
    <t>ТЕХНОВЕНТ СТАНДАРТ (100 мм)</t>
  </si>
  <si>
    <t>ТЕХНОВЕНТ СТАНДАРТ (110 мм)</t>
  </si>
  <si>
    <t>ТЕХНОВЕНТ СТАНДАРТ (120 мм)</t>
  </si>
  <si>
    <t>ТЕХНОВЕНТ СТАНДАРТ (130 мм)</t>
  </si>
  <si>
    <t>ТЕХНОВЕНТ СТАНДАРТ (140 мм)</t>
  </si>
  <si>
    <t>ТЕХНОВЕНТ СТАНДАРТ (150 мм)</t>
  </si>
  <si>
    <t>ТЕХНОВЕНТ СТАНДАРТ (160 мм)</t>
  </si>
  <si>
    <t>ТЕХНОВЕНТ СТАНДАРТ (170 мм)</t>
  </si>
  <si>
    <t>ТЕХНОВЕНТ СТАНДАРТ (180 мм)</t>
  </si>
  <si>
    <t>ТЕХНОВЕНТ СТАНДАРТ (190 мм)</t>
  </si>
  <si>
    <t>ТЕХНОВЕНТ СТАНДАРТ (200 мм)</t>
  </si>
  <si>
    <t>Телескопический крепеж ТехноНИКОЛЬ (20 мм)</t>
  </si>
  <si>
    <t>Телескопический крепеж ТехноНИКОЛЬ (50 мм)</t>
  </si>
  <si>
    <t>Телескопический крепеж ТехноНИКОЛЬ (80 мм)</t>
  </si>
  <si>
    <t>Телескопический крепеж ТехноНИКОЛЬ (100 мм)</t>
  </si>
  <si>
    <t>Телескопический крепеж ТехноНИКОЛЬ (120 мм)</t>
  </si>
  <si>
    <t>Телескопический крепеж ТехноНИКОЛЬ (130 мм)</t>
  </si>
  <si>
    <t>Телескопический крепеж ТехноНИКОЛЬ (140 мм)</t>
  </si>
  <si>
    <t>Телескопический крепеж ТехноНИКОЛЬ (150 мм)</t>
  </si>
  <si>
    <t>Телескопический крепеж ТехноНИКОЛЬ (170 мм)</t>
  </si>
  <si>
    <t>Телескопический крепеж ТехноНИКОЛЬ (180 мм)</t>
  </si>
  <si>
    <t>Телескопический крепеж ТехноНИКОЛЬ (200 мм)</t>
  </si>
  <si>
    <t>Телескопический крепеж ТехноНИКОЛЬ (220 мм)</t>
  </si>
  <si>
    <t>Телескопический крепеж ТехноНИКОЛЬ (240 мм)</t>
  </si>
  <si>
    <t>Телескопический крепеж ТехноНИКОЛЬ (260 мм)</t>
  </si>
  <si>
    <t>Саморез 300 мм</t>
  </si>
  <si>
    <t>Телескопический крепеж ТехноНИКОЛЬ (300 мм)</t>
  </si>
  <si>
    <t>Телескопический крепеж ТехноНИКОЛЬ (350 мм)</t>
  </si>
  <si>
    <t>Саморез остроконечный ТехноНИКОЛЬ 4,8х 60 мм</t>
  </si>
  <si>
    <t>Саморез сверлоконечный ТехноНИКОЛЬ 4,8х 60 мм</t>
  </si>
  <si>
    <t>Саморез остроконечный ТехноНИКОЛЬ 4,8х 70 мм</t>
  </si>
  <si>
    <t>Саморез остроконечный ТехноНИКОЛЬ 4,8х 80 мм</t>
  </si>
  <si>
    <t>Саморез остроконечный ТехноНИКОЛЬ 4,8х 100 мм</t>
  </si>
  <si>
    <t>Саморез сверлоконечный ТехноНИКОЛЬ 4,8х 70 мм</t>
  </si>
  <si>
    <t>Саморез сверлоконечный ТехноНИКОЛЬ 4,8х 80 мм</t>
  </si>
  <si>
    <t>Саморез сверлоконечный ТехноНИКОЛЬ 4,8х 100 мм</t>
  </si>
  <si>
    <t>Саморез сверлоконечный ТехноНИКОЛЬ 4,8х 120 мм</t>
  </si>
  <si>
    <t>Саморез сверлоконечный ТехноНИКОЛЬ 4,8х 160 мм</t>
  </si>
  <si>
    <t>Саморез сверлоконечный ТехноНИКОЛЬ 4,8х 200 мм</t>
  </si>
  <si>
    <t>Саморез остроконечный ТехноНИКОЛЬ 6,3х 80 мм</t>
  </si>
  <si>
    <t>Саморез остроконечный ТехноНИКОЛЬ 6,3х 90 мм</t>
  </si>
  <si>
    <t>Саморез остроконечный ТехноНИКОЛЬ 6,3х 110 мм</t>
  </si>
  <si>
    <t>Паробарьер СФ 1000</t>
  </si>
  <si>
    <t>Паробарьер СА 500</t>
  </si>
  <si>
    <t>Биполь ЭПП (3.0 мм)</t>
  </si>
  <si>
    <t>Бикроэласт ТПП (3.0 мм)</t>
  </si>
  <si>
    <t>Линокром ТПП (3.0 мм)</t>
  </si>
  <si>
    <t>Унифлекс Экспресс ЭМП</t>
  </si>
  <si>
    <t>Бикрост ТПП</t>
  </si>
  <si>
    <t>Технобарьер (2.8 мм)</t>
  </si>
  <si>
    <t>, для гофр*</t>
  </si>
  <si>
    <t>, рулон 2,10 м.</t>
  </si>
  <si>
    <t>, рулон 1,05 м.</t>
  </si>
  <si>
    <t>, рулон 0,70 м.</t>
  </si>
  <si>
    <t>, рулон 0,50 м.</t>
  </si>
  <si>
    <t>XPS ТехноНИКОЛЬ CARBON PROF SLOPE (8.3% элемент М)</t>
  </si>
  <si>
    <t>XPS ТехноНИКОЛЬ CARBON PROF SLOPE (4.2% элемент K)</t>
  </si>
  <si>
    <t>XPS ТехноНИКОЛЬ CARBON PROF SLOPE (1,7% элемент А)</t>
  </si>
  <si>
    <t>XPS ТехноНИКОЛЬ CARBON PROF SLOPE (1,7% элемент В)</t>
  </si>
  <si>
    <t>XPS ТехноНИКОЛЬ CARBON PROF SLOPE (2,1% элемент А)</t>
  </si>
  <si>
    <t>XPS ТехноНИКОЛЬ CARBON PROF SLOPE (2,1% элемент В)</t>
  </si>
  <si>
    <t>XPS ТехноНИКОЛЬ CARBON PROF SLOPE (3.4% элемент J)</t>
  </si>
  <si>
    <t>XPS ТехноНИКОЛЬ CARBON PROF SLOPE (3.4% элемент K)</t>
  </si>
  <si>
    <t>XPS ТехноНИКОЛЬ CARBON PROF SLOPE (4.2% элемент J)</t>
  </si>
  <si>
    <t>Итог</t>
  </si>
  <si>
    <t>Проверка</t>
  </si>
  <si>
    <t>, для дорожек</t>
  </si>
  <si>
    <t>, для д.ш</t>
  </si>
  <si>
    <t>Кол-во материала по расчету</t>
  </si>
  <si>
    <t>Код ЕКН</t>
  </si>
  <si>
    <t>Кол-во материала с учетом кратности упаковки*****</t>
  </si>
  <si>
    <t>Кратность материала</t>
  </si>
  <si>
    <t>Саморез остроконечный ТехноНИКОЛЬ 4,8х 50 мм</t>
  </si>
  <si>
    <t>Саморез остроконечный ТехноНИКОЛЬ       4,8х</t>
  </si>
  <si>
    <t>(Н)</t>
  </si>
  <si>
    <t>ТЕХНОРУФ Н ПРОФ КЛИН (4,2 % элемент С) (Н)</t>
  </si>
  <si>
    <t>ТЕХНОРУФ Н ПРОФ, для галтели*</t>
  </si>
  <si>
    <t>, для галтели*</t>
  </si>
  <si>
    <t>EKN</t>
  </si>
  <si>
    <t>Ед.
изм</t>
  </si>
  <si>
    <t>Стоимость 
общ., руб.</t>
  </si>
  <si>
    <t xml:space="preserve">Стоимость 
ед., руб. </t>
  </si>
  <si>
    <t>Сметная стоимость, руб. (без учёта кратности)</t>
  </si>
  <si>
    <t xml:space="preserve">Сметная стоимость материалов текущего типа кровли : </t>
  </si>
  <si>
    <t>Дата последней редакции шаблона: 22.10.21</t>
  </si>
  <si>
    <t>Нет</t>
  </si>
  <si>
    <t>Галтель</t>
  </si>
  <si>
    <t>Техноэласт ЭКП (4.2 мм), (верхний слой)</t>
  </si>
  <si>
    <t>Унифлекс ВЕНТ ЭПВ, (нижний слой)</t>
  </si>
  <si>
    <t>Техноэласт ЭПП (4.0 мм), (нижний слой)</t>
  </si>
  <si>
    <t>, (нижний слой)</t>
  </si>
  <si>
    <t>, (верхний слой)</t>
  </si>
  <si>
    <t>, (два слоя)</t>
  </si>
  <si>
    <t>Техноэласт ФИКС (3.0 мм), (нижний слой)</t>
  </si>
  <si>
    <t>Унифлекс С, (нижний слой)</t>
  </si>
  <si>
    <t>Унифлекс ЭКСПРЕСС ЭМП, (нижний слой)</t>
  </si>
  <si>
    <t>Техноэласт ПРАЙМ ЭММ, (нижний слой)</t>
  </si>
  <si>
    <t>Техноэласт ПРАЙМ ЭКМ, (верхний слой)</t>
  </si>
  <si>
    <t>Техноэласт Декор, (верхний слой)</t>
  </si>
  <si>
    <t>Техноэласт ПЛАМЯ СТОП ЭКП (4.2 мм), (верхний слой)</t>
  </si>
  <si>
    <t>Унифлекс ЭКП (3.8 мм), (верхний слой)</t>
  </si>
  <si>
    <t>Унифлекс ЭПП (2.8 мм), (верхний слой)</t>
  </si>
  <si>
    <t>Техноэласт ЭПП (4.0 мм), (два слоя)</t>
  </si>
  <si>
    <t>Унифлекс ЭПП (2.8 мм), (нижний слой)</t>
  </si>
  <si>
    <r>
      <t>Аэратор кровельный  ТехноНИКОЛЬ  160х460мм</t>
    </r>
    <r>
      <rPr>
        <sz val="10"/>
        <color theme="0"/>
        <rFont val="Arial"/>
        <family val="2"/>
        <charset val="204"/>
      </rPr>
      <t>*</t>
    </r>
  </si>
  <si>
    <r>
      <t>Жидкий ПВХ ТехноНИКОЛЬ, 1л</t>
    </r>
    <r>
      <rPr>
        <sz val="10"/>
        <color theme="0"/>
        <rFont val="Arial"/>
        <family val="2"/>
        <charset val="204"/>
      </rPr>
      <t>*</t>
    </r>
  </si>
  <si>
    <r>
      <t>Очиститель для ПВХ мембран ТехноНИКОЛЬ</t>
    </r>
    <r>
      <rPr>
        <sz val="10"/>
        <color theme="0"/>
        <rFont val="Arial"/>
        <family val="2"/>
        <charset val="204"/>
      </rPr>
      <t>*</t>
    </r>
  </si>
  <si>
    <r>
      <t>Нож для резки мембран ТехноНИКОЛЬ</t>
    </r>
    <r>
      <rPr>
        <sz val="10"/>
        <color theme="2"/>
        <rFont val="Arial"/>
        <family val="2"/>
        <charset val="204"/>
      </rPr>
      <t>*</t>
    </r>
  </si>
  <si>
    <r>
      <t>ПВХ Внешний угол ТехноНИКОЛЬ</t>
    </r>
    <r>
      <rPr>
        <sz val="10"/>
        <color theme="0"/>
        <rFont val="Arial"/>
        <family val="2"/>
        <charset val="204"/>
      </rPr>
      <t>*</t>
    </r>
  </si>
  <si>
    <r>
      <t>ПВХ Внутренний угол ТехноНИКОЛЬ</t>
    </r>
    <r>
      <rPr>
        <sz val="10"/>
        <color theme="2"/>
        <rFont val="Arial"/>
        <family val="2"/>
        <charset val="204"/>
      </rPr>
      <t>*</t>
    </r>
  </si>
  <si>
    <r>
      <t>Фартук из ПВХ мембраны для воронки ТН</t>
    </r>
    <r>
      <rPr>
        <sz val="10"/>
        <color theme="0"/>
        <rFont val="Arial"/>
        <family val="2"/>
        <charset val="204"/>
      </rPr>
      <t>*</t>
    </r>
  </si>
  <si>
    <r>
      <t>Телескопический крепеж (425 мм)</t>
    </r>
    <r>
      <rPr>
        <sz val="10"/>
        <color theme="2"/>
        <rFont val="Arial"/>
        <family val="2"/>
        <charset val="204"/>
      </rPr>
      <t>***</t>
    </r>
  </si>
  <si>
    <r>
      <t>Саморез 4,8х  300 мм</t>
    </r>
    <r>
      <rPr>
        <sz val="10"/>
        <color theme="2"/>
        <rFont val="Arial"/>
        <family val="2"/>
        <charset val="204"/>
      </rPr>
      <t>***</t>
    </r>
  </si>
  <si>
    <r>
      <t>Саморез 4,8х  180 мм</t>
    </r>
    <r>
      <rPr>
        <sz val="10"/>
        <color theme="2"/>
        <rFont val="Arial"/>
        <family val="2"/>
        <charset val="204"/>
      </rPr>
      <t>***</t>
    </r>
  </si>
  <si>
    <r>
      <t>Саморез 4,8х  240 мм</t>
    </r>
    <r>
      <rPr>
        <sz val="10"/>
        <color theme="0"/>
        <rFont val="Arial"/>
        <family val="2"/>
        <charset val="204"/>
      </rPr>
      <t>***</t>
    </r>
  </si>
  <si>
    <r>
      <t>Саморез 4,8х  140 мм</t>
    </r>
    <r>
      <rPr>
        <sz val="10"/>
        <color theme="0"/>
        <rFont val="Arial"/>
        <family val="2"/>
        <charset val="204"/>
      </rPr>
      <t>***</t>
    </r>
  </si>
  <si>
    <r>
      <t>ПВХ мембрана LOGICROOF V-SR серый (1.5 мм)</t>
    </r>
    <r>
      <rPr>
        <sz val="10"/>
        <color theme="2"/>
        <rFont val="Arial"/>
        <family val="2"/>
        <charset val="204"/>
      </rPr>
      <t>*</t>
    </r>
  </si>
  <si>
    <r>
      <t>ПВХ Кровельный аэратор 75 х 375 мм</t>
    </r>
    <r>
      <rPr>
        <sz val="10"/>
        <color theme="2"/>
        <rFont val="Arial"/>
        <family val="2"/>
        <charset val="204"/>
      </rPr>
      <t>*</t>
    </r>
  </si>
  <si>
    <t>шаг установки, м:</t>
  </si>
  <si>
    <t>XP</t>
  </si>
  <si>
    <t>PI</t>
  </si>
  <si>
    <t>Дата последней редакции шаблона: 28.10.21</t>
  </si>
  <si>
    <t>13.12.2021 09:02:24</t>
  </si>
  <si>
    <t>морозенко сергей александрович</t>
  </si>
  <si>
    <t>менеджер</t>
  </si>
  <si>
    <t>+8 (926) 051-12-61</t>
  </si>
  <si>
    <t>Morozenko@centro-stroi.ru</t>
  </si>
  <si>
    <t>Для кого:</t>
  </si>
  <si>
    <t>Наименование организации:</t>
  </si>
  <si>
    <t>ООО "ТК ЦЕНТРОСТРОЙ"</t>
  </si>
  <si>
    <t>г Москва</t>
  </si>
  <si>
    <t>г. Тверь – многофункциональный спортивный центр – гребная база</t>
  </si>
  <si>
    <t>Новый</t>
  </si>
  <si>
    <t>Россия, Тверь, набережная Реки Тверцы</t>
  </si>
  <si>
    <t>8 000,00 кв.м;</t>
  </si>
  <si>
    <t>По проекту</t>
  </si>
  <si>
    <t>Комментарий:</t>
  </si>
  <si>
    <t>согласно проекту</t>
  </si>
  <si>
    <t>Ввод материалов самостоятельно</t>
  </si>
  <si>
    <t>KB</t>
  </si>
  <si>
    <t>Крепеж для плит клиновидной теплоизоляции + крепеж мембраны над ней</t>
  </si>
  <si>
    <t>Плоская кровля:</t>
  </si>
  <si>
    <t>План:</t>
  </si>
  <si>
    <t>https://nav.tn.ru/upload/iblock/255/slz7c4db7jbhs4drci8uq3wkn8iu77ou/18_017_AS-.pdf</t>
  </si>
  <si>
    <t>https://nav.tn.ru/upload/iblock/cba/foq2evcnm8vyjiyl0hns6o9o76wwg85v/Forma-PRTS.xlsx</t>
  </si>
  <si>
    <t>11-2738-МПКПМКИ-12.21</t>
  </si>
  <si>
    <t>В осях 7-9 / Ж-И и 
12-14 / Ж-И</t>
  </si>
  <si>
    <t>Кровля 
(без участков в осях 
7-9 / Ж-И и 12-14 / Ж-И)</t>
  </si>
  <si>
    <t>Кровельное ограждение ТехноНИКОЛЬ ККО/СК/600-2</t>
  </si>
  <si>
    <t xml:space="preserve">Система:  </t>
  </si>
  <si>
    <t>Клиновидная изоляция, крепление теплоизоляции и мембраны к основанию**</t>
  </si>
  <si>
    <t>Телескопический крепеж (425 мм)***</t>
  </si>
  <si>
    <t>Саморез 4,8х  140 мм***</t>
  </si>
  <si>
    <t>Саморез 4,8х  180 мм***</t>
  </si>
  <si>
    <t>Саморез 4,8х  240 мм***</t>
  </si>
  <si>
    <t>Саморез 4,8х  300 мм***</t>
  </si>
  <si>
    <t>* Позиции носят рекомендательный характер</t>
  </si>
  <si>
    <t>** Количество крепежа дано с учетом закрепления мембраны, над клиновидной теплоизоляцией</t>
  </si>
  <si>
    <t/>
  </si>
  <si>
    <t>В случае применения системы из семейства ТН-КРОВЛЯ, включая все слои и комплектующие, может быть выдан</t>
  </si>
  <si>
    <t>гарантийный сертификат Стандарт на систему. Монтаж системы должен быть выполнен в соответствии с</t>
  </si>
  <si>
    <t>требованиями Руководства по монтажу системы при сопровождении монтажа Службой Качества ТЕХНОНИКОЛЬ.</t>
  </si>
  <si>
    <t>Введите кол-во</t>
  </si>
  <si>
    <t>36834.5486</t>
  </si>
  <si>
    <t xml:space="preserve">Многофункциональный спортивный центр </t>
  </si>
  <si>
    <t>Тверь</t>
  </si>
  <si>
    <t>Предлагаем Вам для объекта: " г. Тверь – многофункциональный спортивный центр, использовать материалы Компании ТехноНИКОЛЬ по специальным ценам</t>
  </si>
  <si>
    <t>Объект: г. Тверь – многофункциональный спортивный центр</t>
  </si>
  <si>
    <t>11-27ХХ-МПКПМКИ-12.21</t>
  </si>
  <si>
    <t>1555ХХ</t>
  </si>
  <si>
    <t>Номер расчета ПРЦ:  11-27ХХ-МПКПМКИ-12.21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</si>
</sst>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(&quot;₽&quot;* #,##0.00_);_(&quot;₽&quot;* \(#,##0.00\);_(&quot;₽&quot;* &quot;-&quot;??_);_(@_)"/>
    <numFmt numFmtId="165" formatCode="_(* #,##0.00_);_(* \(#,##0.00\);_(* &quot;-&quot;??_);_(@_)"/>
    <numFmt numFmtId="166" formatCode="_-* #,##0.00_р_._-;\-* #,##0.00_р_._-;_-* &quot;-&quot;??_р_._-;_-@_-"/>
    <numFmt numFmtId="167" formatCode="_-* #,##0\ _₽_-;\-* #,##0\ _₽_-;_-* &quot;-&quot;??\ _₽_-;_-@_-"/>
    <numFmt numFmtId="168" formatCode="0.0"/>
    <numFmt numFmtId="169" formatCode="_-* #,##0\ &quot;₽&quot;_-;\-* #,##0\ &quot;₽&quot;_-;_-* &quot;-&quot;??\ &quot;₽&quot;_-;_-@_-"/>
    <numFmt numFmtId="170" formatCode="0.0%"/>
    <numFmt numFmtId="171" formatCode="0.0000"/>
    <numFmt numFmtId="172" formatCode="[$-F800]dddd\,\ mmmm\ dd\,\ yyyy"/>
    <numFmt numFmtId="173" formatCode="#,##0.00\ &quot;₽&quot;"/>
    <numFmt numFmtId="174" formatCode="0.000"/>
    <numFmt numFmtId="175" formatCode="[$-419]d\ mmm\ yy;@"/>
    <numFmt numFmtId="176" formatCode="_-* #,##0.00_ _-;\-* #,##0.00_ _-;_-* &quot;-&quot;??_ _-;_-@_-"/>
    <numFmt numFmtId="177" formatCode="_-* #,##0.00[$€-1]_-;\-* #,##0.00[$€-1]_-;_-* &quot;-&quot;??[$€-1]_-"/>
    <numFmt numFmtId="178" formatCode="_-* #,##0.000\ _₽_-;\-* #,##0.000\ _₽_-;_-* &quot;-&quot;??\ _₽_-;_-@_-"/>
  </numFmts>
  <fonts count="15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1"/>
      <color theme="2" tint="-0.249977111117893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theme="5" tint="-0.249977111117893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color theme="4" tint="-0.249977111117893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theme="0"/>
      <name val="Arial"/>
      <family val="2"/>
      <charset val="204"/>
    </font>
    <font>
      <u/>
      <sz val="11"/>
      <color theme="0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i/>
      <sz val="10"/>
      <name val="Arial"/>
      <family val="2"/>
      <charset val="204"/>
    </font>
    <font>
      <sz val="8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6"/>
      <color rgb="FFFF0000"/>
      <name val="Arial"/>
      <family val="2"/>
      <charset val="204"/>
    </font>
    <font>
      <b/>
      <sz val="36"/>
      <color rgb="FFFF0000"/>
      <name val="Arial"/>
      <family val="2"/>
      <charset val="204"/>
    </font>
    <font>
      <b/>
      <sz val="26"/>
      <color rgb="FFFF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u/>
      <sz val="10"/>
      <color theme="4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36"/>
      <color rgb="FFFF0000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u/>
      <sz val="12"/>
      <color rgb="FFFF00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u/>
      <sz val="9"/>
      <color indexed="81"/>
      <name val="Tahoma"/>
      <family val="2"/>
      <charset val="204"/>
    </font>
    <font>
      <i/>
      <sz val="10"/>
      <color rgb="FF00000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1"/>
      <color rgb="FFFF0000"/>
      <name val="Arial"/>
      <family val="2"/>
      <charset val="204"/>
    </font>
    <font>
      <u/>
      <sz val="14"/>
      <color theme="10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vertAlign val="superscript"/>
      <sz val="10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u/>
      <sz val="12"/>
      <color theme="1"/>
      <name val="Arial"/>
      <family val="2"/>
      <charset val="204"/>
    </font>
    <font>
      <sz val="8"/>
      <color theme="0"/>
      <name val="Arial"/>
      <family val="2"/>
      <charset val="204"/>
    </font>
    <font>
      <i/>
      <sz val="10"/>
      <color theme="0"/>
      <name val="Arial"/>
      <family val="2"/>
      <charset val="204"/>
    </font>
    <font>
      <sz val="14"/>
      <color rgb="FFFF0000"/>
      <name val="Calibri"/>
      <family val="2"/>
      <charset val="204"/>
      <scheme val="minor"/>
    </font>
    <font>
      <sz val="26"/>
      <color rgb="FFFF0000"/>
      <name val="Calibri"/>
      <family val="2"/>
      <charset val="204"/>
      <scheme val="minor"/>
    </font>
    <font>
      <sz val="26"/>
      <color rgb="FFFF0000"/>
      <name val="Arial"/>
      <family val="2"/>
      <charset val="204"/>
    </font>
    <font>
      <sz val="18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sz val="10"/>
      <color theme="5" tint="0.59999389629810485"/>
      <name val="Arial"/>
      <family val="2"/>
      <charset val="204"/>
    </font>
    <font>
      <sz val="10"/>
      <color theme="8" tint="0.59999389629810485"/>
      <name val="Arial"/>
      <family val="2"/>
      <charset val="204"/>
    </font>
    <font>
      <u/>
      <sz val="10"/>
      <color rgb="FF0070C0"/>
      <name val="Arial"/>
      <family val="2"/>
      <charset val="204"/>
    </font>
    <font>
      <sz val="10"/>
      <color rgb="FF0070C0"/>
      <name val="Arial"/>
      <family val="2"/>
      <charset val="204"/>
    </font>
    <font>
      <sz val="11"/>
      <color rgb="FF333333"/>
      <name val="Courier New"/>
      <family val="3"/>
      <charset val="204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0"/>
      <name val="Calibri"/>
      <family val="2"/>
      <charset val="204"/>
      <scheme val="minor"/>
    </font>
    <font>
      <u/>
      <sz val="18"/>
      <color rgb="FFFF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u/>
      <sz val="16"/>
      <color rgb="FFFF0000"/>
      <name val="Calibri"/>
      <family val="2"/>
      <charset val="204"/>
      <scheme val="minor"/>
    </font>
    <font>
      <b/>
      <sz val="22"/>
      <color rgb="FFFF0000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0" tint="-0.24997711111789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9"/>
      <name val="Arial CE"/>
      <charset val="204"/>
    </font>
    <font>
      <sz val="10"/>
      <name val="Helv"/>
      <charset val="204"/>
    </font>
    <font>
      <sz val="10"/>
      <name val="Arial Cyr"/>
    </font>
    <font>
      <u/>
      <sz val="8"/>
      <color indexed="12"/>
      <name val="Arial"/>
      <family val="2"/>
      <charset val="204"/>
    </font>
    <font>
      <u/>
      <sz val="11.5"/>
      <color theme="10"/>
      <name val="Arial Cyr"/>
      <charset val="204"/>
    </font>
    <font>
      <u/>
      <sz val="10"/>
      <color theme="10"/>
      <name val="Arial Cyr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0"/>
      <color theme="0"/>
      <name val="Arial"/>
      <family val="2"/>
      <charset val="204"/>
    </font>
    <font>
      <b/>
      <u/>
      <sz val="22"/>
      <color rgb="FFFF0000"/>
      <name val="Calibri"/>
      <family val="2"/>
      <charset val="204"/>
      <scheme val="minor"/>
    </font>
    <font>
      <u/>
      <sz val="12"/>
      <color indexed="12"/>
      <name val="Arial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Consolas"/>
      <family val="3"/>
      <charset val="204"/>
    </font>
    <font>
      <sz val="12"/>
      <color rgb="FF1E1E1E"/>
      <name val="Courier New"/>
      <family val="3"/>
      <charset val="204"/>
    </font>
    <font>
      <b/>
      <sz val="11"/>
      <color rgb="FF000000"/>
      <name val="Calibri"/>
      <family val="2"/>
      <charset val="204"/>
    </font>
    <font>
      <u/>
      <sz val="12"/>
      <color indexed="12"/>
      <name val="Arial"/>
      <family val="2"/>
    </font>
    <font>
      <u/>
      <sz val="10"/>
      <color indexed="12"/>
      <name val="Arial Cyr"/>
    </font>
    <font>
      <u/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2"/>
      <name val="Arial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1" tint="0.499984740745262"/>
        <bgColor theme="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theme="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19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auto="1"/>
      </left>
      <right style="medium">
        <color theme="0" tint="-0.34998626667073579"/>
      </right>
      <top style="thin">
        <color auto="1"/>
      </top>
      <bottom style="thin">
        <color auto="1"/>
      </bottom>
      <diagonal/>
    </border>
    <border>
      <left style="medium">
        <color theme="0" tint="-0.34998626667073579"/>
      </left>
      <right style="thin">
        <color auto="1"/>
      </right>
      <top style="thin">
        <color auto="1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0" tint="-0.34998626667073579"/>
      </bottom>
      <diagonal/>
    </border>
    <border>
      <left style="thin">
        <color auto="1"/>
      </left>
      <right style="medium">
        <color theme="0" tint="-0.34998626667073579"/>
      </right>
      <top style="thin">
        <color auto="1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34998626667073579"/>
      </top>
      <bottom style="thin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/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0">
    <xf numFmtId="0" fontId="0" fillId="0" borderId="0"/>
    <xf numFmtId="0" fontId="1" fillId="0" borderId="0"/>
    <xf numFmtId="0" fontId="2" fillId="0" borderId="0"/>
    <xf numFmtId="0" fontId="5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9" fillId="7" borderId="2" applyNumberFormat="0" applyAlignment="0" applyProtection="0"/>
    <xf numFmtId="0" fontId="10" fillId="20" borderId="3" applyNumberFormat="0" applyAlignment="0" applyProtection="0"/>
    <xf numFmtId="0" fontId="11" fillId="20" borderId="2" applyNumberFormat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7" applyNumberFormat="0" applyFill="0" applyAlignment="0" applyProtection="0"/>
    <xf numFmtId="0" fontId="16" fillId="21" borderId="8" applyNumberFormat="0" applyAlignment="0" applyProtection="0"/>
    <xf numFmtId="0" fontId="1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5" fillId="0" borderId="0"/>
    <xf numFmtId="0" fontId="5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6" fillId="23" borderId="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2" fillId="0" borderId="10" applyNumberFormat="0" applyFill="0" applyAlignment="0" applyProtection="0"/>
    <xf numFmtId="0" fontId="2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4" borderId="0" applyNumberFormat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16" fillId="62" borderId="107" applyFill="0">
      <alignment horizontal="center"/>
    </xf>
    <xf numFmtId="0" fontId="115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0"/>
    <xf numFmtId="0" fontId="118" fillId="0" borderId="0"/>
    <xf numFmtId="0" fontId="5" fillId="0" borderId="0"/>
    <xf numFmtId="0" fontId="2" fillId="0" borderId="0"/>
    <xf numFmtId="0" fontId="118" fillId="0" borderId="0"/>
    <xf numFmtId="0" fontId="1" fillId="0" borderId="0"/>
    <xf numFmtId="0" fontId="19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70" fillId="0" borderId="0">
      <alignment horizontal="left"/>
    </xf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7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22" fillId="16" borderId="0" applyNumberFormat="0" applyBorder="0" applyAlignment="0" applyProtection="0"/>
    <xf numFmtId="0" fontId="122" fillId="17" borderId="0" applyNumberFormat="0" applyBorder="0" applyAlignment="0" applyProtection="0"/>
    <xf numFmtId="0" fontId="122" fillId="18" borderId="0" applyNumberFormat="0" applyBorder="0" applyAlignment="0" applyProtection="0"/>
    <xf numFmtId="0" fontId="122" fillId="13" borderId="0" applyNumberFormat="0" applyBorder="0" applyAlignment="0" applyProtection="0"/>
    <xf numFmtId="0" fontId="122" fillId="14" borderId="0" applyNumberFormat="0" applyBorder="0" applyAlignment="0" applyProtection="0"/>
    <xf numFmtId="0" fontId="122" fillId="19" borderId="0" applyNumberFormat="0" applyBorder="0" applyAlignment="0" applyProtection="0"/>
    <xf numFmtId="0" fontId="123" fillId="7" borderId="187" applyNumberFormat="0" applyAlignment="0" applyProtection="0"/>
    <xf numFmtId="0" fontId="124" fillId="20" borderId="188" applyNumberFormat="0" applyAlignment="0" applyProtection="0"/>
    <xf numFmtId="0" fontId="125" fillId="20" borderId="187" applyNumberFormat="0" applyAlignment="0" applyProtection="0"/>
    <xf numFmtId="0" fontId="126" fillId="0" borderId="4" applyNumberFormat="0" applyFill="0" applyAlignment="0" applyProtection="0"/>
    <xf numFmtId="0" fontId="127" fillId="0" borderId="5" applyNumberFormat="0" applyFill="0" applyAlignment="0" applyProtection="0"/>
    <xf numFmtId="0" fontId="128" fillId="0" borderId="6" applyNumberFormat="0" applyFill="0" applyAlignment="0" applyProtection="0"/>
    <xf numFmtId="0" fontId="128" fillId="0" borderId="0" applyNumberFormat="0" applyFill="0" applyBorder="0" applyAlignment="0" applyProtection="0"/>
    <xf numFmtId="0" fontId="129" fillId="0" borderId="189" applyNumberFormat="0" applyFill="0" applyAlignment="0" applyProtection="0"/>
    <xf numFmtId="0" fontId="130" fillId="21" borderId="8" applyNumberFormat="0" applyAlignment="0" applyProtection="0"/>
    <xf numFmtId="0" fontId="13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3" borderId="0" applyNumberFormat="0" applyBorder="0" applyAlignment="0" applyProtection="0"/>
    <xf numFmtId="0" fontId="133" fillId="0" borderId="0" applyNumberFormat="0" applyFill="0" applyBorder="0" applyAlignment="0" applyProtection="0"/>
    <xf numFmtId="0" fontId="5" fillId="23" borderId="190" applyNumberFormat="0" applyFont="0" applyAlignment="0" applyProtection="0"/>
    <xf numFmtId="0" fontId="134" fillId="0" borderId="10" applyNumberFormat="0" applyFill="0" applyAlignment="0" applyProtection="0"/>
    <xf numFmtId="0" fontId="135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0" fontId="13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23" fillId="7" borderId="191" applyNumberFormat="0" applyAlignment="0" applyProtection="0"/>
    <xf numFmtId="0" fontId="124" fillId="20" borderId="192" applyNumberFormat="0" applyAlignment="0" applyProtection="0"/>
    <xf numFmtId="0" fontId="125" fillId="20" borderId="191" applyNumberFormat="0" applyAlignment="0" applyProtection="0"/>
    <xf numFmtId="0" fontId="129" fillId="0" borderId="193" applyNumberFormat="0" applyFill="0" applyAlignment="0" applyProtection="0"/>
    <xf numFmtId="0" fontId="5" fillId="23" borderId="194" applyNumberFormat="0" applyFont="0" applyAlignment="0" applyProtection="0"/>
    <xf numFmtId="0" fontId="116" fillId="62" borderId="195" applyFill="0">
      <alignment horizontal="center"/>
    </xf>
    <xf numFmtId="0" fontId="140" fillId="0" borderId="0"/>
    <xf numFmtId="0" fontId="140" fillId="0" borderId="0"/>
    <xf numFmtId="0" fontId="5" fillId="0" borderId="0"/>
    <xf numFmtId="0" fontId="139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/>
    <xf numFmtId="0" fontId="1" fillId="0" borderId="0"/>
    <xf numFmtId="0" fontId="6" fillId="0" borderId="0"/>
    <xf numFmtId="0" fontId="140" fillId="0" borderId="0"/>
    <xf numFmtId="0" fontId="27" fillId="0" borderId="0"/>
    <xf numFmtId="0" fontId="108" fillId="0" borderId="0"/>
    <xf numFmtId="0" fontId="142" fillId="0" borderId="0"/>
    <xf numFmtId="0" fontId="118" fillId="0" borderId="0"/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18" fillId="0" borderId="0"/>
    <xf numFmtId="0" fontId="2" fillId="0" borderId="0"/>
    <xf numFmtId="0" fontId="118" fillId="0" borderId="0"/>
  </cellStyleXfs>
  <cellXfs count="1595">
    <xf numFmtId="0" fontId="0" fillId="0" borderId="0" xfId="0"/>
    <xf numFmtId="0" fontId="0" fillId="0" borderId="0" xfId="0"/>
    <xf numFmtId="0" fontId="28" fillId="0" borderId="26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30" fillId="0" borderId="30" xfId="0" applyFont="1" applyFill="1" applyBorder="1" applyAlignment="1">
      <alignment horizontal="center" vertical="center"/>
    </xf>
    <xf numFmtId="1" fontId="30" fillId="0" borderId="20" xfId="0" applyNumberFormat="1" applyFont="1" applyFill="1" applyBorder="1" applyAlignment="1">
      <alignment horizontal="center" vertical="center"/>
    </xf>
    <xf numFmtId="1" fontId="30" fillId="0" borderId="21" xfId="0" applyNumberFormat="1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 wrapText="1"/>
    </xf>
    <xf numFmtId="0" fontId="28" fillId="0" borderId="23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left" vertical="center" wrapText="1"/>
    </xf>
    <xf numFmtId="0" fontId="30" fillId="0" borderId="42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vertical="center" wrapText="1"/>
    </xf>
    <xf numFmtId="0" fontId="29" fillId="0" borderId="42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left" vertical="center" wrapText="1"/>
    </xf>
    <xf numFmtId="0" fontId="28" fillId="0" borderId="22" xfId="0" applyFont="1" applyFill="1" applyBorder="1" applyAlignment="1">
      <alignment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left" vertical="center" wrapText="1"/>
    </xf>
    <xf numFmtId="1" fontId="30" fillId="0" borderId="24" xfId="0" applyNumberFormat="1" applyFont="1" applyFill="1" applyBorder="1" applyAlignment="1">
      <alignment horizontal="center" vertical="center"/>
    </xf>
    <xf numFmtId="1" fontId="30" fillId="0" borderId="30" xfId="0" applyNumberFormat="1" applyFont="1" applyFill="1" applyBorder="1" applyAlignment="1">
      <alignment horizontal="center" vertical="center"/>
    </xf>
    <xf numFmtId="0" fontId="0" fillId="25" borderId="0" xfId="0" applyFill="1"/>
    <xf numFmtId="0" fontId="26" fillId="0" borderId="0" xfId="0" applyFont="1"/>
    <xf numFmtId="0" fontId="26" fillId="0" borderId="0" xfId="0" applyFont="1" applyAlignment="1">
      <alignment wrapText="1"/>
    </xf>
    <xf numFmtId="0" fontId="0" fillId="0" borderId="11" xfId="0" applyFill="1" applyBorder="1" applyAlignment="1">
      <alignment horizontal="center"/>
    </xf>
    <xf numFmtId="164" fontId="0" fillId="0" borderId="44" xfId="63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20" xfId="0" applyBorder="1" applyAlignment="1">
      <alignment horizontal="center"/>
    </xf>
    <xf numFmtId="9" fontId="0" fillId="0" borderId="20" xfId="62" applyFont="1" applyBorder="1" applyAlignment="1">
      <alignment horizontal="center"/>
    </xf>
    <xf numFmtId="9" fontId="0" fillId="0" borderId="45" xfId="0" applyNumberFormat="1" applyBorder="1" applyAlignment="1">
      <alignment horizontal="center"/>
    </xf>
    <xf numFmtId="0" fontId="0" fillId="0" borderId="21" xfId="0" applyBorder="1"/>
    <xf numFmtId="0" fontId="0" fillId="0" borderId="47" xfId="0" applyBorder="1" applyAlignment="1">
      <alignment horizontal="center"/>
    </xf>
    <xf numFmtId="167" fontId="0" fillId="26" borderId="47" xfId="61" applyNumberFormat="1" applyFont="1" applyFill="1" applyBorder="1" applyAlignment="1">
      <alignment horizontal="center"/>
    </xf>
    <xf numFmtId="167" fontId="0" fillId="26" borderId="48" xfId="0" applyNumberFormat="1" applyFill="1" applyBorder="1"/>
    <xf numFmtId="169" fontId="31" fillId="0" borderId="49" xfId="63" applyNumberFormat="1" applyFont="1" applyBorder="1" applyAlignment="1">
      <alignment vertical="center"/>
    </xf>
    <xf numFmtId="9" fontId="0" fillId="0" borderId="47" xfId="62" applyFont="1" applyBorder="1" applyAlignment="1">
      <alignment horizontal="center"/>
    </xf>
    <xf numFmtId="9" fontId="0" fillId="0" borderId="48" xfId="0" applyNumberFormat="1" applyFill="1" applyBorder="1"/>
    <xf numFmtId="169" fontId="0" fillId="0" borderId="49" xfId="63" applyNumberFormat="1" applyFont="1" applyBorder="1" applyAlignment="1">
      <alignment vertical="center"/>
    </xf>
    <xf numFmtId="0" fontId="0" fillId="0" borderId="51" xfId="0" applyBorder="1" applyAlignment="1">
      <alignment horizontal="center"/>
    </xf>
    <xf numFmtId="167" fontId="0" fillId="0" borderId="52" xfId="0" applyNumberFormat="1" applyFill="1" applyBorder="1" applyAlignment="1">
      <alignment horizontal="center"/>
    </xf>
    <xf numFmtId="169" fontId="0" fillId="0" borderId="53" xfId="63" applyNumberFormat="1" applyFont="1" applyBorder="1" applyAlignment="1">
      <alignment vertical="center"/>
    </xf>
    <xf numFmtId="9" fontId="0" fillId="0" borderId="20" xfId="62" applyFont="1" applyBorder="1" applyAlignment="1">
      <alignment horizontal="center" vertical="center"/>
    </xf>
    <xf numFmtId="9" fontId="0" fillId="0" borderId="45" xfId="62" applyFont="1" applyFill="1" applyBorder="1"/>
    <xf numFmtId="9" fontId="0" fillId="0" borderId="48" xfId="0" applyNumberFormat="1" applyFill="1" applyBorder="1" applyAlignment="1">
      <alignment horizontal="center"/>
    </xf>
    <xf numFmtId="169" fontId="0" fillId="0" borderId="49" xfId="63" applyNumberFormat="1" applyFont="1" applyFill="1" applyBorder="1" applyAlignment="1">
      <alignment vertical="center"/>
    </xf>
    <xf numFmtId="169" fontId="0" fillId="0" borderId="51" xfId="63" applyNumberFormat="1" applyFont="1" applyBorder="1" applyAlignment="1">
      <alignment horizontal="center"/>
    </xf>
    <xf numFmtId="169" fontId="0" fillId="0" borderId="52" xfId="0" applyNumberFormat="1" applyFill="1" applyBorder="1" applyAlignment="1">
      <alignment horizontal="center"/>
    </xf>
    <xf numFmtId="169" fontId="0" fillId="0" borderId="53" xfId="63" applyNumberFormat="1" applyFont="1" applyFill="1" applyBorder="1" applyAlignment="1">
      <alignment vertical="center"/>
    </xf>
    <xf numFmtId="9" fontId="0" fillId="0" borderId="20" xfId="0" applyNumberFormat="1" applyBorder="1" applyAlignment="1">
      <alignment horizontal="center"/>
    </xf>
    <xf numFmtId="9" fontId="0" fillId="0" borderId="45" xfId="0" applyNumberFormat="1" applyBorder="1"/>
    <xf numFmtId="9" fontId="0" fillId="0" borderId="47" xfId="0" applyNumberFormat="1" applyBorder="1" applyAlignment="1">
      <alignment horizontal="center"/>
    </xf>
    <xf numFmtId="9" fontId="0" fillId="0" borderId="48" xfId="0" applyNumberFormat="1" applyBorder="1" applyAlignment="1">
      <alignment horizontal="center"/>
    </xf>
    <xf numFmtId="9" fontId="0" fillId="0" borderId="48" xfId="62" applyFont="1" applyBorder="1" applyAlignment="1">
      <alignment horizontal="center"/>
    </xf>
    <xf numFmtId="9" fontId="0" fillId="0" borderId="51" xfId="0" applyNumberFormat="1" applyBorder="1" applyAlignment="1">
      <alignment horizontal="center"/>
    </xf>
    <xf numFmtId="169" fontId="0" fillId="0" borderId="52" xfId="63" applyNumberFormat="1" applyFont="1" applyBorder="1" applyAlignment="1">
      <alignment horizontal="center"/>
    </xf>
    <xf numFmtId="9" fontId="0" fillId="0" borderId="48" xfId="0" applyNumberFormat="1" applyBorder="1"/>
    <xf numFmtId="9" fontId="0" fillId="0" borderId="51" xfId="62" applyFont="1" applyBorder="1" applyAlignment="1">
      <alignment horizontal="center"/>
    </xf>
    <xf numFmtId="169" fontId="0" fillId="0" borderId="51" xfId="0" applyNumberFormat="1" applyBorder="1" applyAlignment="1">
      <alignment horizontal="center"/>
    </xf>
    <xf numFmtId="169" fontId="0" fillId="0" borderId="52" xfId="63" applyNumberFormat="1" applyFont="1" applyBorder="1"/>
    <xf numFmtId="9" fontId="0" fillId="0" borderId="45" xfId="0" applyNumberFormat="1" applyBorder="1" applyAlignment="1"/>
    <xf numFmtId="164" fontId="0" fillId="0" borderId="49" xfId="63" applyFont="1" applyBorder="1" applyAlignment="1">
      <alignment vertical="center"/>
    </xf>
    <xf numFmtId="169" fontId="0" fillId="0" borderId="52" xfId="0" applyNumberFormat="1" applyBorder="1"/>
    <xf numFmtId="169" fontId="0" fillId="0" borderId="51" xfId="0" applyNumberFormat="1" applyBorder="1"/>
    <xf numFmtId="167" fontId="0" fillId="26" borderId="48" xfId="0" applyNumberFormat="1" applyFill="1" applyBorder="1" applyAlignment="1"/>
    <xf numFmtId="0" fontId="0" fillId="0" borderId="55" xfId="0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164" fontId="0" fillId="0" borderId="54" xfId="63" applyFont="1" applyBorder="1" applyAlignment="1">
      <alignment horizontal="center" vertical="center"/>
    </xf>
    <xf numFmtId="0" fontId="32" fillId="0" borderId="0" xfId="0" applyFont="1"/>
    <xf numFmtId="0" fontId="26" fillId="0" borderId="58" xfId="0" applyFont="1" applyBorder="1" applyAlignment="1">
      <alignment horizontal="center" vertical="center"/>
    </xf>
    <xf numFmtId="0" fontId="0" fillId="0" borderId="0" xfId="0" applyAlignment="1">
      <alignment wrapText="1"/>
    </xf>
    <xf numFmtId="9" fontId="26" fillId="0" borderId="0" xfId="0" applyNumberFormat="1" applyFont="1"/>
    <xf numFmtId="0" fontId="36" fillId="0" borderId="0" xfId="0" applyFont="1"/>
    <xf numFmtId="0" fontId="36" fillId="0" borderId="0" xfId="0" applyFont="1" applyAlignment="1">
      <alignment wrapText="1"/>
    </xf>
    <xf numFmtId="0" fontId="26" fillId="0" borderId="0" xfId="0" applyFont="1" applyAlignment="1">
      <alignment horizontal="left"/>
    </xf>
    <xf numFmtId="0" fontId="33" fillId="0" borderId="0" xfId="0" applyFont="1" applyAlignment="1">
      <alignment wrapText="1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39" fillId="0" borderId="0" xfId="0" applyFont="1" applyBorder="1" applyAlignment="1">
      <alignment horizontal="right" vertical="center"/>
    </xf>
    <xf numFmtId="0" fontId="39" fillId="0" borderId="0" xfId="0" applyFont="1" applyBorder="1" applyAlignment="1">
      <alignment horizontal="left" vertical="center" wrapText="1"/>
    </xf>
    <xf numFmtId="0" fontId="40" fillId="0" borderId="0" xfId="0" applyFont="1" applyBorder="1" applyAlignment="1">
      <alignment horizontal="right" vertical="center"/>
    </xf>
    <xf numFmtId="0" fontId="43" fillId="0" borderId="0" xfId="0" applyFont="1" applyFill="1" applyBorder="1" applyAlignment="1">
      <alignment horizontal="left" vertical="center"/>
    </xf>
    <xf numFmtId="0" fontId="2" fillId="0" borderId="0" xfId="2" applyFont="1"/>
    <xf numFmtId="0" fontId="2" fillId="28" borderId="0" xfId="2" applyFont="1" applyFill="1"/>
    <xf numFmtId="0" fontId="33" fillId="28" borderId="0" xfId="0" applyFont="1" applyFill="1" applyAlignment="1">
      <alignment horizontal="left" vertical="center"/>
    </xf>
    <xf numFmtId="0" fontId="33" fillId="26" borderId="0" xfId="0" applyFont="1" applyFill="1" applyAlignment="1">
      <alignment horizontal="left" vertical="center"/>
    </xf>
    <xf numFmtId="0" fontId="33" fillId="0" borderId="67" xfId="0" applyFont="1" applyBorder="1" applyAlignment="1">
      <alignment horizontal="center" vertical="center"/>
    </xf>
    <xf numFmtId="0" fontId="49" fillId="0" borderId="0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3" fillId="0" borderId="1" xfId="0" applyFont="1" applyBorder="1" applyAlignment="1">
      <alignment horizontal="center" vertical="center"/>
    </xf>
    <xf numFmtId="0" fontId="2" fillId="29" borderId="0" xfId="2" applyFont="1" applyFill="1" applyBorder="1" applyAlignment="1">
      <alignment horizontal="left" vertical="center"/>
    </xf>
    <xf numFmtId="0" fontId="2" fillId="30" borderId="0" xfId="2" applyFont="1" applyFill="1" applyBorder="1" applyAlignment="1">
      <alignment horizontal="left" vertical="center"/>
    </xf>
    <xf numFmtId="0" fontId="33" fillId="0" borderId="0" xfId="59" applyFont="1"/>
    <xf numFmtId="0" fontId="37" fillId="0" borderId="0" xfId="59" applyFont="1" applyFill="1" applyBorder="1" applyAlignment="1">
      <alignment horizontal="center" vertical="center"/>
    </xf>
    <xf numFmtId="0" fontId="33" fillId="0" borderId="0" xfId="59" applyFont="1" applyFill="1" applyBorder="1"/>
    <xf numFmtId="167" fontId="33" fillId="0" borderId="0" xfId="61" applyNumberFormat="1" applyFont="1" applyFill="1" applyBorder="1"/>
    <xf numFmtId="0" fontId="2" fillId="0" borderId="0" xfId="2" applyFont="1" applyBorder="1" applyAlignment="1">
      <alignment horizontal="center" vertical="center"/>
    </xf>
    <xf numFmtId="0" fontId="33" fillId="0" borderId="0" xfId="59" applyFont="1" applyBorder="1"/>
    <xf numFmtId="167" fontId="33" fillId="0" borderId="0" xfId="61" applyNumberFormat="1" applyFont="1" applyFill="1" applyBorder="1" applyAlignment="1">
      <alignment horizontal="right" vertical="center"/>
    </xf>
    <xf numFmtId="0" fontId="33" fillId="0" borderId="0" xfId="0" applyFont="1" applyFill="1" applyBorder="1"/>
    <xf numFmtId="0" fontId="38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left" vertical="center"/>
    </xf>
    <xf numFmtId="0" fontId="33" fillId="0" borderId="67" xfId="0" applyFont="1" applyFill="1" applyBorder="1" applyAlignment="1">
      <alignment horizontal="center" vertical="center"/>
    </xf>
    <xf numFmtId="0" fontId="49" fillId="31" borderId="67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33" fillId="33" borderId="67" xfId="0" applyFont="1" applyFill="1" applyBorder="1" applyAlignment="1">
      <alignment horizontal="center" vertical="center"/>
    </xf>
    <xf numFmtId="0" fontId="33" fillId="34" borderId="6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55" fillId="26" borderId="67" xfId="0" applyFont="1" applyFill="1" applyBorder="1" applyAlignment="1">
      <alignment horizontal="center" vertical="center" wrapText="1"/>
    </xf>
    <xf numFmtId="0" fontId="56" fillId="26" borderId="67" xfId="0" applyFont="1" applyFill="1" applyBorder="1" applyAlignment="1">
      <alignment horizontal="center" vertical="center" wrapText="1"/>
    </xf>
    <xf numFmtId="0" fontId="2" fillId="26" borderId="67" xfId="2" applyFont="1" applyFill="1" applyBorder="1" applyAlignment="1">
      <alignment horizontal="center" vertical="center"/>
    </xf>
    <xf numFmtId="0" fontId="2" fillId="35" borderId="67" xfId="2" applyFont="1" applyFill="1" applyBorder="1" applyAlignment="1">
      <alignment horizontal="center" vertical="center"/>
    </xf>
    <xf numFmtId="0" fontId="33" fillId="35" borderId="67" xfId="0" applyFont="1" applyFill="1" applyBorder="1" applyAlignment="1">
      <alignment horizontal="center" vertical="center" wrapText="1"/>
    </xf>
    <xf numFmtId="0" fontId="2" fillId="38" borderId="67" xfId="2" applyFont="1" applyFill="1" applyBorder="1" applyAlignment="1">
      <alignment horizontal="center" vertical="center"/>
    </xf>
    <xf numFmtId="0" fontId="37" fillId="0" borderId="0" xfId="65" applyFont="1" applyAlignment="1">
      <alignment vertical="center"/>
    </xf>
    <xf numFmtId="0" fontId="37" fillId="0" borderId="0" xfId="65" applyFont="1" applyAlignment="1">
      <alignment horizontal="left" vertical="center"/>
    </xf>
    <xf numFmtId="0" fontId="33" fillId="0" borderId="0" xfId="65" applyFont="1" applyAlignment="1">
      <alignment horizontal="center" vertical="center"/>
    </xf>
    <xf numFmtId="0" fontId="61" fillId="0" borderId="0" xfId="0" applyFont="1" applyBorder="1" applyAlignment="1">
      <alignment vertical="center" wrapText="1"/>
    </xf>
    <xf numFmtId="0" fontId="62" fillId="0" borderId="0" xfId="0" applyFont="1" applyBorder="1" applyAlignment="1">
      <alignment vertical="center"/>
    </xf>
    <xf numFmtId="0" fontId="63" fillId="0" borderId="0" xfId="0" applyNumberFormat="1" applyFont="1" applyBorder="1" applyAlignment="1">
      <alignment vertical="center"/>
    </xf>
    <xf numFmtId="0" fontId="64" fillId="0" borderId="0" xfId="0" applyFont="1" applyAlignment="1">
      <alignment horizontal="center" vertical="center"/>
    </xf>
    <xf numFmtId="0" fontId="64" fillId="0" borderId="0" xfId="0" applyFont="1" applyAlignment="1">
      <alignment horizontal="right" vertical="center" indent="4"/>
    </xf>
    <xf numFmtId="0" fontId="26" fillId="0" borderId="0" xfId="0" applyFont="1" applyFill="1"/>
    <xf numFmtId="0" fontId="66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167" fontId="0" fillId="26" borderId="48" xfId="0" applyNumberFormat="1" applyFill="1" applyBorder="1" applyAlignment="1">
      <alignment horizontal="center"/>
    </xf>
    <xf numFmtId="0" fontId="26" fillId="0" borderId="0" xfId="0" applyFont="1" applyAlignment="1">
      <alignment vertical="center"/>
    </xf>
    <xf numFmtId="0" fontId="26" fillId="24" borderId="0" xfId="0" applyFont="1" applyFill="1"/>
    <xf numFmtId="0" fontId="26" fillId="24" borderId="79" xfId="0" applyFont="1" applyFill="1" applyBorder="1" applyAlignment="1">
      <alignment horizontal="center"/>
    </xf>
    <xf numFmtId="168" fontId="38" fillId="0" borderId="0" xfId="0" applyNumberFormat="1" applyFont="1" applyFill="1" applyAlignment="1">
      <alignment horizontal="right" indent="1"/>
    </xf>
    <xf numFmtId="0" fontId="67" fillId="0" borderId="0" xfId="0" applyFont="1"/>
    <xf numFmtId="0" fontId="26" fillId="0" borderId="79" xfId="0" applyFont="1" applyBorder="1"/>
    <xf numFmtId="0" fontId="26" fillId="0" borderId="79" xfId="0" applyFont="1" applyBorder="1" applyAlignment="1">
      <alignment horizontal="center" vertical="center"/>
    </xf>
    <xf numFmtId="9" fontId="26" fillId="0" borderId="79" xfId="0" applyNumberFormat="1" applyFont="1" applyBorder="1"/>
    <xf numFmtId="0" fontId="0" fillId="0" borderId="0" xfId="0" applyFill="1"/>
    <xf numFmtId="0" fontId="0" fillId="0" borderId="0" xfId="0" applyAlignment="1">
      <alignment vertical="top" wrapText="1"/>
    </xf>
    <xf numFmtId="170" fontId="38" fillId="0" borderId="0" xfId="0" applyNumberFormat="1" applyFont="1" applyFill="1" applyAlignment="1">
      <alignment horizontal="right" indent="1"/>
    </xf>
    <xf numFmtId="0" fontId="26" fillId="0" borderId="0" xfId="0" applyFont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8" fillId="0" borderId="15" xfId="0" applyNumberFormat="1" applyFont="1" applyFill="1" applyBorder="1" applyAlignment="1">
      <alignment horizontal="center" vertical="center"/>
    </xf>
    <xf numFmtId="0" fontId="38" fillId="0" borderId="16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center"/>
    </xf>
    <xf numFmtId="0" fontId="35" fillId="24" borderId="73" xfId="64" applyFill="1" applyBorder="1" applyAlignment="1">
      <alignment horizontal="center" vertical="center"/>
    </xf>
    <xf numFmtId="0" fontId="33" fillId="39" borderId="76" xfId="0" applyFont="1" applyFill="1" applyBorder="1" applyAlignment="1">
      <alignment horizontal="center" vertical="center"/>
    </xf>
    <xf numFmtId="0" fontId="33" fillId="39" borderId="19" xfId="0" applyFont="1" applyFill="1" applyBorder="1" applyAlignment="1">
      <alignment horizontal="center" vertical="center"/>
    </xf>
    <xf numFmtId="0" fontId="2" fillId="39" borderId="80" xfId="2" applyFont="1" applyFill="1" applyBorder="1" applyAlignment="1">
      <alignment horizontal="center" vertical="center"/>
    </xf>
    <xf numFmtId="0" fontId="2" fillId="39" borderId="82" xfId="2" applyFont="1" applyFill="1" applyBorder="1" applyAlignment="1">
      <alignment horizontal="center" vertical="center"/>
    </xf>
    <xf numFmtId="171" fontId="38" fillId="39" borderId="76" xfId="0" applyNumberFormat="1" applyFont="1" applyFill="1" applyBorder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2" fillId="24" borderId="78" xfId="2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9" fontId="0" fillId="0" borderId="20" xfId="0" applyNumberFormat="1" applyFill="1" applyBorder="1" applyAlignment="1">
      <alignment horizontal="center"/>
    </xf>
    <xf numFmtId="9" fontId="0" fillId="0" borderId="45" xfId="0" applyNumberFormat="1" applyFill="1" applyBorder="1" applyAlignment="1"/>
    <xf numFmtId="0" fontId="0" fillId="0" borderId="21" xfId="0" applyFill="1" applyBorder="1"/>
    <xf numFmtId="0" fontId="0" fillId="0" borderId="79" xfId="0" applyFill="1" applyBorder="1" applyAlignment="1">
      <alignment horizontal="center"/>
    </xf>
    <xf numFmtId="167" fontId="0" fillId="26" borderId="79" xfId="61" applyNumberFormat="1" applyFont="1" applyFill="1" applyBorder="1" applyAlignment="1">
      <alignment horizontal="center"/>
    </xf>
    <xf numFmtId="167" fontId="0" fillId="0" borderId="79" xfId="61" applyNumberFormat="1" applyFont="1" applyFill="1" applyBorder="1" applyAlignment="1">
      <alignment horizontal="center"/>
    </xf>
    <xf numFmtId="169" fontId="31" fillId="0" borderId="81" xfId="63" applyNumberFormat="1" applyFont="1" applyFill="1" applyBorder="1" applyAlignment="1">
      <alignment vertical="center"/>
    </xf>
    <xf numFmtId="9" fontId="0" fillId="0" borderId="79" xfId="62" applyFont="1" applyFill="1" applyBorder="1" applyAlignment="1">
      <alignment horizontal="center"/>
    </xf>
    <xf numFmtId="0" fontId="0" fillId="0" borderId="84" xfId="0" applyFill="1" applyBorder="1" applyAlignment="1">
      <alignment horizontal="center"/>
    </xf>
    <xf numFmtId="9" fontId="0" fillId="0" borderId="84" xfId="0" applyNumberFormat="1" applyFill="1" applyBorder="1"/>
    <xf numFmtId="164" fontId="0" fillId="0" borderId="81" xfId="63" applyFont="1" applyFill="1" applyBorder="1" applyAlignment="1">
      <alignment vertical="center"/>
    </xf>
    <xf numFmtId="0" fontId="0" fillId="0" borderId="51" xfId="0" applyFill="1" applyBorder="1" applyAlignment="1">
      <alignment horizontal="center"/>
    </xf>
    <xf numFmtId="169" fontId="0" fillId="0" borderId="51" xfId="0" applyNumberFormat="1" applyFill="1" applyBorder="1"/>
    <xf numFmtId="0" fontId="0" fillId="0" borderId="57" xfId="0" applyFill="1" applyBorder="1" applyAlignment="1">
      <alignment horizontal="center"/>
    </xf>
    <xf numFmtId="169" fontId="0" fillId="0" borderId="57" xfId="0" applyNumberFormat="1" applyFill="1" applyBorder="1"/>
    <xf numFmtId="169" fontId="0" fillId="0" borderId="83" xfId="63" applyNumberFormat="1" applyFont="1" applyFill="1" applyBorder="1" applyAlignment="1">
      <alignment vertical="center"/>
    </xf>
    <xf numFmtId="0" fontId="33" fillId="40" borderId="0" xfId="0" applyFont="1" applyFill="1" applyAlignment="1">
      <alignment horizontal="center" vertical="center"/>
    </xf>
    <xf numFmtId="0" fontId="26" fillId="24" borderId="0" xfId="0" applyFont="1" applyFill="1" applyAlignment="1">
      <alignment horizontal="lef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0" fillId="0" borderId="90" xfId="0" applyFont="1" applyFill="1" applyBorder="1" applyAlignment="1">
      <alignment horizontal="center" vertical="center"/>
    </xf>
    <xf numFmtId="0" fontId="30" fillId="0" borderId="74" xfId="0" applyFont="1" applyFill="1" applyBorder="1" applyAlignment="1">
      <alignment horizontal="center" vertical="center"/>
    </xf>
    <xf numFmtId="0" fontId="30" fillId="0" borderId="32" xfId="0" applyFont="1" applyFill="1" applyBorder="1" applyAlignment="1">
      <alignment horizontal="center" vertical="center"/>
    </xf>
    <xf numFmtId="0" fontId="0" fillId="0" borderId="90" xfId="0" applyFill="1" applyBorder="1" applyAlignment="1">
      <alignment horizontal="center"/>
    </xf>
    <xf numFmtId="0" fontId="30" fillId="0" borderId="27" xfId="0" applyFont="1" applyFill="1" applyBorder="1" applyAlignment="1">
      <alignment horizontal="center" vertical="center"/>
    </xf>
    <xf numFmtId="0" fontId="30" fillId="0" borderId="92" xfId="0" applyFont="1" applyFill="1" applyBorder="1" applyAlignment="1">
      <alignment horizontal="center" vertical="center"/>
    </xf>
    <xf numFmtId="0" fontId="30" fillId="0" borderId="93" xfId="0" applyFont="1" applyFill="1" applyBorder="1" applyAlignment="1">
      <alignment horizontal="center" vertical="center"/>
    </xf>
    <xf numFmtId="0" fontId="30" fillId="0" borderId="94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 wrapText="1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0" borderId="94" xfId="0" applyFill="1" applyBorder="1" applyAlignment="1">
      <alignment horizontal="center"/>
    </xf>
    <xf numFmtId="0" fontId="33" fillId="0" borderId="13" xfId="0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96" xfId="0" applyFont="1" applyBorder="1" applyAlignment="1">
      <alignment horizontal="center" vertical="center"/>
    </xf>
    <xf numFmtId="0" fontId="33" fillId="0" borderId="88" xfId="0" applyFont="1" applyBorder="1" applyAlignment="1">
      <alignment horizontal="center" vertical="center"/>
    </xf>
    <xf numFmtId="0" fontId="33" fillId="0" borderId="78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 vertical="center"/>
    </xf>
    <xf numFmtId="0" fontId="33" fillId="0" borderId="73" xfId="0" applyFont="1" applyBorder="1" applyAlignment="1">
      <alignment horizontal="center" vertical="center"/>
    </xf>
    <xf numFmtId="0" fontId="2" fillId="24" borderId="78" xfId="2" applyFont="1" applyFill="1" applyBorder="1" applyAlignment="1">
      <alignment horizontal="center" vertical="center"/>
    </xf>
    <xf numFmtId="0" fontId="73" fillId="0" borderId="0" xfId="0" applyFont="1"/>
    <xf numFmtId="0" fontId="46" fillId="0" borderId="0" xfId="0" applyFont="1" applyFill="1" applyBorder="1" applyAlignment="1">
      <alignment horizontal="right" vertical="center"/>
    </xf>
    <xf numFmtId="0" fontId="2" fillId="42" borderId="67" xfId="2" applyFont="1" applyFill="1" applyBorder="1" applyAlignment="1">
      <alignment horizontal="center" vertical="center"/>
    </xf>
    <xf numFmtId="0" fontId="33" fillId="39" borderId="0" xfId="0" applyFont="1" applyFill="1" applyAlignment="1">
      <alignment horizontal="left" vertical="center"/>
    </xf>
    <xf numFmtId="0" fontId="33" fillId="39" borderId="0" xfId="0" applyFont="1" applyFill="1" applyAlignment="1">
      <alignment horizontal="center" vertical="center"/>
    </xf>
    <xf numFmtId="0" fontId="42" fillId="0" borderId="0" xfId="0" applyFont="1" applyFill="1" applyBorder="1" applyAlignment="1">
      <alignment vertical="center" wrapText="1"/>
    </xf>
    <xf numFmtId="0" fontId="72" fillId="0" borderId="0" xfId="0" applyFont="1" applyFill="1" applyBorder="1" applyAlignment="1">
      <alignment vertical="top" wrapText="1"/>
    </xf>
    <xf numFmtId="0" fontId="76" fillId="0" borderId="0" xfId="0" applyFont="1" applyAlignment="1">
      <alignment horizontal="center" vertical="center"/>
    </xf>
    <xf numFmtId="0" fontId="33" fillId="34" borderId="74" xfId="0" applyFont="1" applyFill="1" applyBorder="1" applyAlignment="1">
      <alignment horizontal="center" vertical="center"/>
    </xf>
    <xf numFmtId="168" fontId="33" fillId="34" borderId="67" xfId="0" applyNumberFormat="1" applyFont="1" applyFill="1" applyBorder="1" applyAlignment="1">
      <alignment horizontal="center" vertical="center"/>
    </xf>
    <xf numFmtId="0" fontId="49" fillId="43" borderId="67" xfId="0" applyFont="1" applyFill="1" applyBorder="1" applyAlignment="1">
      <alignment horizontal="center" vertical="center"/>
    </xf>
    <xf numFmtId="168" fontId="33" fillId="33" borderId="67" xfId="0" applyNumberFormat="1" applyFont="1" applyFill="1" applyBorder="1" applyAlignment="1">
      <alignment horizontal="center" vertical="center"/>
    </xf>
    <xf numFmtId="168" fontId="33" fillId="0" borderId="67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38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top" wrapText="1"/>
    </xf>
    <xf numFmtId="0" fontId="42" fillId="0" borderId="0" xfId="0" applyFont="1" applyFill="1" applyBorder="1" applyAlignment="1">
      <alignment vertical="center"/>
    </xf>
    <xf numFmtId="0" fontId="2" fillId="24" borderId="72" xfId="2" applyFont="1" applyFill="1" applyBorder="1" applyAlignment="1">
      <alignment horizontal="left"/>
    </xf>
    <xf numFmtId="0" fontId="33" fillId="44" borderId="85" xfId="0" applyFont="1" applyFill="1" applyBorder="1" applyAlignment="1">
      <alignment horizontal="center" vertical="center"/>
    </xf>
    <xf numFmtId="0" fontId="33" fillId="44" borderId="86" xfId="0" applyFont="1" applyFill="1" applyBorder="1" applyAlignment="1">
      <alignment horizontal="center" vertical="center"/>
    </xf>
    <xf numFmtId="0" fontId="33" fillId="44" borderId="95" xfId="0" applyFont="1" applyFill="1" applyBorder="1" applyAlignment="1">
      <alignment horizontal="center" vertical="center"/>
    </xf>
    <xf numFmtId="0" fontId="33" fillId="44" borderId="96" xfId="0" applyFont="1" applyFill="1" applyBorder="1" applyAlignment="1">
      <alignment horizontal="center" vertical="center"/>
    </xf>
    <xf numFmtId="0" fontId="33" fillId="44" borderId="87" xfId="0" applyFont="1" applyFill="1" applyBorder="1" applyAlignment="1">
      <alignment horizontal="center" vertical="center"/>
    </xf>
    <xf numFmtId="0" fontId="33" fillId="44" borderId="88" xfId="0" applyFont="1" applyFill="1" applyBorder="1" applyAlignment="1">
      <alignment horizontal="center" vertical="center"/>
    </xf>
    <xf numFmtId="0" fontId="2" fillId="35" borderId="74" xfId="2" applyFont="1" applyFill="1" applyBorder="1" applyAlignment="1">
      <alignment horizontal="center" vertical="center"/>
    </xf>
    <xf numFmtId="168" fontId="33" fillId="0" borderId="67" xfId="0" applyNumberFormat="1" applyFont="1" applyFill="1" applyBorder="1" applyAlignment="1">
      <alignment horizontal="center" vertical="center"/>
    </xf>
    <xf numFmtId="0" fontId="33" fillId="45" borderId="73" xfId="0" applyFont="1" applyFill="1" applyBorder="1" applyAlignment="1">
      <alignment horizontal="center" vertical="center"/>
    </xf>
    <xf numFmtId="0" fontId="33" fillId="35" borderId="74" xfId="0" applyFont="1" applyFill="1" applyBorder="1" applyAlignment="1">
      <alignment horizontal="center" vertical="center" wrapText="1"/>
    </xf>
    <xf numFmtId="0" fontId="51" fillId="0" borderId="84" xfId="0" applyFont="1" applyFill="1" applyBorder="1" applyAlignment="1">
      <alignment vertical="center"/>
    </xf>
    <xf numFmtId="0" fontId="33" fillId="46" borderId="0" xfId="0" applyFont="1" applyFill="1" applyAlignment="1">
      <alignment horizontal="center" vertical="center"/>
    </xf>
    <xf numFmtId="0" fontId="51" fillId="0" borderId="84" xfId="1" applyFont="1" applyFill="1" applyBorder="1" applyAlignment="1">
      <alignment vertical="center"/>
    </xf>
    <xf numFmtId="0" fontId="26" fillId="0" borderId="100" xfId="0" applyFont="1" applyBorder="1" applyAlignment="1">
      <alignment horizontal="center"/>
    </xf>
    <xf numFmtId="168" fontId="26" fillId="0" borderId="100" xfId="0" applyNumberFormat="1" applyFont="1" applyBorder="1"/>
    <xf numFmtId="0" fontId="77" fillId="0" borderId="0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26" fillId="0" borderId="100" xfId="0" applyFont="1" applyBorder="1"/>
    <xf numFmtId="0" fontId="26" fillId="0" borderId="100" xfId="0" applyFont="1" applyBorder="1" applyAlignment="1">
      <alignment horizontal="center" vertical="center"/>
    </xf>
    <xf numFmtId="0" fontId="25" fillId="48" borderId="100" xfId="0" applyFont="1" applyFill="1" applyBorder="1" applyAlignment="1">
      <alignment horizontal="center" vertical="center"/>
    </xf>
    <xf numFmtId="0" fontId="26" fillId="48" borderId="100" xfId="0" applyFont="1" applyFill="1" applyBorder="1" applyAlignment="1">
      <alignment horizontal="right" vertical="center"/>
    </xf>
    <xf numFmtId="0" fontId="33" fillId="48" borderId="100" xfId="0" applyFont="1" applyFill="1" applyBorder="1" applyAlignment="1">
      <alignment horizontal="center" vertical="center"/>
    </xf>
    <xf numFmtId="0" fontId="78" fillId="48" borderId="100" xfId="0" applyFont="1" applyFill="1" applyBorder="1" applyAlignment="1">
      <alignment horizontal="center" vertical="center"/>
    </xf>
    <xf numFmtId="0" fontId="69" fillId="48" borderId="100" xfId="0" applyFont="1" applyFill="1" applyBorder="1" applyAlignment="1">
      <alignment horizontal="center" vertical="center"/>
    </xf>
    <xf numFmtId="0" fontId="4" fillId="47" borderId="100" xfId="0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79" fillId="0" borderId="0" xfId="0" applyFont="1" applyAlignment="1">
      <alignment vertical="top" wrapText="1"/>
    </xf>
    <xf numFmtId="0" fontId="26" fillId="0" borderId="74" xfId="0" applyFont="1" applyBorder="1" applyAlignment="1">
      <alignment horizontal="center" vertical="center"/>
    </xf>
    <xf numFmtId="0" fontId="26" fillId="0" borderId="68" xfId="0" applyFont="1" applyBorder="1" applyAlignment="1">
      <alignment horizontal="center" vertical="center"/>
    </xf>
    <xf numFmtId="0" fontId="26" fillId="26" borderId="0" xfId="0" applyFont="1" applyFill="1"/>
    <xf numFmtId="0" fontId="37" fillId="0" borderId="41" xfId="0" applyFont="1" applyBorder="1" applyAlignment="1">
      <alignment horizontal="center" vertical="center"/>
    </xf>
    <xf numFmtId="0" fontId="26" fillId="49" borderId="100" xfId="0" applyFont="1" applyFill="1" applyBorder="1" applyAlignment="1">
      <alignment horizontal="center" vertical="center"/>
    </xf>
    <xf numFmtId="9" fontId="0" fillId="0" borderId="0" xfId="0" applyNumberFormat="1"/>
    <xf numFmtId="0" fontId="30" fillId="0" borderId="0" xfId="0" applyFont="1" applyFill="1" applyBorder="1" applyAlignment="1">
      <alignment horizontal="center" vertical="center"/>
    </xf>
    <xf numFmtId="0" fontId="26" fillId="0" borderId="0" xfId="0" applyFont="1" applyBorder="1"/>
    <xf numFmtId="0" fontId="33" fillId="24" borderId="78" xfId="0" applyFont="1" applyFill="1" applyBorder="1" applyAlignment="1">
      <alignment horizontal="center" vertical="center"/>
    </xf>
    <xf numFmtId="0" fontId="33" fillId="0" borderId="85" xfId="0" applyFont="1" applyBorder="1" applyAlignment="1">
      <alignment horizontal="left" vertical="center"/>
    </xf>
    <xf numFmtId="0" fontId="33" fillId="0" borderId="13" xfId="0" applyFont="1" applyBorder="1" applyAlignment="1">
      <alignment horizontal="left" vertical="center"/>
    </xf>
    <xf numFmtId="0" fontId="33" fillId="0" borderId="86" xfId="0" applyFont="1" applyBorder="1" applyAlignment="1">
      <alignment horizontal="center" vertical="center"/>
    </xf>
    <xf numFmtId="0" fontId="51" fillId="0" borderId="103" xfId="1" applyFont="1" applyFill="1" applyBorder="1" applyAlignment="1">
      <alignment vertical="center"/>
    </xf>
    <xf numFmtId="0" fontId="51" fillId="0" borderId="103" xfId="0" applyFont="1" applyFill="1" applyBorder="1" applyAlignment="1">
      <alignment vertical="center"/>
    </xf>
    <xf numFmtId="0" fontId="33" fillId="0" borderId="103" xfId="1" applyFont="1" applyBorder="1" applyAlignment="1">
      <alignment vertical="center"/>
    </xf>
    <xf numFmtId="0" fontId="33" fillId="0" borderId="87" xfId="0" applyFont="1" applyBorder="1" applyAlignment="1">
      <alignment horizontal="center" vertical="center"/>
    </xf>
    <xf numFmtId="0" fontId="33" fillId="0" borderId="101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5" fillId="0" borderId="0" xfId="64" applyAlignment="1">
      <alignment horizontal="center" vertical="center"/>
    </xf>
    <xf numFmtId="0" fontId="85" fillId="0" borderId="0" xfId="64" applyFont="1" applyAlignment="1">
      <alignment horizontal="right" vertical="center" indent="4"/>
    </xf>
    <xf numFmtId="0" fontId="50" fillId="0" borderId="0" xfId="59" applyFont="1" applyFill="1" applyBorder="1" applyAlignment="1">
      <alignment vertical="center"/>
    </xf>
    <xf numFmtId="0" fontId="33" fillId="35" borderId="107" xfId="0" applyFont="1" applyFill="1" applyBorder="1" applyAlignment="1">
      <alignment horizontal="center" vertical="center" wrapText="1"/>
    </xf>
    <xf numFmtId="0" fontId="2" fillId="37" borderId="107" xfId="2" applyFont="1" applyFill="1" applyBorder="1" applyAlignment="1">
      <alignment horizontal="center" vertical="center"/>
    </xf>
    <xf numFmtId="0" fontId="2" fillId="35" borderId="107" xfId="2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2" fillId="24" borderId="107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vertical="center" wrapText="1"/>
    </xf>
    <xf numFmtId="0" fontId="53" fillId="0" borderId="0" xfId="0" applyFont="1" applyFill="1" applyBorder="1" applyAlignment="1">
      <alignment vertical="center"/>
    </xf>
    <xf numFmtId="0" fontId="54" fillId="0" borderId="0" xfId="2" applyFont="1" applyFill="1" applyBorder="1" applyAlignment="1">
      <alignment vertical="center"/>
    </xf>
    <xf numFmtId="0" fontId="55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vertical="center"/>
    </xf>
    <xf numFmtId="0" fontId="47" fillId="0" borderId="0" xfId="0" applyFont="1" applyFill="1" applyBorder="1" applyAlignment="1">
      <alignment horizontal="left" vertical="center" indent="1"/>
    </xf>
    <xf numFmtId="0" fontId="0" fillId="40" borderId="0" xfId="0" applyFill="1"/>
    <xf numFmtId="0" fontId="33" fillId="50" borderId="78" xfId="0" applyFont="1" applyFill="1" applyBorder="1" applyAlignment="1">
      <alignment horizontal="center" vertical="center"/>
    </xf>
    <xf numFmtId="0" fontId="0" fillId="24" borderId="20" xfId="0" applyFill="1" applyBorder="1" applyAlignment="1">
      <alignment horizontal="center"/>
    </xf>
    <xf numFmtId="9" fontId="0" fillId="24" borderId="20" xfId="62" applyFont="1" applyFill="1" applyBorder="1" applyAlignment="1">
      <alignment horizontal="center"/>
    </xf>
    <xf numFmtId="0" fontId="0" fillId="24" borderId="45" xfId="0" applyFill="1" applyBorder="1" applyAlignment="1">
      <alignment horizontal="center"/>
    </xf>
    <xf numFmtId="9" fontId="0" fillId="24" borderId="45" xfId="0" applyNumberFormat="1" applyFill="1" applyBorder="1" applyAlignment="1">
      <alignment horizontal="center"/>
    </xf>
    <xf numFmtId="0" fontId="0" fillId="24" borderId="21" xfId="0" applyFill="1" applyBorder="1"/>
    <xf numFmtId="0" fontId="0" fillId="24" borderId="47" xfId="0" applyFill="1" applyBorder="1" applyAlignment="1">
      <alignment horizontal="center"/>
    </xf>
    <xf numFmtId="167" fontId="0" fillId="24" borderId="47" xfId="61" applyNumberFormat="1" applyFont="1" applyFill="1" applyBorder="1" applyAlignment="1">
      <alignment horizontal="center"/>
    </xf>
    <xf numFmtId="0" fontId="0" fillId="24" borderId="56" xfId="0" applyFill="1" applyBorder="1" applyAlignment="1">
      <alignment horizontal="center"/>
    </xf>
    <xf numFmtId="167" fontId="0" fillId="24" borderId="48" xfId="0" applyNumberFormat="1" applyFill="1" applyBorder="1"/>
    <xf numFmtId="169" fontId="31" fillId="24" borderId="49" xfId="63" applyNumberFormat="1" applyFont="1" applyFill="1" applyBorder="1" applyAlignment="1">
      <alignment vertical="center"/>
    </xf>
    <xf numFmtId="9" fontId="0" fillId="24" borderId="47" xfId="62" applyFont="1" applyFill="1" applyBorder="1" applyAlignment="1">
      <alignment horizontal="center"/>
    </xf>
    <xf numFmtId="9" fontId="0" fillId="24" borderId="48" xfId="0" applyNumberFormat="1" applyFill="1" applyBorder="1"/>
    <xf numFmtId="169" fontId="0" fillId="24" borderId="49" xfId="63" applyNumberFormat="1" applyFont="1" applyFill="1" applyBorder="1" applyAlignment="1">
      <alignment vertical="center"/>
    </xf>
    <xf numFmtId="0" fontId="0" fillId="24" borderId="51" xfId="0" applyFill="1" applyBorder="1" applyAlignment="1">
      <alignment horizontal="center"/>
    </xf>
    <xf numFmtId="169" fontId="0" fillId="24" borderId="51" xfId="63" applyNumberFormat="1" applyFont="1" applyFill="1" applyBorder="1" applyAlignment="1">
      <alignment horizontal="center"/>
    </xf>
    <xf numFmtId="0" fontId="0" fillId="24" borderId="57" xfId="0" applyFill="1" applyBorder="1" applyAlignment="1">
      <alignment horizontal="center"/>
    </xf>
    <xf numFmtId="167" fontId="0" fillId="24" borderId="52" xfId="0" applyNumberFormat="1" applyFill="1" applyBorder="1" applyAlignment="1">
      <alignment horizontal="center"/>
    </xf>
    <xf numFmtId="169" fontId="0" fillId="24" borderId="53" xfId="63" applyNumberFormat="1" applyFont="1" applyFill="1" applyBorder="1" applyAlignment="1">
      <alignment vertical="center"/>
    </xf>
    <xf numFmtId="0" fontId="30" fillId="40" borderId="20" xfId="0" applyFont="1" applyFill="1" applyBorder="1" applyAlignment="1">
      <alignment horizontal="center" vertical="center"/>
    </xf>
    <xf numFmtId="0" fontId="30" fillId="40" borderId="21" xfId="0" applyFont="1" applyFill="1" applyBorder="1" applyAlignment="1">
      <alignment horizontal="center" vertical="center"/>
    </xf>
    <xf numFmtId="0" fontId="30" fillId="40" borderId="23" xfId="0" applyFont="1" applyFill="1" applyBorder="1" applyAlignment="1">
      <alignment horizontal="center" vertical="center"/>
    </xf>
    <xf numFmtId="0" fontId="30" fillId="40" borderId="24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29" xfId="0" applyFont="1" applyFill="1" applyBorder="1" applyAlignment="1">
      <alignment horizontal="center" vertical="center"/>
    </xf>
    <xf numFmtId="0" fontId="30" fillId="40" borderId="30" xfId="0" applyFont="1" applyFill="1" applyBorder="1" applyAlignment="1">
      <alignment horizontal="center" vertical="center"/>
    </xf>
    <xf numFmtId="0" fontId="30" fillId="0" borderId="116" xfId="0" applyFont="1" applyFill="1" applyBorder="1" applyAlignment="1">
      <alignment horizontal="center" vertical="center"/>
    </xf>
    <xf numFmtId="0" fontId="30" fillId="0" borderId="113" xfId="0" applyFont="1" applyFill="1" applyBorder="1" applyAlignment="1">
      <alignment horizontal="center" vertical="center"/>
    </xf>
    <xf numFmtId="0" fontId="30" fillId="0" borderId="114" xfId="0" applyFont="1" applyFill="1" applyBorder="1" applyAlignment="1">
      <alignment horizontal="center" vertical="center"/>
    </xf>
    <xf numFmtId="0" fontId="0" fillId="26" borderId="118" xfId="0" applyFill="1" applyBorder="1" applyAlignment="1">
      <alignment horizontal="center" vertical="center"/>
    </xf>
    <xf numFmtId="0" fontId="0" fillId="26" borderId="1" xfId="0" applyFill="1" applyBorder="1" applyAlignment="1">
      <alignment horizontal="center" vertical="center"/>
    </xf>
    <xf numFmtId="0" fontId="0" fillId="26" borderId="106" xfId="0" applyFill="1" applyBorder="1" applyAlignment="1">
      <alignment horizontal="center" vertical="center"/>
    </xf>
    <xf numFmtId="0" fontId="0" fillId="26" borderId="107" xfId="0" applyFill="1" applyBorder="1" applyAlignment="1">
      <alignment horizontal="center" vertical="center"/>
    </xf>
    <xf numFmtId="0" fontId="0" fillId="26" borderId="109" xfId="0" applyFill="1" applyBorder="1" applyAlignment="1">
      <alignment horizontal="center" vertical="center"/>
    </xf>
    <xf numFmtId="0" fontId="0" fillId="26" borderId="110" xfId="0" applyFill="1" applyBorder="1" applyAlignment="1">
      <alignment horizontal="center" vertical="center"/>
    </xf>
    <xf numFmtId="0" fontId="0" fillId="42" borderId="1" xfId="0" applyFill="1" applyBorder="1" applyAlignment="1">
      <alignment horizontal="center" vertical="center"/>
    </xf>
    <xf numFmtId="0" fontId="0" fillId="42" borderId="107" xfId="0" applyFill="1" applyBorder="1" applyAlignment="1">
      <alignment horizontal="center" vertical="center"/>
    </xf>
    <xf numFmtId="0" fontId="0" fillId="42" borderId="110" xfId="0" applyFill="1" applyBorder="1" applyAlignment="1">
      <alignment horizontal="center" vertical="center"/>
    </xf>
    <xf numFmtId="0" fontId="0" fillId="42" borderId="117" xfId="0" applyFill="1" applyBorder="1" applyAlignment="1">
      <alignment horizontal="center" vertical="center"/>
    </xf>
    <xf numFmtId="0" fontId="0" fillId="42" borderId="108" xfId="0" applyFill="1" applyBorder="1" applyAlignment="1">
      <alignment horizontal="center" vertical="center"/>
    </xf>
    <xf numFmtId="0" fontId="0" fillId="42" borderId="111" xfId="0" applyFill="1" applyBorder="1" applyAlignment="1">
      <alignment horizontal="center" vertical="center"/>
    </xf>
    <xf numFmtId="0" fontId="0" fillId="26" borderId="108" xfId="0" applyFill="1" applyBorder="1" applyAlignment="1">
      <alignment horizontal="center" vertical="center"/>
    </xf>
    <xf numFmtId="0" fontId="0" fillId="26" borderId="111" xfId="0" applyFill="1" applyBorder="1" applyAlignment="1">
      <alignment horizontal="center" vertical="center"/>
    </xf>
    <xf numFmtId="0" fontId="0" fillId="26" borderId="19" xfId="0" applyFill="1" applyBorder="1" applyAlignment="1">
      <alignment horizontal="center" vertical="center"/>
    </xf>
    <xf numFmtId="0" fontId="0" fillId="26" borderId="21" xfId="0" applyFill="1" applyBorder="1" applyAlignment="1">
      <alignment horizontal="center" vertical="center"/>
    </xf>
    <xf numFmtId="0" fontId="87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26" fillId="0" borderId="107" xfId="0" applyFont="1" applyBorder="1"/>
    <xf numFmtId="0" fontId="26" fillId="0" borderId="107" xfId="0" applyFont="1" applyBorder="1" applyAlignment="1">
      <alignment horizontal="center" vertical="center"/>
    </xf>
    <xf numFmtId="0" fontId="33" fillId="40" borderId="78" xfId="0" applyFont="1" applyFill="1" applyBorder="1" applyAlignment="1">
      <alignment horizontal="center" vertical="center"/>
    </xf>
    <xf numFmtId="0" fontId="33" fillId="40" borderId="13" xfId="0" applyFont="1" applyFill="1" applyBorder="1" applyAlignment="1">
      <alignment horizontal="center" vertical="center"/>
    </xf>
    <xf numFmtId="0" fontId="33" fillId="40" borderId="95" xfId="0" applyFont="1" applyFill="1" applyBorder="1" applyAlignment="1">
      <alignment horizontal="center" vertical="center"/>
    </xf>
    <xf numFmtId="0" fontId="2" fillId="40" borderId="78" xfId="0" applyFont="1" applyFill="1" applyBorder="1" applyAlignment="1">
      <alignment horizontal="center" vertical="center"/>
    </xf>
    <xf numFmtId="0" fontId="33" fillId="40" borderId="96" xfId="0" applyFont="1" applyFill="1" applyBorder="1" applyAlignment="1">
      <alignment horizontal="center" vertical="center"/>
    </xf>
    <xf numFmtId="0" fontId="33" fillId="40" borderId="97" xfId="0" applyFont="1" applyFill="1" applyBorder="1" applyAlignment="1">
      <alignment horizontal="center" vertical="center"/>
    </xf>
    <xf numFmtId="0" fontId="33" fillId="40" borderId="76" xfId="0" applyFont="1" applyFill="1" applyBorder="1" applyAlignment="1">
      <alignment horizontal="center" vertical="center"/>
    </xf>
    <xf numFmtId="0" fontId="33" fillId="40" borderId="88" xfId="0" applyFont="1" applyFill="1" applyBorder="1" applyAlignment="1">
      <alignment horizontal="center" vertical="center"/>
    </xf>
    <xf numFmtId="0" fontId="33" fillId="40" borderId="77" xfId="0" applyFont="1" applyFill="1" applyBorder="1" applyAlignment="1">
      <alignment horizontal="center" vertical="center"/>
    </xf>
    <xf numFmtId="0" fontId="26" fillId="40" borderId="0" xfId="0" applyFont="1" applyFill="1"/>
    <xf numFmtId="49" fontId="33" fillId="24" borderId="0" xfId="0" applyNumberFormat="1" applyFont="1" applyFill="1" applyAlignment="1">
      <alignment horizontal="left" vertical="center"/>
    </xf>
    <xf numFmtId="0" fontId="2" fillId="24" borderId="0" xfId="2" applyFont="1" applyFill="1" applyBorder="1" applyAlignment="1">
      <alignment horizontal="left" vertical="center"/>
    </xf>
    <xf numFmtId="0" fontId="53" fillId="0" borderId="0" xfId="0" applyFont="1" applyAlignment="1">
      <alignment horizontal="left" vertical="center" indent="1"/>
    </xf>
    <xf numFmtId="0" fontId="8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34" fillId="26" borderId="10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7" fillId="0" borderId="0" xfId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47" fillId="0" borderId="0" xfId="1" applyFont="1" applyFill="1" applyBorder="1" applyAlignment="1">
      <alignment horizontal="right" vertical="center"/>
    </xf>
    <xf numFmtId="1" fontId="49" fillId="0" borderId="0" xfId="61" applyNumberFormat="1" applyFont="1" applyFill="1" applyBorder="1" applyAlignment="1">
      <alignment horizontal="right" vertical="center" indent="1"/>
    </xf>
    <xf numFmtId="171" fontId="1" fillId="39" borderId="45" xfId="64" applyNumberFormat="1" applyFont="1" applyFill="1" applyBorder="1" applyAlignment="1">
      <alignment horizontal="center" vertical="center"/>
    </xf>
    <xf numFmtId="171" fontId="33" fillId="39" borderId="84" xfId="0" applyNumberFormat="1" applyFont="1" applyFill="1" applyBorder="1" applyAlignment="1">
      <alignment horizontal="center" vertical="center"/>
    </xf>
    <xf numFmtId="171" fontId="33" fillId="39" borderId="57" xfId="0" applyNumberFormat="1" applyFont="1" applyFill="1" applyBorder="1" applyAlignment="1">
      <alignment horizontal="center" vertical="center"/>
    </xf>
    <xf numFmtId="0" fontId="33" fillId="45" borderId="102" xfId="0" applyFont="1" applyFill="1" applyBorder="1" applyAlignment="1">
      <alignment horizontal="left" vertical="center"/>
    </xf>
    <xf numFmtId="0" fontId="33" fillId="39" borderId="121" xfId="0" applyFont="1" applyFill="1" applyBorder="1" applyAlignment="1">
      <alignment horizontal="center" vertical="center"/>
    </xf>
    <xf numFmtId="0" fontId="33" fillId="39" borderId="112" xfId="0" applyFont="1" applyFill="1" applyBorder="1" applyAlignment="1">
      <alignment horizontal="center" vertical="center"/>
    </xf>
    <xf numFmtId="0" fontId="33" fillId="39" borderId="105" xfId="0" applyFont="1" applyFill="1" applyBorder="1" applyAlignment="1">
      <alignment horizontal="center" vertical="center"/>
    </xf>
    <xf numFmtId="0" fontId="76" fillId="0" borderId="0" xfId="0" applyFont="1" applyFill="1" applyAlignment="1">
      <alignment horizontal="center" vertical="center"/>
    </xf>
    <xf numFmtId="1" fontId="33" fillId="0" borderId="0" xfId="0" applyNumberFormat="1" applyFont="1" applyBorder="1" applyAlignment="1">
      <alignment horizontal="center" vertical="center"/>
    </xf>
    <xf numFmtId="0" fontId="33" fillId="42" borderId="0" xfId="0" applyFont="1" applyFill="1" applyBorder="1" applyAlignment="1">
      <alignment horizontal="center" vertical="center"/>
    </xf>
    <xf numFmtId="0" fontId="33" fillId="42" borderId="0" xfId="0" applyFont="1" applyFill="1" applyAlignment="1">
      <alignment horizontal="center" vertical="center"/>
    </xf>
    <xf numFmtId="0" fontId="33" fillId="52" borderId="0" xfId="0" applyFont="1" applyFill="1" applyBorder="1" applyAlignment="1">
      <alignment horizontal="left" vertical="center"/>
    </xf>
    <xf numFmtId="0" fontId="2" fillId="0" borderId="107" xfId="0" applyFont="1" applyFill="1" applyBorder="1" applyAlignment="1">
      <alignment horizontal="center" vertical="center"/>
    </xf>
    <xf numFmtId="168" fontId="39" fillId="0" borderId="0" xfId="61" applyNumberFormat="1" applyFont="1" applyFill="1" applyBorder="1" applyAlignment="1">
      <alignment horizontal="right" vertical="center"/>
    </xf>
    <xf numFmtId="0" fontId="2" fillId="42" borderId="107" xfId="0" applyFont="1" applyFill="1" applyBorder="1" applyAlignment="1">
      <alignment horizontal="center" vertical="center"/>
    </xf>
    <xf numFmtId="0" fontId="2" fillId="53" borderId="107" xfId="0" applyFont="1" applyFill="1" applyBorder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0" fontId="33" fillId="0" borderId="0" xfId="0" applyFont="1" applyBorder="1"/>
    <xf numFmtId="0" fontId="38" fillId="0" borderId="0" xfId="0" applyFont="1" applyBorder="1" applyAlignment="1">
      <alignment horizontal="center"/>
    </xf>
    <xf numFmtId="0" fontId="38" fillId="0" borderId="0" xfId="0" applyFont="1" applyBorder="1"/>
    <xf numFmtId="0" fontId="33" fillId="0" borderId="0" xfId="0" applyFont="1" applyAlignment="1">
      <alignment horizontal="left" vertical="center" wrapText="1"/>
    </xf>
    <xf numFmtId="0" fontId="90" fillId="0" borderId="0" xfId="0" applyFont="1" applyAlignment="1">
      <alignment horizontal="left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Border="1" applyAlignment="1">
      <alignment horizontal="left" vertical="center"/>
    </xf>
    <xf numFmtId="0" fontId="90" fillId="0" borderId="0" xfId="0" applyFont="1" applyBorder="1" applyAlignment="1">
      <alignment horizontal="center" vertical="center"/>
    </xf>
    <xf numFmtId="0" fontId="55" fillId="26" borderId="107" xfId="0" applyFont="1" applyFill="1" applyBorder="1" applyAlignment="1">
      <alignment horizontal="center" vertical="center" wrapText="1"/>
    </xf>
    <xf numFmtId="0" fontId="56" fillId="26" borderId="107" xfId="0" applyFont="1" applyFill="1" applyBorder="1" applyAlignment="1">
      <alignment horizontal="center" vertical="center" wrapText="1"/>
    </xf>
    <xf numFmtId="0" fontId="33" fillId="24" borderId="107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vertical="center"/>
    </xf>
    <xf numFmtId="14" fontId="33" fillId="0" borderId="0" xfId="0" applyNumberFormat="1" applyFont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66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5" fillId="0" borderId="0" xfId="64" applyAlignment="1">
      <alignment horizontal="center" wrapText="1"/>
    </xf>
    <xf numFmtId="0" fontId="94" fillId="0" borderId="0" xfId="64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7" fillId="0" borderId="0" xfId="64" applyFont="1" applyFill="1" applyBorder="1" applyAlignment="1">
      <alignment horizontal="center" vertical="center" wrapText="1"/>
    </xf>
    <xf numFmtId="0" fontId="42" fillId="50" borderId="107" xfId="0" applyFont="1" applyFill="1" applyBorder="1" applyAlignment="1">
      <alignment horizontal="center" vertical="center"/>
    </xf>
    <xf numFmtId="0" fontId="33" fillId="58" borderId="107" xfId="0" applyFont="1" applyFill="1" applyBorder="1"/>
    <xf numFmtId="0" fontId="33" fillId="59" borderId="107" xfId="0" applyFont="1" applyFill="1" applyBorder="1"/>
    <xf numFmtId="0" fontId="2" fillId="36" borderId="107" xfId="0" applyFont="1" applyFill="1" applyBorder="1" applyAlignment="1">
      <alignment horizontal="left" vertical="center"/>
    </xf>
    <xf numFmtId="0" fontId="2" fillId="36" borderId="107" xfId="0" applyFont="1" applyFill="1" applyBorder="1" applyAlignment="1">
      <alignment horizontal="center" vertical="center"/>
    </xf>
    <xf numFmtId="0" fontId="2" fillId="36" borderId="1" xfId="0" applyFont="1" applyFill="1" applyBorder="1" applyAlignment="1">
      <alignment horizontal="left" vertical="center"/>
    </xf>
    <xf numFmtId="0" fontId="2" fillId="36" borderId="1" xfId="0" applyFont="1" applyFill="1" applyBorder="1" applyAlignment="1">
      <alignment horizontal="center" vertical="center"/>
    </xf>
    <xf numFmtId="0" fontId="2" fillId="59" borderId="107" xfId="0" applyFont="1" applyFill="1" applyBorder="1" applyAlignment="1">
      <alignment horizontal="left" vertical="center"/>
    </xf>
    <xf numFmtId="0" fontId="2" fillId="59" borderId="107" xfId="0" applyFont="1" applyFill="1" applyBorder="1" applyAlignment="1">
      <alignment horizontal="center" vertical="center"/>
    </xf>
    <xf numFmtId="0" fontId="2" fillId="57" borderId="107" xfId="0" applyFont="1" applyFill="1" applyBorder="1" applyAlignment="1">
      <alignment horizontal="left" vertical="center"/>
    </xf>
    <xf numFmtId="0" fontId="2" fillId="57" borderId="107" xfId="0" applyFont="1" applyFill="1" applyBorder="1" applyAlignment="1">
      <alignment horizontal="center" vertical="center"/>
    </xf>
    <xf numFmtId="0" fontId="2" fillId="56" borderId="107" xfId="0" applyFont="1" applyFill="1" applyBorder="1" applyAlignment="1">
      <alignment horizontal="left" vertical="center"/>
    </xf>
    <xf numFmtId="0" fontId="2" fillId="56" borderId="107" xfId="0" applyFont="1" applyFill="1" applyBorder="1" applyAlignment="1">
      <alignment horizontal="center" vertical="center"/>
    </xf>
    <xf numFmtId="0" fontId="2" fillId="58" borderId="107" xfId="0" applyFont="1" applyFill="1" applyBorder="1" applyAlignment="1">
      <alignment horizontal="left" vertical="center"/>
    </xf>
    <xf numFmtId="0" fontId="2" fillId="58" borderId="107" xfId="0" applyFont="1" applyFill="1" applyBorder="1" applyAlignment="1">
      <alignment horizontal="center" vertical="center"/>
    </xf>
    <xf numFmtId="0" fontId="33" fillId="57" borderId="107" xfId="0" applyFont="1" applyFill="1" applyBorder="1" applyAlignment="1">
      <alignment horizontal="center"/>
    </xf>
    <xf numFmtId="0" fontId="33" fillId="58" borderId="107" xfId="0" applyFont="1" applyFill="1" applyBorder="1" applyAlignment="1">
      <alignment horizontal="center" vertical="center"/>
    </xf>
    <xf numFmtId="0" fontId="33" fillId="40" borderId="99" xfId="0" applyFont="1" applyFill="1" applyBorder="1" applyAlignment="1">
      <alignment horizontal="center" vertical="center"/>
    </xf>
    <xf numFmtId="170" fontId="33" fillId="55" borderId="99" xfId="0" applyNumberFormat="1" applyFont="1" applyFill="1" applyBorder="1" applyAlignment="1">
      <alignment horizontal="center" vertical="center"/>
    </xf>
    <xf numFmtId="0" fontId="33" fillId="27" borderId="107" xfId="0" applyFont="1" applyFill="1" applyBorder="1"/>
    <xf numFmtId="0" fontId="33" fillId="27" borderId="107" xfId="0" applyFont="1" applyFill="1" applyBorder="1" applyAlignment="1">
      <alignment horizontal="center" vertical="center"/>
    </xf>
    <xf numFmtId="0" fontId="98" fillId="30" borderId="99" xfId="0" applyFont="1" applyFill="1" applyBorder="1" applyAlignment="1">
      <alignment horizontal="center" vertical="center"/>
    </xf>
    <xf numFmtId="0" fontId="99" fillId="30" borderId="98" xfId="0" applyFont="1" applyFill="1" applyBorder="1" applyAlignment="1">
      <alignment vertical="center"/>
    </xf>
    <xf numFmtId="0" fontId="100" fillId="55" borderId="98" xfId="0" applyFont="1" applyFill="1" applyBorder="1" applyAlignment="1">
      <alignment vertical="center"/>
    </xf>
    <xf numFmtId="0" fontId="76" fillId="55" borderId="69" xfId="0" applyFont="1" applyFill="1" applyBorder="1" applyAlignment="1">
      <alignment horizontal="center" vertical="center"/>
    </xf>
    <xf numFmtId="0" fontId="33" fillId="0" borderId="7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33" fillId="30" borderId="112" xfId="0" applyFont="1" applyFill="1" applyBorder="1" applyAlignment="1">
      <alignment horizontal="center" vertical="center"/>
    </xf>
    <xf numFmtId="0" fontId="0" fillId="0" borderId="97" xfId="0" applyBorder="1"/>
    <xf numFmtId="0" fontId="33" fillId="30" borderId="105" xfId="0" applyFont="1" applyFill="1" applyBorder="1" applyAlignment="1">
      <alignment horizontal="center" vertical="center"/>
    </xf>
    <xf numFmtId="0" fontId="35" fillId="0" borderId="0" xfId="64" applyBorder="1"/>
    <xf numFmtId="0" fontId="33" fillId="36" borderId="107" xfId="0" applyFont="1" applyFill="1" applyBorder="1" applyAlignment="1">
      <alignment horizontal="center" vertical="center"/>
    </xf>
    <xf numFmtId="0" fontId="38" fillId="36" borderId="107" xfId="0" applyFont="1" applyFill="1" applyBorder="1" applyAlignment="1">
      <alignment horizontal="center" vertical="center" wrapText="1"/>
    </xf>
    <xf numFmtId="1" fontId="33" fillId="54" borderId="107" xfId="0" applyNumberFormat="1" applyFont="1" applyFill="1" applyBorder="1" applyAlignment="1">
      <alignment vertical="center"/>
    </xf>
    <xf numFmtId="2" fontId="0" fillId="0" borderId="107" xfId="0" applyNumberForma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2" fillId="36" borderId="84" xfId="0" applyFont="1" applyFill="1" applyBorder="1" applyAlignment="1">
      <alignment vertical="center"/>
    </xf>
    <xf numFmtId="0" fontId="38" fillId="37" borderId="107" xfId="0" applyFont="1" applyFill="1" applyBorder="1" applyAlignment="1">
      <alignment vertical="center"/>
    </xf>
    <xf numFmtId="0" fontId="0" fillId="0" borderId="107" xfId="0" applyBorder="1"/>
    <xf numFmtId="0" fontId="2" fillId="0" borderId="0" xfId="0" applyFont="1" applyFill="1" applyBorder="1" applyAlignment="1">
      <alignment horizontal="center" vertical="center" wrapText="1"/>
    </xf>
    <xf numFmtId="0" fontId="0" fillId="0" borderId="107" xfId="0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0" fillId="35" borderId="19" xfId="0" applyFill="1" applyBorder="1" applyAlignment="1">
      <alignment horizontal="center" vertical="center"/>
    </xf>
    <xf numFmtId="0" fontId="0" fillId="29" borderId="45" xfId="0" applyFill="1" applyBorder="1" applyAlignment="1">
      <alignment vertical="center"/>
    </xf>
    <xf numFmtId="0" fontId="0" fillId="29" borderId="45" xfId="0" applyFill="1" applyBorder="1" applyAlignment="1"/>
    <xf numFmtId="0" fontId="0" fillId="29" borderId="20" xfId="0" applyFill="1" applyBorder="1" applyAlignment="1"/>
    <xf numFmtId="0" fontId="0" fillId="29" borderId="21" xfId="0" applyFill="1" applyBorder="1" applyAlignment="1"/>
    <xf numFmtId="0" fontId="33" fillId="0" borderId="108" xfId="0" applyFont="1" applyBorder="1" applyAlignment="1">
      <alignment horizontal="center" vertical="center"/>
    </xf>
    <xf numFmtId="0" fontId="0" fillId="35" borderId="109" xfId="0" applyFill="1" applyBorder="1" applyAlignment="1">
      <alignment horizontal="center" vertical="center"/>
    </xf>
    <xf numFmtId="0" fontId="33" fillId="0" borderId="110" xfId="0" applyFont="1" applyBorder="1" applyAlignment="1">
      <alignment horizontal="center" vertical="center"/>
    </xf>
    <xf numFmtId="0" fontId="33" fillId="0" borderId="111" xfId="0" applyFont="1" applyBorder="1" applyAlignment="1">
      <alignment horizontal="center" vertical="center"/>
    </xf>
    <xf numFmtId="0" fontId="33" fillId="42" borderId="19" xfId="0" applyFont="1" applyFill="1" applyBorder="1" applyAlignment="1">
      <alignment horizontal="center" vertical="center"/>
    </xf>
    <xf numFmtId="0" fontId="33" fillId="30" borderId="121" xfId="0" applyFont="1" applyFill="1" applyBorder="1" applyAlignment="1">
      <alignment horizontal="center" vertical="center"/>
    </xf>
    <xf numFmtId="168" fontId="0" fillId="27" borderId="107" xfId="0" applyNumberFormat="1" applyFill="1" applyBorder="1" applyAlignment="1">
      <alignment horizontal="center" vertical="center"/>
    </xf>
    <xf numFmtId="0" fontId="0" fillId="0" borderId="107" xfId="0" applyBorder="1" applyAlignment="1">
      <alignment horizontal="left" vertical="center"/>
    </xf>
    <xf numFmtId="0" fontId="0" fillId="0" borderId="0" xfId="0" applyAlignment="1">
      <alignment horizont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56" borderId="122" xfId="0" applyFont="1" applyFill="1" applyBorder="1" applyAlignment="1">
      <alignment horizontal="center" vertical="center"/>
    </xf>
    <xf numFmtId="0" fontId="33" fillId="56" borderId="39" xfId="0" applyFont="1" applyFill="1" applyBorder="1" applyAlignment="1">
      <alignment horizontal="center" vertical="center"/>
    </xf>
    <xf numFmtId="0" fontId="33" fillId="56" borderId="123" xfId="0" applyFont="1" applyFill="1" applyBorder="1" applyAlignment="1">
      <alignment horizontal="center" vertical="center"/>
    </xf>
    <xf numFmtId="0" fontId="33" fillId="53" borderId="104" xfId="0" applyFont="1" applyFill="1" applyBorder="1" applyAlignment="1">
      <alignment horizontal="center" vertical="center" wrapText="1"/>
    </xf>
    <xf numFmtId="0" fontId="33" fillId="53" borderId="113" xfId="0" applyFont="1" applyFill="1" applyBorder="1" applyAlignment="1">
      <alignment horizontal="center" vertical="center" wrapText="1"/>
    </xf>
    <xf numFmtId="0" fontId="33" fillId="53" borderId="114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/>
    </xf>
    <xf numFmtId="0" fontId="33" fillId="0" borderId="106" xfId="0" applyFont="1" applyBorder="1" applyAlignment="1">
      <alignment horizontal="center" vertical="center"/>
    </xf>
    <xf numFmtId="0" fontId="33" fillId="0" borderId="109" xfId="0" applyFont="1" applyBorder="1" applyAlignment="1">
      <alignment horizontal="center" vertical="center"/>
    </xf>
    <xf numFmtId="174" fontId="33" fillId="0" borderId="0" xfId="0" applyNumberFormat="1" applyFont="1" applyAlignment="1">
      <alignment horizontal="center" vertical="center"/>
    </xf>
    <xf numFmtId="0" fontId="33" fillId="0" borderId="84" xfId="0" applyFont="1" applyBorder="1" applyAlignment="1">
      <alignment vertical="center"/>
    </xf>
    <xf numFmtId="0" fontId="33" fillId="0" borderId="99" xfId="0" applyFont="1" applyBorder="1" applyAlignment="1">
      <alignment vertical="center"/>
    </xf>
    <xf numFmtId="2" fontId="33" fillId="0" borderId="13" xfId="0" applyNumberFormat="1" applyFont="1" applyBorder="1" applyAlignment="1">
      <alignment horizontal="center" vertical="center"/>
    </xf>
    <xf numFmtId="2" fontId="33" fillId="0" borderId="86" xfId="0" applyNumberFormat="1" applyFont="1" applyBorder="1" applyAlignment="1">
      <alignment horizontal="center" vertical="center"/>
    </xf>
    <xf numFmtId="2" fontId="33" fillId="0" borderId="85" xfId="0" applyNumberFormat="1" applyFont="1" applyBorder="1" applyAlignment="1">
      <alignment horizontal="center" vertical="center"/>
    </xf>
    <xf numFmtId="0" fontId="33" fillId="49" borderId="78" xfId="0" applyFont="1" applyFill="1" applyBorder="1" applyAlignment="1">
      <alignment horizontal="center" vertical="center"/>
    </xf>
    <xf numFmtId="0" fontId="2" fillId="0" borderId="107" xfId="2" applyFont="1" applyFill="1" applyBorder="1" applyAlignment="1">
      <alignment horizontal="center" vertical="center"/>
    </xf>
    <xf numFmtId="2" fontId="33" fillId="57" borderId="107" xfId="0" applyNumberFormat="1" applyFont="1" applyFill="1" applyBorder="1" applyAlignment="1">
      <alignment horizontal="center" vertical="center"/>
    </xf>
    <xf numFmtId="0" fontId="106" fillId="0" borderId="0" xfId="64" applyFont="1" applyAlignment="1">
      <alignment horizontal="center" vertical="center"/>
    </xf>
    <xf numFmtId="0" fontId="33" fillId="42" borderId="21" xfId="0" applyFont="1" applyFill="1" applyBorder="1" applyAlignment="1">
      <alignment horizontal="center" vertical="center"/>
    </xf>
    <xf numFmtId="0" fontId="33" fillId="42" borderId="111" xfId="0" applyFont="1" applyFill="1" applyBorder="1" applyAlignment="1">
      <alignment horizontal="center" vertical="center"/>
    </xf>
    <xf numFmtId="0" fontId="33" fillId="42" borderId="114" xfId="0" applyFont="1" applyFill="1" applyBorder="1" applyAlignment="1">
      <alignment horizontal="center" vertical="center"/>
    </xf>
    <xf numFmtId="0" fontId="2" fillId="0" borderId="107" xfId="0" applyFont="1" applyBorder="1"/>
    <xf numFmtId="0" fontId="2" fillId="0" borderId="107" xfId="0" applyFont="1" applyBorder="1" applyAlignment="1">
      <alignment horizontal="center" vertical="center"/>
    </xf>
    <xf numFmtId="0" fontId="2" fillId="0" borderId="107" xfId="0" applyFont="1" applyBorder="1" applyAlignment="1">
      <alignment horizontal="left" vertical="center"/>
    </xf>
    <xf numFmtId="0" fontId="33" fillId="36" borderId="76" xfId="0" applyFont="1" applyFill="1" applyBorder="1" applyAlignment="1">
      <alignment horizontal="left" vertical="center"/>
    </xf>
    <xf numFmtId="0" fontId="33" fillId="36" borderId="97" xfId="0" applyFont="1" applyFill="1" applyBorder="1" applyAlignment="1">
      <alignment horizontal="left" vertical="center"/>
    </xf>
    <xf numFmtId="0" fontId="33" fillId="36" borderId="97" xfId="0" applyFont="1" applyFill="1" applyBorder="1"/>
    <xf numFmtId="0" fontId="33" fillId="36" borderId="77" xfId="0" applyFont="1" applyFill="1" applyBorder="1"/>
    <xf numFmtId="0" fontId="33" fillId="0" borderId="102" xfId="0" applyFont="1" applyBorder="1" applyAlignment="1">
      <alignment horizontal="center" vertical="center"/>
    </xf>
    <xf numFmtId="0" fontId="33" fillId="30" borderId="97" xfId="0" applyFont="1" applyFill="1" applyBorder="1" applyAlignment="1">
      <alignment horizontal="left" vertical="center"/>
    </xf>
    <xf numFmtId="0" fontId="33" fillId="35" borderId="97" xfId="0" applyFont="1" applyFill="1" applyBorder="1" applyAlignment="1">
      <alignment horizontal="left" vertical="center"/>
    </xf>
    <xf numFmtId="0" fontId="33" fillId="35" borderId="77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6" fillId="0" borderId="0" xfId="0" applyFont="1" applyAlignment="1">
      <alignment horizontal="left" vertical="center"/>
    </xf>
    <xf numFmtId="0" fontId="89" fillId="0" borderId="0" xfId="64" applyFont="1" applyFill="1" applyBorder="1" applyAlignment="1">
      <alignment horizontal="center" vertical="center"/>
    </xf>
    <xf numFmtId="0" fontId="26" fillId="0" borderId="0" xfId="0" applyFont="1" applyBorder="1" applyAlignment="1">
      <alignment horizontal="left" vertical="top" wrapText="1"/>
    </xf>
    <xf numFmtId="0" fontId="33" fillId="38" borderId="76" xfId="0" applyFont="1" applyFill="1" applyBorder="1" applyAlignment="1">
      <alignment horizontal="left" vertical="center"/>
    </xf>
    <xf numFmtId="0" fontId="33" fillId="38" borderId="97" xfId="0" applyFont="1" applyFill="1" applyBorder="1" applyAlignment="1">
      <alignment horizontal="left" vertical="center"/>
    </xf>
    <xf numFmtId="168" fontId="33" fillId="0" borderId="107" xfId="0" applyNumberFormat="1" applyFont="1" applyFill="1" applyBorder="1" applyAlignment="1">
      <alignment horizontal="center" vertical="center"/>
    </xf>
    <xf numFmtId="167" fontId="26" fillId="26" borderId="79" xfId="61" applyNumberFormat="1" applyFont="1" applyFill="1" applyBorder="1" applyAlignment="1">
      <alignment horizontal="center" vertical="center" wrapText="1"/>
    </xf>
    <xf numFmtId="167" fontId="26" fillId="0" borderId="54" xfId="61" applyNumberFormat="1" applyFont="1" applyBorder="1" applyAlignment="1">
      <alignment horizontal="center" vertical="center" wrapText="1"/>
    </xf>
    <xf numFmtId="167" fontId="26" fillId="26" borderId="54" xfId="61" applyNumberFormat="1" applyFont="1" applyFill="1" applyBorder="1" applyAlignment="1">
      <alignment horizontal="center" vertical="center" wrapText="1"/>
    </xf>
    <xf numFmtId="167" fontId="26" fillId="26" borderId="54" xfId="61" applyNumberFormat="1" applyFont="1" applyFill="1" applyBorder="1" applyAlignment="1">
      <alignment horizontal="center" vertical="center"/>
    </xf>
    <xf numFmtId="0" fontId="65" fillId="0" borderId="90" xfId="0" applyFont="1" applyBorder="1" applyAlignment="1">
      <alignment horizontal="center"/>
    </xf>
    <xf numFmtId="0" fontId="33" fillId="35" borderId="76" xfId="0" applyFont="1" applyFill="1" applyBorder="1" applyAlignment="1">
      <alignment horizontal="center" vertical="center"/>
    </xf>
    <xf numFmtId="0" fontId="33" fillId="35" borderId="97" xfId="0" applyFont="1" applyFill="1" applyBorder="1" applyAlignment="1">
      <alignment horizontal="center" vertical="center"/>
    </xf>
    <xf numFmtId="0" fontId="2" fillId="35" borderId="97" xfId="2" applyFont="1" applyFill="1" applyBorder="1" applyAlignment="1">
      <alignment horizontal="center"/>
    </xf>
    <xf numFmtId="0" fontId="2" fillId="35" borderId="77" xfId="2" applyFont="1" applyFill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0" fontId="0" fillId="0" borderId="107" xfId="0" applyFill="1" applyBorder="1" applyAlignment="1">
      <alignment horizontal="center" vertical="center"/>
    </xf>
    <xf numFmtId="167" fontId="26" fillId="0" borderId="54" xfId="61" applyNumberFormat="1" applyFont="1" applyBorder="1" applyAlignment="1">
      <alignment horizontal="center" vertical="center"/>
    </xf>
    <xf numFmtId="0" fontId="26" fillId="0" borderId="90" xfId="0" applyFont="1" applyBorder="1" applyAlignment="1">
      <alignment horizontal="center"/>
    </xf>
    <xf numFmtId="0" fontId="26" fillId="29" borderId="90" xfId="0" applyFont="1" applyFill="1" applyBorder="1" applyAlignment="1">
      <alignment horizontal="center" vertical="center"/>
    </xf>
    <xf numFmtId="0" fontId="0" fillId="0" borderId="0" xfId="0" applyAlignment="1"/>
    <xf numFmtId="0" fontId="65" fillId="0" borderId="90" xfId="0" applyFont="1" applyBorder="1" applyAlignment="1">
      <alignment horizontal="left"/>
    </xf>
    <xf numFmtId="0" fontId="33" fillId="0" borderId="107" xfId="0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28" fillId="0" borderId="23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35" fillId="0" borderId="0" xfId="64"/>
    <xf numFmtId="1" fontId="0" fillId="26" borderId="107" xfId="0" applyNumberFormat="1" applyFill="1" applyBorder="1" applyAlignment="1">
      <alignment horizontal="center" wrapText="1"/>
    </xf>
    <xf numFmtId="1" fontId="0" fillId="0" borderId="107" xfId="0" applyNumberFormat="1" applyBorder="1" applyAlignment="1">
      <alignment horizontal="center" vertical="center" wrapText="1"/>
    </xf>
    <xf numFmtId="0" fontId="0" fillId="0" borderId="107" xfId="0" applyFill="1" applyBorder="1" applyAlignment="1">
      <alignment horizontal="center" vertical="center" wrapText="1"/>
    </xf>
    <xf numFmtId="0" fontId="0" fillId="0" borderId="107" xfId="0" applyBorder="1" applyAlignment="1">
      <alignment vertical="center" wrapText="1"/>
    </xf>
    <xf numFmtId="2" fontId="0" fillId="0" borderId="107" xfId="0" applyNumberFormat="1" applyBorder="1" applyAlignment="1">
      <alignment vertical="center" wrapText="1"/>
    </xf>
    <xf numFmtId="0" fontId="65" fillId="0" borderId="107" xfId="0" applyFont="1" applyBorder="1" applyAlignment="1">
      <alignment horizontal="left"/>
    </xf>
    <xf numFmtId="167" fontId="26" fillId="0" borderId="107" xfId="61" applyNumberFormat="1" applyFont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84" xfId="0" applyBorder="1" applyAlignment="1">
      <alignment horizontal="center"/>
    </xf>
    <xf numFmtId="167" fontId="0" fillId="26" borderId="84" xfId="0" applyNumberFormat="1" applyFill="1" applyBorder="1" applyAlignment="1"/>
    <xf numFmtId="169" fontId="31" fillId="0" borderId="108" xfId="63" applyNumberFormat="1" applyFont="1" applyBorder="1" applyAlignment="1">
      <alignment vertical="center"/>
    </xf>
    <xf numFmtId="9" fontId="0" fillId="0" borderId="107" xfId="62" applyFont="1" applyBorder="1" applyAlignment="1">
      <alignment horizontal="center"/>
    </xf>
    <xf numFmtId="9" fontId="0" fillId="0" borderId="84" xfId="0" applyNumberFormat="1" applyBorder="1"/>
    <xf numFmtId="164" fontId="0" fillId="0" borderId="108" xfId="63" applyFont="1" applyBorder="1" applyAlignment="1">
      <alignment vertical="center"/>
    </xf>
    <xf numFmtId="0" fontId="0" fillId="0" borderId="110" xfId="0" applyBorder="1" applyAlignment="1">
      <alignment horizontal="center"/>
    </xf>
    <xf numFmtId="169" fontId="0" fillId="0" borderId="57" xfId="0" applyNumberFormat="1" applyBorder="1"/>
    <xf numFmtId="169" fontId="0" fillId="0" borderId="111" xfId="63" applyNumberFormat="1" applyFont="1" applyBorder="1" applyAlignment="1">
      <alignment vertical="center"/>
    </xf>
    <xf numFmtId="0" fontId="0" fillId="0" borderId="0" xfId="0" applyBorder="1" applyAlignment="1">
      <alignment wrapText="1"/>
    </xf>
    <xf numFmtId="0" fontId="30" fillId="0" borderId="107" xfId="0" applyFont="1" applyFill="1" applyBorder="1" applyAlignment="1">
      <alignment horizontal="left" vertical="center" wrapText="1"/>
    </xf>
    <xf numFmtId="0" fontId="30" fillId="0" borderId="107" xfId="0" applyFont="1" applyFill="1" applyBorder="1" applyAlignment="1">
      <alignment horizontal="center" vertical="center"/>
    </xf>
    <xf numFmtId="0" fontId="30" fillId="0" borderId="110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/>
    </xf>
    <xf numFmtId="0" fontId="0" fillId="0" borderId="107" xfId="0" applyFill="1" applyBorder="1" applyAlignment="1">
      <alignment horizontal="center"/>
    </xf>
    <xf numFmtId="0" fontId="0" fillId="0" borderId="108" xfId="0" applyFill="1" applyBorder="1" applyAlignment="1">
      <alignment horizontal="center"/>
    </xf>
    <xf numFmtId="0" fontId="0" fillId="0" borderId="110" xfId="0" applyFill="1" applyBorder="1" applyAlignment="1">
      <alignment horizontal="center"/>
    </xf>
    <xf numFmtId="0" fontId="0" fillId="0" borderId="111" xfId="0" applyFill="1" applyBorder="1" applyAlignment="1">
      <alignment horizontal="center"/>
    </xf>
    <xf numFmtId="169" fontId="0" fillId="0" borderId="74" xfId="0" applyNumberFormat="1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68" xfId="0" applyBorder="1" applyAlignment="1">
      <alignment horizontal="center"/>
    </xf>
    <xf numFmtId="169" fontId="0" fillId="0" borderId="68" xfId="0" applyNumberFormat="1" applyBorder="1"/>
    <xf numFmtId="169" fontId="0" fillId="0" borderId="27" xfId="63" applyNumberFormat="1" applyFont="1" applyBorder="1" applyAlignment="1">
      <alignment vertical="center"/>
    </xf>
    <xf numFmtId="0" fontId="0" fillId="0" borderId="20" xfId="0" applyBorder="1"/>
    <xf numFmtId="167" fontId="0" fillId="26" borderId="107" xfId="61" applyNumberFormat="1" applyFont="1" applyFill="1" applyBorder="1" applyAlignment="1">
      <alignment horizontal="center" vertical="center"/>
    </xf>
    <xf numFmtId="9" fontId="0" fillId="0" borderId="110" xfId="62" applyFont="1" applyBorder="1" applyAlignment="1">
      <alignment horizontal="center"/>
    </xf>
    <xf numFmtId="169" fontId="0" fillId="0" borderId="110" xfId="63" applyNumberFormat="1" applyFont="1" applyBorder="1" applyAlignment="1">
      <alignment horizontal="center"/>
    </xf>
    <xf numFmtId="0" fontId="0" fillId="0" borderId="110" xfId="0" applyBorder="1"/>
    <xf numFmtId="0" fontId="33" fillId="38" borderId="88" xfId="0" applyFont="1" applyFill="1" applyBorder="1" applyAlignment="1">
      <alignment horizontal="left" vertical="center"/>
    </xf>
    <xf numFmtId="0" fontId="33" fillId="35" borderId="76" xfId="0" applyFont="1" applyFill="1" applyBorder="1" applyAlignment="1">
      <alignment horizontal="left" vertical="center"/>
    </xf>
    <xf numFmtId="0" fontId="33" fillId="40" borderId="1" xfId="0" applyFont="1" applyFill="1" applyBorder="1" applyAlignment="1">
      <alignment horizontal="center" vertical="center"/>
    </xf>
    <xf numFmtId="0" fontId="33" fillId="57" borderId="78" xfId="0" applyFont="1" applyFill="1" applyBorder="1" applyAlignment="1">
      <alignment horizontal="center" vertical="center"/>
    </xf>
    <xf numFmtId="14" fontId="33" fillId="0" borderId="0" xfId="0" applyNumberFormat="1" applyFont="1" applyAlignment="1">
      <alignment horizontal="center" vertical="center" wrapText="1"/>
    </xf>
    <xf numFmtId="175" fontId="33" fillId="0" borderId="0" xfId="0" applyNumberFormat="1" applyFont="1" applyAlignment="1">
      <alignment horizontal="center" vertical="center" wrapText="1"/>
    </xf>
    <xf numFmtId="0" fontId="33" fillId="0" borderId="107" xfId="0" applyFont="1" applyBorder="1" applyAlignment="1">
      <alignment horizontal="left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07" xfId="0" applyFont="1" applyBorder="1" applyAlignment="1">
      <alignment horizontal="center" vertical="center"/>
    </xf>
    <xf numFmtId="0" fontId="33" fillId="0" borderId="124" xfId="0" applyFont="1" applyBorder="1" applyAlignment="1">
      <alignment horizontal="left" vertical="center" indent="1"/>
    </xf>
    <xf numFmtId="0" fontId="78" fillId="0" borderId="124" xfId="0" applyNumberFormat="1" applyFont="1" applyFill="1" applyBorder="1" applyAlignment="1">
      <alignment horizontal="center" vertical="center" wrapText="1"/>
    </xf>
    <xf numFmtId="0" fontId="78" fillId="0" borderId="124" xfId="0" applyFont="1" applyFill="1" applyBorder="1" applyAlignment="1">
      <alignment horizontal="center" vertical="center"/>
    </xf>
    <xf numFmtId="0" fontId="33" fillId="0" borderId="124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 wrapText="1"/>
    </xf>
    <xf numFmtId="0" fontId="68" fillId="0" borderId="0" xfId="64" applyFont="1" applyFill="1" applyBorder="1" applyAlignment="1">
      <alignment vertical="top" wrapText="1"/>
    </xf>
    <xf numFmtId="0" fontId="38" fillId="0" borderId="124" xfId="0" applyFont="1" applyBorder="1" applyAlignment="1">
      <alignment horizontal="center" vertical="center" wrapText="1"/>
    </xf>
    <xf numFmtId="0" fontId="33" fillId="0" borderId="124" xfId="0" applyFont="1" applyBorder="1" applyAlignment="1">
      <alignment horizontal="center" vertical="center"/>
    </xf>
    <xf numFmtId="0" fontId="33" fillId="0" borderId="124" xfId="0" applyFont="1" applyBorder="1" applyAlignment="1">
      <alignment vertical="center"/>
    </xf>
    <xf numFmtId="0" fontId="33" fillId="0" borderId="124" xfId="0" applyFont="1" applyFill="1" applyBorder="1" applyAlignment="1">
      <alignment horizontal="center" vertical="center" wrapText="1"/>
    </xf>
    <xf numFmtId="0" fontId="38" fillId="0" borderId="124" xfId="0" applyFont="1" applyBorder="1" applyAlignment="1">
      <alignment horizontal="center" vertical="center"/>
    </xf>
    <xf numFmtId="0" fontId="38" fillId="0" borderId="124" xfId="0" applyFont="1" applyBorder="1" applyAlignment="1">
      <alignment horizontal="right" vertical="center" wrapText="1" indent="1"/>
    </xf>
    <xf numFmtId="0" fontId="33" fillId="0" borderId="124" xfId="0" applyFont="1" applyFill="1" applyBorder="1" applyAlignment="1">
      <alignment horizontal="left" vertical="center" indent="1"/>
    </xf>
    <xf numFmtId="1" fontId="33" fillId="0" borderId="124" xfId="0" applyNumberFormat="1" applyFont="1" applyFill="1" applyBorder="1" applyAlignment="1">
      <alignment horizontal="right" vertical="center" wrapText="1" indent="1"/>
    </xf>
    <xf numFmtId="9" fontId="33" fillId="0" borderId="124" xfId="62" applyFont="1" applyFill="1" applyBorder="1" applyAlignment="1">
      <alignment horizontal="right" vertical="center" wrapText="1" indent="1"/>
    </xf>
    <xf numFmtId="2" fontId="33" fillId="0" borderId="124" xfId="0" applyNumberFormat="1" applyFont="1" applyFill="1" applyBorder="1" applyAlignment="1">
      <alignment horizontal="right" vertical="center" wrapText="1" indent="1"/>
    </xf>
    <xf numFmtId="0" fontId="33" fillId="0" borderId="124" xfId="0" applyFont="1" applyBorder="1" applyAlignment="1">
      <alignment horizontal="left" vertical="center" wrapText="1" indent="1"/>
    </xf>
    <xf numFmtId="1" fontId="33" fillId="0" borderId="124" xfId="0" applyNumberFormat="1" applyFont="1" applyFill="1" applyBorder="1" applyAlignment="1">
      <alignment horizontal="center" vertical="center"/>
    </xf>
    <xf numFmtId="2" fontId="33" fillId="0" borderId="124" xfId="0" applyNumberFormat="1" applyFont="1" applyBorder="1" applyAlignment="1">
      <alignment horizontal="right" vertical="center" wrapText="1" indent="1"/>
    </xf>
    <xf numFmtId="0" fontId="33" fillId="0" borderId="124" xfId="0" applyFont="1" applyFill="1" applyBorder="1" applyAlignment="1">
      <alignment horizontal="left" vertical="center" wrapText="1" indent="1"/>
    </xf>
    <xf numFmtId="1" fontId="33" fillId="0" borderId="124" xfId="0" applyNumberFormat="1" applyFont="1" applyBorder="1" applyAlignment="1">
      <alignment horizontal="right" vertical="center" indent="1"/>
    </xf>
    <xf numFmtId="168" fontId="38" fillId="0" borderId="124" xfId="0" applyNumberFormat="1" applyFont="1" applyBorder="1" applyAlignment="1">
      <alignment horizontal="right" vertical="center" indent="1"/>
    </xf>
    <xf numFmtId="0" fontId="38" fillId="0" borderId="124" xfId="0" applyFont="1" applyBorder="1" applyAlignment="1">
      <alignment vertical="center"/>
    </xf>
    <xf numFmtId="2" fontId="38" fillId="0" borderId="124" xfId="0" applyNumberFormat="1" applyFont="1" applyBorder="1" applyAlignment="1">
      <alignment horizontal="right" vertical="center" indent="1"/>
    </xf>
    <xf numFmtId="0" fontId="46" fillId="0" borderId="124" xfId="0" applyFont="1" applyFill="1" applyBorder="1" applyAlignment="1">
      <alignment horizontal="right" vertical="center"/>
    </xf>
    <xf numFmtId="0" fontId="43" fillId="0" borderId="124" xfId="0" applyFont="1" applyFill="1" applyBorder="1" applyAlignment="1">
      <alignment horizontal="left" vertical="center"/>
    </xf>
    <xf numFmtId="0" fontId="43" fillId="0" borderId="124" xfId="0" applyFont="1" applyBorder="1" applyAlignment="1">
      <alignment horizontal="left" vertical="center"/>
    </xf>
    <xf numFmtId="0" fontId="74" fillId="0" borderId="124" xfId="2" applyFont="1" applyFill="1" applyBorder="1" applyAlignment="1">
      <alignment horizontal="right" vertical="center"/>
    </xf>
    <xf numFmtId="0" fontId="43" fillId="0" borderId="124" xfId="2" applyFont="1" applyFill="1" applyBorder="1" applyAlignment="1">
      <alignment horizontal="left" vertical="center"/>
    </xf>
    <xf numFmtId="0" fontId="46" fillId="0" borderId="124" xfId="0" applyFont="1" applyBorder="1" applyAlignment="1">
      <alignment horizontal="right" vertical="center"/>
    </xf>
    <xf numFmtId="0" fontId="43" fillId="0" borderId="125" xfId="0" applyFont="1" applyFill="1" applyBorder="1" applyAlignment="1">
      <alignment horizontal="left" vertical="center"/>
    </xf>
    <xf numFmtId="0" fontId="38" fillId="0" borderId="128" xfId="0" applyFont="1" applyBorder="1" applyAlignment="1">
      <alignment horizontal="center" vertical="center" wrapText="1"/>
    </xf>
    <xf numFmtId="0" fontId="39" fillId="0" borderId="128" xfId="0" applyFont="1" applyBorder="1" applyAlignment="1">
      <alignment horizontal="center" vertical="center" wrapText="1"/>
    </xf>
    <xf numFmtId="0" fontId="48" fillId="0" borderId="124" xfId="64" applyFont="1" applyFill="1" applyBorder="1" applyAlignment="1">
      <alignment horizontal="center" vertical="center"/>
    </xf>
    <xf numFmtId="0" fontId="51" fillId="0" borderId="124" xfId="0" applyFont="1" applyFill="1" applyBorder="1" applyAlignment="1">
      <alignment horizontal="center" vertical="center"/>
    </xf>
    <xf numFmtId="168" fontId="39" fillId="0" borderId="124" xfId="61" applyNumberFormat="1" applyFont="1" applyFill="1" applyBorder="1" applyAlignment="1">
      <alignment horizontal="right" vertical="center" indent="1"/>
    </xf>
    <xf numFmtId="2" fontId="33" fillId="0" borderId="124" xfId="0" applyNumberFormat="1" applyFont="1" applyBorder="1" applyAlignment="1">
      <alignment horizontal="right" vertical="center" indent="1"/>
    </xf>
    <xf numFmtId="1" fontId="39" fillId="0" borderId="124" xfId="61" applyNumberFormat="1" applyFont="1" applyFill="1" applyBorder="1" applyAlignment="1">
      <alignment horizontal="right" vertical="center" indent="1"/>
    </xf>
    <xf numFmtId="0" fontId="47" fillId="0" borderId="124" xfId="0" applyFont="1" applyBorder="1" applyAlignment="1">
      <alignment horizontal="center" vertical="center"/>
    </xf>
    <xf numFmtId="174" fontId="51" fillId="0" borderId="124" xfId="0" applyNumberFormat="1" applyFont="1" applyFill="1" applyBorder="1" applyAlignment="1">
      <alignment horizontal="center" vertical="center"/>
    </xf>
    <xf numFmtId="2" fontId="39" fillId="0" borderId="124" xfId="61" applyNumberFormat="1" applyFont="1" applyFill="1" applyBorder="1" applyAlignment="1">
      <alignment horizontal="right" vertical="center" indent="1"/>
    </xf>
    <xf numFmtId="168" fontId="39" fillId="0" borderId="124" xfId="61" applyNumberFormat="1" applyFont="1" applyFill="1" applyBorder="1" applyAlignment="1">
      <alignment horizontal="right" vertical="center"/>
    </xf>
    <xf numFmtId="1" fontId="39" fillId="0" borderId="124" xfId="61" applyNumberFormat="1" applyFont="1" applyFill="1" applyBorder="1" applyAlignment="1">
      <alignment horizontal="right" vertical="center"/>
    </xf>
    <xf numFmtId="168" fontId="38" fillId="0" borderId="124" xfId="0" applyNumberFormat="1" applyFont="1" applyBorder="1" applyAlignment="1">
      <alignment horizontal="right" vertical="center"/>
    </xf>
    <xf numFmtId="0" fontId="33" fillId="0" borderId="124" xfId="1" applyFont="1" applyBorder="1" applyAlignment="1" applyProtection="1">
      <alignment horizontal="center" vertical="center"/>
      <protection locked="0"/>
    </xf>
    <xf numFmtId="0" fontId="48" fillId="0" borderId="153" xfId="64" applyFont="1" applyFill="1" applyBorder="1" applyAlignment="1">
      <alignment horizontal="center" vertical="center"/>
    </xf>
    <xf numFmtId="167" fontId="33" fillId="0" borderId="153" xfId="61" applyNumberFormat="1" applyFont="1" applyBorder="1" applyAlignment="1">
      <alignment horizontal="right" vertical="center"/>
    </xf>
    <xf numFmtId="0" fontId="33" fillId="0" borderId="153" xfId="0" applyFont="1" applyBorder="1" applyAlignment="1">
      <alignment horizontal="center" vertical="center"/>
    </xf>
    <xf numFmtId="165" fontId="33" fillId="0" borderId="153" xfId="61" applyNumberFormat="1" applyFont="1" applyBorder="1" applyAlignment="1">
      <alignment horizontal="right" vertical="center"/>
    </xf>
    <xf numFmtId="2" fontId="38" fillId="0" borderId="153" xfId="0" applyNumberFormat="1" applyFont="1" applyBorder="1" applyAlignment="1">
      <alignment horizontal="right" vertical="center" indent="1"/>
    </xf>
    <xf numFmtId="0" fontId="38" fillId="0" borderId="151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indent="1"/>
    </xf>
    <xf numFmtId="0" fontId="51" fillId="0" borderId="127" xfId="0" applyFont="1" applyFill="1" applyBorder="1" applyAlignment="1">
      <alignment vertical="center"/>
    </xf>
    <xf numFmtId="0" fontId="51" fillId="0" borderId="154" xfId="0" applyFont="1" applyFill="1" applyBorder="1" applyAlignment="1">
      <alignment vertical="center"/>
    </xf>
    <xf numFmtId="0" fontId="51" fillId="0" borderId="125" xfId="0" applyFont="1" applyFill="1" applyBorder="1" applyAlignment="1">
      <alignment vertical="center"/>
    </xf>
    <xf numFmtId="0" fontId="51" fillId="0" borderId="155" xfId="0" applyFont="1" applyFill="1" applyBorder="1" applyAlignment="1">
      <alignment vertical="center"/>
    </xf>
    <xf numFmtId="0" fontId="51" fillId="0" borderId="156" xfId="0" applyFont="1" applyFill="1" applyBorder="1" applyAlignment="1">
      <alignment vertical="center"/>
    </xf>
    <xf numFmtId="0" fontId="51" fillId="0" borderId="157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1" fontId="51" fillId="0" borderId="0" xfId="61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right" vertical="center"/>
    </xf>
    <xf numFmtId="0" fontId="51" fillId="0" borderId="158" xfId="0" applyFont="1" applyFill="1" applyBorder="1" applyAlignment="1">
      <alignment vertical="center"/>
    </xf>
    <xf numFmtId="0" fontId="51" fillId="0" borderId="159" xfId="0" applyFont="1" applyFill="1" applyBorder="1" applyAlignment="1">
      <alignment vertical="center"/>
    </xf>
    <xf numFmtId="0" fontId="51" fillId="0" borderId="160" xfId="0" applyFont="1" applyFill="1" applyBorder="1" applyAlignment="1">
      <alignment vertical="center"/>
    </xf>
    <xf numFmtId="1" fontId="51" fillId="0" borderId="154" xfId="61" applyNumberFormat="1" applyFont="1" applyFill="1" applyBorder="1" applyAlignment="1">
      <alignment horizontal="center" vertical="center"/>
    </xf>
    <xf numFmtId="0" fontId="33" fillId="0" borderId="127" xfId="0" applyFont="1" applyBorder="1" applyAlignment="1">
      <alignment horizontal="center" vertical="center"/>
    </xf>
    <xf numFmtId="0" fontId="33" fillId="0" borderId="154" xfId="0" applyFont="1" applyBorder="1" applyAlignment="1">
      <alignment horizontal="center" vertical="center"/>
    </xf>
    <xf numFmtId="0" fontId="33" fillId="0" borderId="125" xfId="0" applyFont="1" applyBorder="1" applyAlignment="1">
      <alignment horizontal="center" vertical="center"/>
    </xf>
    <xf numFmtId="0" fontId="33" fillId="0" borderId="154" xfId="0" applyFont="1" applyBorder="1" applyAlignment="1">
      <alignment vertical="center"/>
    </xf>
    <xf numFmtId="0" fontId="33" fillId="0" borderId="154" xfId="0" applyFont="1" applyBorder="1" applyAlignment="1">
      <alignment horizontal="right" vertical="center"/>
    </xf>
    <xf numFmtId="0" fontId="33" fillId="0" borderId="161" xfId="0" applyFont="1" applyBorder="1" applyAlignment="1">
      <alignment horizontal="center" vertical="center"/>
    </xf>
    <xf numFmtId="0" fontId="33" fillId="0" borderId="126" xfId="0" applyFont="1" applyBorder="1" applyAlignment="1">
      <alignment horizontal="center" vertical="center"/>
    </xf>
    <xf numFmtId="0" fontId="94" fillId="0" borderId="155" xfId="64" applyFont="1" applyBorder="1" applyAlignment="1">
      <alignment horizontal="center" vertical="center"/>
    </xf>
    <xf numFmtId="0" fontId="33" fillId="0" borderId="124" xfId="0" applyFont="1" applyBorder="1" applyAlignment="1">
      <alignment horizontal="left" vertical="center"/>
    </xf>
    <xf numFmtId="0" fontId="33" fillId="0" borderId="155" xfId="0" applyFont="1" applyBorder="1" applyAlignment="1">
      <alignment horizontal="left" vertical="center"/>
    </xf>
    <xf numFmtId="0" fontId="33" fillId="0" borderId="156" xfId="0" applyFont="1" applyBorder="1" applyAlignment="1">
      <alignment horizontal="center" vertical="center"/>
    </xf>
    <xf numFmtId="0" fontId="33" fillId="0" borderId="157" xfId="0" applyFont="1" applyBorder="1" applyAlignment="1">
      <alignment horizontal="center" vertical="center"/>
    </xf>
    <xf numFmtId="0" fontId="33" fillId="0" borderId="155" xfId="0" applyFont="1" applyBorder="1" applyAlignment="1">
      <alignment horizontal="center" vertical="center"/>
    </xf>
    <xf numFmtId="0" fontId="42" fillId="0" borderId="155" xfId="0" applyFont="1" applyBorder="1" applyAlignment="1">
      <alignment horizontal="left" vertical="center" indent="1"/>
    </xf>
    <xf numFmtId="0" fontId="48" fillId="0" borderId="157" xfId="64" applyFont="1" applyBorder="1" applyAlignment="1">
      <alignment horizontal="center" vertical="center"/>
    </xf>
    <xf numFmtId="0" fontId="51" fillId="0" borderId="0" xfId="1" applyFont="1" applyFill="1" applyBorder="1" applyAlignment="1">
      <alignment vertical="center"/>
    </xf>
    <xf numFmtId="0" fontId="51" fillId="0" borderId="0" xfId="1" applyFont="1" applyFill="1" applyBorder="1" applyAlignment="1">
      <alignment horizontal="right" vertical="center"/>
    </xf>
    <xf numFmtId="0" fontId="51" fillId="0" borderId="154" xfId="1" applyFont="1" applyFill="1" applyBorder="1" applyAlignment="1">
      <alignment horizontal="right" vertical="center"/>
    </xf>
    <xf numFmtId="0" fontId="0" fillId="0" borderId="154" xfId="0" applyBorder="1"/>
    <xf numFmtId="0" fontId="82" fillId="0" borderId="0" xfId="1" applyFont="1" applyFill="1" applyBorder="1" applyAlignment="1" applyProtection="1">
      <alignment vertical="center"/>
      <protection locked="0"/>
    </xf>
    <xf numFmtId="0" fontId="38" fillId="0" borderId="0" xfId="0" applyFont="1" applyBorder="1" applyAlignment="1">
      <alignment horizontal="left" vertical="center" indent="6"/>
    </xf>
    <xf numFmtId="1" fontId="38" fillId="0" borderId="124" xfId="0" applyNumberFormat="1" applyFont="1" applyFill="1" applyBorder="1" applyAlignment="1">
      <alignment horizontal="right" vertical="center" indent="1"/>
    </xf>
    <xf numFmtId="2" fontId="33" fillId="0" borderId="124" xfId="0" applyNumberFormat="1" applyFont="1" applyFill="1" applyBorder="1" applyAlignment="1">
      <alignment horizontal="right" vertical="center" indent="1"/>
    </xf>
    <xf numFmtId="1" fontId="38" fillId="0" borderId="124" xfId="0" applyNumberFormat="1" applyFont="1" applyBorder="1" applyAlignment="1">
      <alignment horizontal="right" vertical="center" indent="1"/>
    </xf>
    <xf numFmtId="0" fontId="38" fillId="0" borderId="0" xfId="0" applyFont="1" applyBorder="1" applyAlignment="1">
      <alignment horizontal="right" vertical="center" indent="1"/>
    </xf>
    <xf numFmtId="0" fontId="51" fillId="0" borderId="127" xfId="1" applyFont="1" applyFill="1" applyBorder="1" applyAlignment="1">
      <alignment vertical="center"/>
    </xf>
    <xf numFmtId="0" fontId="51" fillId="0" borderId="154" xfId="1" applyFont="1" applyFill="1" applyBorder="1" applyAlignment="1">
      <alignment vertical="center"/>
    </xf>
    <xf numFmtId="0" fontId="51" fillId="0" borderId="154" xfId="1" applyFont="1" applyFill="1" applyBorder="1" applyAlignment="1">
      <alignment horizontal="center" vertical="center"/>
    </xf>
    <xf numFmtId="0" fontId="51" fillId="0" borderId="154" xfId="1" applyFont="1" applyFill="1" applyBorder="1" applyAlignment="1">
      <alignment vertical="center" wrapText="1"/>
    </xf>
    <xf numFmtId="0" fontId="47" fillId="0" borderId="125" xfId="0" applyFont="1" applyFill="1" applyBorder="1" applyAlignment="1">
      <alignment horizontal="center" vertical="center"/>
    </xf>
    <xf numFmtId="0" fontId="51" fillId="0" borderId="0" xfId="1" applyFont="1" applyFill="1" applyBorder="1" applyAlignment="1">
      <alignment horizontal="center" vertical="center"/>
    </xf>
    <xf numFmtId="0" fontId="51" fillId="0" borderId="0" xfId="1" applyFont="1" applyFill="1" applyBorder="1" applyAlignment="1">
      <alignment vertical="center" wrapText="1"/>
    </xf>
    <xf numFmtId="0" fontId="51" fillId="0" borderId="0" xfId="1" applyFont="1" applyFill="1" applyBorder="1" applyAlignment="1">
      <alignment horizontal="left" vertical="center"/>
    </xf>
    <xf numFmtId="0" fontId="51" fillId="0" borderId="127" xfId="1" applyFont="1" applyFill="1" applyBorder="1" applyAlignment="1">
      <alignment horizontal="left" vertical="center"/>
    </xf>
    <xf numFmtId="0" fontId="33" fillId="0" borderId="158" xfId="0" applyFont="1" applyBorder="1" applyAlignment="1">
      <alignment horizontal="center" vertical="center"/>
    </xf>
    <xf numFmtId="0" fontId="42" fillId="0" borderId="128" xfId="0" applyFont="1" applyFill="1" applyBorder="1" applyAlignment="1">
      <alignment horizontal="center" vertical="center" wrapText="1"/>
    </xf>
    <xf numFmtId="1" fontId="33" fillId="0" borderId="124" xfId="0" applyNumberFormat="1" applyFont="1" applyBorder="1" applyAlignment="1">
      <alignment horizontal="center" vertical="center"/>
    </xf>
    <xf numFmtId="0" fontId="33" fillId="0" borderId="153" xfId="0" applyFont="1" applyFill="1" applyBorder="1" applyAlignment="1">
      <alignment horizontal="center" vertical="center"/>
    </xf>
    <xf numFmtId="1" fontId="33" fillId="0" borderId="153" xfId="0" applyNumberFormat="1" applyFont="1" applyFill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 wrapText="1"/>
    </xf>
    <xf numFmtId="2" fontId="38" fillId="61" borderId="153" xfId="0" applyNumberFormat="1" applyFont="1" applyFill="1" applyBorder="1" applyAlignment="1">
      <alignment horizontal="right" vertical="center" indent="1"/>
    </xf>
    <xf numFmtId="0" fontId="51" fillId="0" borderId="126" xfId="0" applyFont="1" applyFill="1" applyBorder="1" applyAlignment="1">
      <alignment horizontal="center" vertical="center"/>
    </xf>
    <xf numFmtId="168" fontId="39" fillId="0" borderId="126" xfId="61" applyNumberFormat="1" applyFont="1" applyFill="1" applyBorder="1" applyAlignment="1">
      <alignment horizontal="right" vertical="center" indent="1"/>
    </xf>
    <xf numFmtId="0" fontId="33" fillId="0" borderId="126" xfId="0" applyFont="1" applyFill="1" applyBorder="1" applyAlignment="1">
      <alignment horizontal="center" vertical="center"/>
    </xf>
    <xf numFmtId="2" fontId="33" fillId="0" borderId="126" xfId="0" applyNumberFormat="1" applyFont="1" applyBorder="1" applyAlignment="1">
      <alignment horizontal="right" vertical="center" indent="1"/>
    </xf>
    <xf numFmtId="2" fontId="38" fillId="61" borderId="166" xfId="0" applyNumberFormat="1" applyFont="1" applyFill="1" applyBorder="1" applyAlignment="1">
      <alignment horizontal="right" vertical="center" indent="1"/>
    </xf>
    <xf numFmtId="0" fontId="33" fillId="24" borderId="124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 vertical="center"/>
    </xf>
    <xf numFmtId="0" fontId="51" fillId="0" borderId="127" xfId="0" applyFont="1" applyFill="1" applyBorder="1" applyAlignment="1">
      <alignment horizontal="left" vertical="center"/>
    </xf>
    <xf numFmtId="0" fontId="51" fillId="0" borderId="153" xfId="0" applyFont="1" applyFill="1" applyBorder="1" applyAlignment="1">
      <alignment horizontal="center" vertical="center"/>
    </xf>
    <xf numFmtId="1" fontId="39" fillId="0" borderId="153" xfId="61" applyNumberFormat="1" applyFont="1" applyFill="1" applyBorder="1" applyAlignment="1">
      <alignment horizontal="right" vertical="center" indent="1"/>
    </xf>
    <xf numFmtId="2" fontId="33" fillId="0" borderId="153" xfId="0" applyNumberFormat="1" applyFont="1" applyBorder="1" applyAlignment="1">
      <alignment horizontal="right" vertical="center" indent="1"/>
    </xf>
    <xf numFmtId="0" fontId="33" fillId="61" borderId="127" xfId="0" applyFont="1" applyFill="1" applyBorder="1" applyAlignment="1">
      <alignment horizontal="center" vertical="center"/>
    </xf>
    <xf numFmtId="2" fontId="33" fillId="0" borderId="127" xfId="0" applyNumberFormat="1" applyFont="1" applyBorder="1" applyAlignment="1">
      <alignment horizontal="right" vertical="center" indent="1"/>
    </xf>
    <xf numFmtId="2" fontId="33" fillId="27" borderId="124" xfId="0" applyNumberFormat="1" applyFont="1" applyFill="1" applyBorder="1" applyAlignment="1">
      <alignment horizontal="right" vertical="center" indent="1"/>
    </xf>
    <xf numFmtId="0" fontId="51" fillId="27" borderId="124" xfId="0" applyFont="1" applyFill="1" applyBorder="1" applyAlignment="1">
      <alignment horizontal="center" vertical="center"/>
    </xf>
    <xf numFmtId="168" fontId="39" fillId="27" borderId="124" xfId="61" applyNumberFormat="1" applyFont="1" applyFill="1" applyBorder="1" applyAlignment="1">
      <alignment horizontal="right" vertical="center" indent="1"/>
    </xf>
    <xf numFmtId="0" fontId="33" fillId="27" borderId="124" xfId="0" applyFont="1" applyFill="1" applyBorder="1" applyAlignment="1">
      <alignment horizontal="center" vertical="center"/>
    </xf>
    <xf numFmtId="0" fontId="51" fillId="27" borderId="154" xfId="0" applyFont="1" applyFill="1" applyBorder="1" applyAlignment="1">
      <alignment vertical="center"/>
    </xf>
    <xf numFmtId="0" fontId="51" fillId="27" borderId="127" xfId="0" applyFont="1" applyFill="1" applyBorder="1" applyAlignment="1">
      <alignment vertical="center"/>
    </xf>
    <xf numFmtId="0" fontId="51" fillId="27" borderId="154" xfId="1" applyFont="1" applyFill="1" applyBorder="1" applyAlignment="1">
      <alignment horizontal="right" vertical="center"/>
    </xf>
    <xf numFmtId="0" fontId="51" fillId="27" borderId="125" xfId="0" applyFont="1" applyFill="1" applyBorder="1" applyAlignment="1">
      <alignment vertical="center"/>
    </xf>
    <xf numFmtId="0" fontId="49" fillId="60" borderId="124" xfId="0" applyFont="1" applyFill="1" applyBorder="1" applyAlignment="1">
      <alignment horizontal="center" vertical="center" wrapText="1"/>
    </xf>
    <xf numFmtId="0" fontId="49" fillId="60" borderId="126" xfId="0" applyFont="1" applyFill="1" applyBorder="1" applyAlignment="1">
      <alignment horizontal="center" vertical="center" wrapText="1"/>
    </xf>
    <xf numFmtId="2" fontId="33" fillId="0" borderId="124" xfId="0" applyNumberFormat="1" applyFont="1" applyBorder="1" applyAlignment="1">
      <alignment horizontal="center" vertical="center"/>
    </xf>
    <xf numFmtId="0" fontId="47" fillId="60" borderId="124" xfId="0" applyFont="1" applyFill="1" applyBorder="1" applyAlignment="1">
      <alignment horizontal="center"/>
    </xf>
    <xf numFmtId="0" fontId="101" fillId="0" borderId="124" xfId="0" applyFont="1" applyBorder="1" applyAlignment="1">
      <alignment horizontal="left" vertical="center"/>
    </xf>
    <xf numFmtId="0" fontId="102" fillId="0" borderId="124" xfId="0" applyFont="1" applyBorder="1" applyAlignment="1">
      <alignment horizontal="left" vertical="center"/>
    </xf>
    <xf numFmtId="0" fontId="26" fillId="0" borderId="99" xfId="0" applyFont="1" applyBorder="1"/>
    <xf numFmtId="0" fontId="26" fillId="0" borderId="107" xfId="0" applyFont="1" applyBorder="1" applyAlignment="1">
      <alignment horizontal="right"/>
    </xf>
    <xf numFmtId="168" fontId="39" fillId="0" borderId="124" xfId="61" applyNumberFormat="1" applyFont="1" applyFill="1" applyBorder="1" applyAlignment="1">
      <alignment horizontal="right" vertical="center" indent="2"/>
    </xf>
    <xf numFmtId="0" fontId="51" fillId="0" borderId="181" xfId="0" applyFont="1" applyFill="1" applyBorder="1" applyAlignment="1">
      <alignment vertical="center"/>
    </xf>
    <xf numFmtId="174" fontId="39" fillId="0" borderId="124" xfId="61" applyNumberFormat="1" applyFont="1" applyFill="1" applyBorder="1" applyAlignment="1">
      <alignment horizontal="right" vertical="center" indent="1"/>
    </xf>
    <xf numFmtId="0" fontId="33" fillId="38" borderId="124" xfId="0" applyFont="1" applyFill="1" applyBorder="1" applyAlignment="1">
      <alignment horizontal="center" vertical="center"/>
    </xf>
    <xf numFmtId="0" fontId="33" fillId="38" borderId="127" xfId="0" applyFont="1" applyFill="1" applyBorder="1" applyAlignment="1">
      <alignment horizontal="center" vertical="center"/>
    </xf>
    <xf numFmtId="0" fontId="51" fillId="38" borderId="127" xfId="0" applyFont="1" applyFill="1" applyBorder="1" applyAlignment="1">
      <alignment vertical="center"/>
    </xf>
    <xf numFmtId="0" fontId="51" fillId="38" borderId="154" xfId="0" applyFont="1" applyFill="1" applyBorder="1" applyAlignment="1">
      <alignment vertical="center"/>
    </xf>
    <xf numFmtId="0" fontId="51" fillId="38" borderId="125" xfId="0" applyFont="1" applyFill="1" applyBorder="1" applyAlignment="1">
      <alignment vertical="center"/>
    </xf>
    <xf numFmtId="0" fontId="51" fillId="38" borderId="124" xfId="0" applyFont="1" applyFill="1" applyBorder="1" applyAlignment="1">
      <alignment horizontal="center" vertical="center"/>
    </xf>
    <xf numFmtId="168" fontId="39" fillId="38" borderId="124" xfId="61" applyNumberFormat="1" applyFont="1" applyFill="1" applyBorder="1" applyAlignment="1">
      <alignment horizontal="right" vertical="center" indent="1"/>
    </xf>
    <xf numFmtId="0" fontId="33" fillId="0" borderId="0" xfId="0" applyFont="1" applyFill="1" applyBorder="1" applyAlignment="1">
      <alignment vertical="center"/>
    </xf>
    <xf numFmtId="168" fontId="39" fillId="0" borderId="153" xfId="61" applyNumberFormat="1" applyFont="1" applyFill="1" applyBorder="1" applyAlignment="1">
      <alignment horizontal="right" vertical="center" indent="1"/>
    </xf>
    <xf numFmtId="0" fontId="39" fillId="0" borderId="154" xfId="0" applyFont="1" applyFill="1" applyBorder="1" applyAlignment="1">
      <alignment horizontal="center" vertical="center"/>
    </xf>
    <xf numFmtId="1" fontId="51" fillId="0" borderId="156" xfId="61" applyNumberFormat="1" applyFont="1" applyFill="1" applyBorder="1" applyAlignment="1">
      <alignment horizontal="center" vertical="center"/>
    </xf>
    <xf numFmtId="2" fontId="39" fillId="38" borderId="124" xfId="61" applyNumberFormat="1" applyFont="1" applyFill="1" applyBorder="1" applyAlignment="1">
      <alignment horizontal="right" vertical="center" indent="1"/>
    </xf>
    <xf numFmtId="0" fontId="38" fillId="47" borderId="74" xfId="0" applyFont="1" applyFill="1" applyBorder="1" applyAlignment="1">
      <alignment horizontal="center" vertical="center"/>
    </xf>
    <xf numFmtId="0" fontId="51" fillId="0" borderId="155" xfId="1" applyFont="1" applyFill="1" applyBorder="1" applyAlignment="1">
      <alignment vertical="center"/>
    </xf>
    <xf numFmtId="0" fontId="33" fillId="0" borderId="107" xfId="0" applyFont="1" applyBorder="1" applyAlignment="1">
      <alignment horizontal="left" vertical="center"/>
    </xf>
    <xf numFmtId="49" fontId="33" fillId="0" borderId="167" xfId="1" applyNumberFormat="1" applyFont="1" applyFill="1" applyBorder="1" applyAlignment="1" applyProtection="1">
      <alignment horizontal="center" vertical="center" wrapText="1"/>
    </xf>
    <xf numFmtId="0" fontId="53" fillId="26" borderId="129" xfId="1" applyFont="1" applyFill="1" applyBorder="1" applyAlignment="1" applyProtection="1">
      <alignment horizontal="left" vertical="center" indent="1"/>
    </xf>
    <xf numFmtId="0" fontId="33" fillId="26" borderId="130" xfId="1" applyFont="1" applyFill="1" applyBorder="1" applyAlignment="1" applyProtection="1">
      <alignment horizontal="center" vertical="center"/>
    </xf>
    <xf numFmtId="0" fontId="48" fillId="26" borderId="178" xfId="64" applyFont="1" applyFill="1" applyBorder="1" applyAlignment="1" applyProtection="1">
      <alignment horizontal="center" vertical="center"/>
    </xf>
    <xf numFmtId="168" fontId="49" fillId="26" borderId="178" xfId="1" applyNumberFormat="1" applyFont="1" applyFill="1" applyBorder="1" applyAlignment="1" applyProtection="1">
      <alignment horizontal="right" vertical="center" indent="1"/>
    </xf>
    <xf numFmtId="0" fontId="81" fillId="0" borderId="171" xfId="1" applyFont="1" applyFill="1" applyBorder="1" applyAlignment="1" applyProtection="1">
      <alignment vertical="center"/>
    </xf>
    <xf numFmtId="0" fontId="51" fillId="0" borderId="154" xfId="1" applyFont="1" applyFill="1" applyBorder="1" applyAlignment="1" applyProtection="1">
      <alignment vertical="center"/>
    </xf>
    <xf numFmtId="0" fontId="33" fillId="0" borderId="124" xfId="1" applyFont="1" applyFill="1" applyBorder="1" applyAlignment="1" applyProtection="1">
      <alignment horizontal="center" vertical="center"/>
    </xf>
    <xf numFmtId="168" fontId="38" fillId="0" borderId="124" xfId="1" applyNumberFormat="1" applyFont="1" applyFill="1" applyBorder="1" applyAlignment="1" applyProtection="1">
      <alignment horizontal="right" vertical="center" indent="1"/>
    </xf>
    <xf numFmtId="168" fontId="38" fillId="0" borderId="124" xfId="1" applyNumberFormat="1" applyFont="1" applyBorder="1" applyAlignment="1" applyProtection="1">
      <alignment horizontal="right" vertical="center" indent="1"/>
    </xf>
    <xf numFmtId="0" fontId="33" fillId="0" borderId="153" xfId="1" applyFont="1" applyFill="1" applyBorder="1" applyAlignment="1" applyProtection="1">
      <alignment horizontal="center" vertical="center"/>
    </xf>
    <xf numFmtId="1" fontId="38" fillId="0" borderId="153" xfId="1" applyNumberFormat="1" applyFont="1" applyBorder="1" applyAlignment="1" applyProtection="1">
      <alignment horizontal="right" vertical="center" indent="1"/>
    </xf>
    <xf numFmtId="0" fontId="33" fillId="0" borderId="124" xfId="1" applyFont="1" applyBorder="1" applyAlignment="1" applyProtection="1">
      <alignment horizontal="center" vertical="center"/>
    </xf>
    <xf numFmtId="49" fontId="33" fillId="0" borderId="169" xfId="1" applyNumberFormat="1" applyFont="1" applyFill="1" applyBorder="1" applyAlignment="1" applyProtection="1">
      <alignment horizontal="center" vertical="center" wrapText="1"/>
    </xf>
    <xf numFmtId="0" fontId="81" fillId="0" borderId="173" xfId="1" applyFont="1" applyFill="1" applyBorder="1" applyAlignment="1" applyProtection="1">
      <alignment vertical="center"/>
    </xf>
    <xf numFmtId="0" fontId="51" fillId="0" borderId="174" xfId="1" applyFont="1" applyFill="1" applyBorder="1" applyAlignment="1" applyProtection="1">
      <alignment vertical="center"/>
    </xf>
    <xf numFmtId="0" fontId="33" fillId="0" borderId="177" xfId="1" applyFont="1" applyBorder="1" applyAlignment="1" applyProtection="1">
      <alignment horizontal="center" vertical="center"/>
    </xf>
    <xf numFmtId="168" fontId="38" fillId="0" borderId="177" xfId="1" applyNumberFormat="1" applyFont="1" applyBorder="1" applyAlignment="1" applyProtection="1">
      <alignment horizontal="right" vertical="center" indent="1"/>
    </xf>
    <xf numFmtId="49" fontId="33" fillId="0" borderId="170" xfId="1" applyNumberFormat="1" applyFont="1" applyFill="1" applyBorder="1" applyAlignment="1" applyProtection="1">
      <alignment horizontal="center" vertical="center" wrapText="1"/>
    </xf>
    <xf numFmtId="0" fontId="53" fillId="26" borderId="130" xfId="1" applyFont="1" applyFill="1" applyBorder="1" applyAlignment="1" applyProtection="1">
      <alignment horizontal="left" vertical="center" indent="1"/>
    </xf>
    <xf numFmtId="49" fontId="82" fillId="0" borderId="167" xfId="1" applyNumberFormat="1" applyFont="1" applyFill="1" applyBorder="1" applyAlignment="1" applyProtection="1">
      <alignment horizontal="center" vertical="center" wrapText="1"/>
    </xf>
    <xf numFmtId="49" fontId="82" fillId="0" borderId="168" xfId="1" applyNumberFormat="1" applyFont="1" applyFill="1" applyBorder="1" applyAlignment="1" applyProtection="1">
      <alignment horizontal="center" vertical="center" wrapText="1"/>
    </xf>
    <xf numFmtId="0" fontId="51" fillId="0" borderId="125" xfId="1" applyFont="1" applyFill="1" applyBorder="1" applyAlignment="1" applyProtection="1">
      <alignment vertical="center"/>
    </xf>
    <xf numFmtId="1" fontId="38" fillId="0" borderId="124" xfId="1" applyNumberFormat="1" applyFont="1" applyBorder="1" applyAlignment="1" applyProtection="1">
      <alignment horizontal="right" vertical="center" indent="1"/>
    </xf>
    <xf numFmtId="0" fontId="33" fillId="0" borderId="124" xfId="0" applyFont="1" applyFill="1" applyBorder="1" applyAlignment="1" applyProtection="1">
      <alignment horizontal="center" vertical="center"/>
    </xf>
    <xf numFmtId="49" fontId="82" fillId="0" borderId="169" xfId="1" applyNumberFormat="1" applyFont="1" applyFill="1" applyBorder="1" applyAlignment="1" applyProtection="1">
      <alignment horizontal="center" vertical="center" wrapText="1"/>
    </xf>
    <xf numFmtId="0" fontId="51" fillId="0" borderId="180" xfId="1" applyFont="1" applyFill="1" applyBorder="1" applyAlignment="1" applyProtection="1">
      <alignment vertical="center"/>
    </xf>
    <xf numFmtId="49" fontId="82" fillId="0" borderId="172" xfId="1" applyNumberFormat="1" applyFont="1" applyFill="1" applyBorder="1" applyAlignment="1" applyProtection="1">
      <alignment horizontal="center" vertical="center" wrapText="1"/>
    </xf>
    <xf numFmtId="174" fontId="38" fillId="0" borderId="124" xfId="1" applyNumberFormat="1" applyFont="1" applyFill="1" applyBorder="1" applyAlignment="1" applyProtection="1">
      <alignment horizontal="right" vertical="center" indent="1"/>
    </xf>
    <xf numFmtId="2" fontId="38" fillId="0" borderId="124" xfId="1" applyNumberFormat="1" applyFont="1" applyBorder="1" applyAlignment="1" applyProtection="1">
      <alignment horizontal="right" vertical="center" indent="1"/>
    </xf>
    <xf numFmtId="1" fontId="38" fillId="0" borderId="177" xfId="1" applyNumberFormat="1" applyFont="1" applyBorder="1" applyAlignment="1" applyProtection="1">
      <alignment horizontal="right" vertical="center" indent="1"/>
    </xf>
    <xf numFmtId="0" fontId="113" fillId="60" borderId="124" xfId="0" applyFont="1" applyFill="1" applyBorder="1" applyAlignment="1">
      <alignment horizontal="left" vertical="center" wrapText="1"/>
    </xf>
    <xf numFmtId="1" fontId="33" fillId="0" borderId="124" xfId="0" applyNumberFormat="1" applyFont="1" applyFill="1" applyBorder="1" applyAlignment="1">
      <alignment horizontal="center" vertical="center"/>
    </xf>
    <xf numFmtId="0" fontId="33" fillId="0" borderId="124" xfId="0" applyFont="1" applyBorder="1" applyAlignment="1">
      <alignment horizontal="center" vertical="center"/>
    </xf>
    <xf numFmtId="0" fontId="33" fillId="0" borderId="159" xfId="0" applyFont="1" applyBorder="1" applyAlignment="1">
      <alignment horizontal="center" vertical="center"/>
    </xf>
    <xf numFmtId="0" fontId="51" fillId="0" borderId="159" xfId="1" applyFont="1" applyFill="1" applyBorder="1" applyAlignment="1">
      <alignment horizontal="right" vertical="center"/>
    </xf>
    <xf numFmtId="0" fontId="51" fillId="44" borderId="127" xfId="0" applyFont="1" applyFill="1" applyBorder="1" applyAlignment="1">
      <alignment vertical="center"/>
    </xf>
    <xf numFmtId="0" fontId="26" fillId="0" borderId="126" xfId="0" applyFont="1" applyBorder="1" applyAlignment="1">
      <alignment horizontal="center" vertical="center"/>
    </xf>
    <xf numFmtId="9" fontId="33" fillId="0" borderId="124" xfId="62" applyFont="1" applyBorder="1" applyAlignment="1">
      <alignment horizontal="right" vertical="center" wrapText="1" indent="1"/>
    </xf>
    <xf numFmtId="0" fontId="109" fillId="0" borderId="124" xfId="64" applyFont="1" applyBorder="1" applyAlignment="1">
      <alignment horizontal="center" vertical="center"/>
    </xf>
    <xf numFmtId="168" fontId="38" fillId="0" borderId="124" xfId="0" applyNumberFormat="1" applyFont="1" applyBorder="1" applyAlignment="1">
      <alignment horizontal="center" vertical="center"/>
    </xf>
    <xf numFmtId="0" fontId="26" fillId="0" borderId="124" xfId="0" applyFont="1" applyBorder="1" applyAlignment="1">
      <alignment horizontal="center"/>
    </xf>
    <xf numFmtId="2" fontId="38" fillId="0" borderId="124" xfId="0" applyNumberFormat="1" applyFont="1" applyBorder="1" applyAlignment="1">
      <alignment horizontal="center" vertical="center"/>
    </xf>
    <xf numFmtId="1" fontId="0" fillId="0" borderId="107" xfId="0" applyNumberFormat="1" applyBorder="1" applyAlignment="1">
      <alignment horizontal="left" vertical="center" wrapText="1"/>
    </xf>
    <xf numFmtId="2" fontId="42" fillId="0" borderId="0" xfId="61" applyNumberFormat="1" applyFont="1" applyFill="1" applyBorder="1" applyAlignment="1" applyProtection="1">
      <alignment vertical="center"/>
      <protection locked="0"/>
    </xf>
    <xf numFmtId="0" fontId="33" fillId="29" borderId="107" xfId="0" applyFont="1" applyFill="1" applyBorder="1" applyAlignment="1">
      <alignment horizontal="left" vertical="center"/>
    </xf>
    <xf numFmtId="49" fontId="33" fillId="0" borderId="0" xfId="0" applyNumberFormat="1" applyFont="1" applyAlignment="1">
      <alignment horizontal="center" vertical="center"/>
    </xf>
    <xf numFmtId="49" fontId="0" fillId="0" borderId="0" xfId="0" applyNumberFormat="1"/>
    <xf numFmtId="2" fontId="0" fillId="0" borderId="0" xfId="0" applyNumberFormat="1"/>
    <xf numFmtId="1" fontId="0" fillId="0" borderId="107" xfId="0" applyNumberFormat="1" applyBorder="1" applyAlignment="1">
      <alignment horizontal="left" vertical="center"/>
    </xf>
    <xf numFmtId="0" fontId="114" fillId="0" borderId="107" xfId="0" applyFont="1" applyFill="1" applyBorder="1" applyAlignment="1">
      <alignment horizontal="center" vertical="center" wrapText="1"/>
    </xf>
    <xf numFmtId="2" fontId="0" fillId="0" borderId="107" xfId="0" applyNumberFormat="1" applyBorder="1" applyAlignment="1">
      <alignment horizontal="center" vertical="center"/>
    </xf>
    <xf numFmtId="0" fontId="48" fillId="0" borderId="125" xfId="64" applyFont="1" applyFill="1" applyBorder="1" applyAlignment="1">
      <alignment horizontal="center" vertical="center"/>
    </xf>
    <xf numFmtId="0" fontId="82" fillId="0" borderId="155" xfId="1" applyFont="1" applyFill="1" applyBorder="1" applyAlignment="1" applyProtection="1">
      <alignment vertical="center"/>
      <protection locked="0"/>
    </xf>
    <xf numFmtId="0" fontId="33" fillId="0" borderId="156" xfId="0" applyFont="1" applyBorder="1" applyAlignment="1">
      <alignment horizontal="left" vertical="center"/>
    </xf>
    <xf numFmtId="0" fontId="33" fillId="0" borderId="156" xfId="0" applyFont="1" applyBorder="1" applyAlignment="1">
      <alignment horizontal="right" vertical="center"/>
    </xf>
    <xf numFmtId="0" fontId="33" fillId="0" borderId="157" xfId="0" applyFont="1" applyBorder="1" applyAlignment="1">
      <alignment horizontal="left" vertical="center"/>
    </xf>
    <xf numFmtId="0" fontId="38" fillId="0" borderId="127" xfId="0" applyFont="1" applyBorder="1" applyAlignment="1">
      <alignment horizontal="left" vertical="center" indent="1"/>
    </xf>
    <xf numFmtId="0" fontId="33" fillId="27" borderId="0" xfId="0" applyFont="1" applyFill="1" applyAlignment="1">
      <alignment horizontal="center" vertical="center"/>
    </xf>
    <xf numFmtId="0" fontId="33" fillId="44" borderId="76" xfId="0" applyFont="1" applyFill="1" applyBorder="1" applyAlignment="1">
      <alignment horizontal="center" vertical="center"/>
    </xf>
    <xf numFmtId="0" fontId="33" fillId="44" borderId="77" xfId="0" applyFont="1" applyFill="1" applyBorder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51" fillId="38" borderId="155" xfId="0" applyFont="1" applyFill="1" applyBorder="1" applyAlignment="1">
      <alignment vertical="center"/>
    </xf>
    <xf numFmtId="0" fontId="51" fillId="38" borderId="156" xfId="0" applyFont="1" applyFill="1" applyBorder="1" applyAlignment="1">
      <alignment vertical="center"/>
    </xf>
    <xf numFmtId="0" fontId="51" fillId="38" borderId="157" xfId="0" applyFont="1" applyFill="1" applyBorder="1" applyAlignment="1">
      <alignment vertical="center"/>
    </xf>
    <xf numFmtId="0" fontId="51" fillId="38" borderId="126" xfId="0" applyFont="1" applyFill="1" applyBorder="1" applyAlignment="1">
      <alignment horizontal="center" vertical="center"/>
    </xf>
    <xf numFmtId="168" fontId="39" fillId="38" borderId="126" xfId="61" applyNumberFormat="1" applyFont="1" applyFill="1" applyBorder="1" applyAlignment="1">
      <alignment horizontal="right" vertical="center" indent="1"/>
    </xf>
    <xf numFmtId="0" fontId="33" fillId="38" borderId="126" xfId="0" applyFont="1" applyFill="1" applyBorder="1" applyAlignment="1">
      <alignment horizontal="center" vertical="center"/>
    </xf>
    <xf numFmtId="0" fontId="26" fillId="0" borderId="107" xfId="0" applyFont="1" applyBorder="1" applyAlignment="1">
      <alignment horizontal="left" vertical="center"/>
    </xf>
    <xf numFmtId="0" fontId="38" fillId="61" borderId="158" xfId="0" applyFont="1" applyFill="1" applyBorder="1" applyAlignment="1">
      <alignment horizontal="center" vertical="center"/>
    </xf>
    <xf numFmtId="0" fontId="38" fillId="61" borderId="127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07" fillId="0" borderId="0" xfId="0" applyFont="1" applyAlignment="1">
      <alignment horizontal="left"/>
    </xf>
    <xf numFmtId="0" fontId="33" fillId="0" borderId="124" xfId="0" applyFont="1" applyBorder="1" applyAlignment="1">
      <alignment horizontal="left" vertical="center"/>
    </xf>
    <xf numFmtId="0" fontId="138" fillId="0" borderId="0" xfId="64" applyFont="1" applyAlignment="1">
      <alignment horizontal="center" vertical="center"/>
    </xf>
    <xf numFmtId="0" fontId="33" fillId="0" borderId="107" xfId="0" applyFont="1" applyBorder="1"/>
    <xf numFmtId="14" fontId="33" fillId="0" borderId="107" xfId="0" applyNumberFormat="1" applyFont="1" applyFill="1" applyBorder="1" applyAlignment="1">
      <alignment horizontal="left"/>
    </xf>
    <xf numFmtId="0" fontId="38" fillId="0" borderId="0" xfId="0" applyFont="1"/>
    <xf numFmtId="0" fontId="76" fillId="0" borderId="0" xfId="0" applyFont="1"/>
    <xf numFmtId="0" fontId="0" fillId="0" borderId="153" xfId="0" applyFill="1" applyBorder="1"/>
    <xf numFmtId="0" fontId="33" fillId="0" borderId="124" xfId="0" applyFont="1" applyFill="1" applyBorder="1" applyAlignment="1">
      <alignment horizontal="center" vertical="center"/>
    </xf>
    <xf numFmtId="17" fontId="33" fillId="0" borderId="107" xfId="0" applyNumberFormat="1" applyFont="1" applyFill="1" applyBorder="1" applyAlignment="1">
      <alignment horizontal="left"/>
    </xf>
    <xf numFmtId="0" fontId="26" fillId="42" borderId="0" xfId="0" applyFont="1" applyFill="1" applyBorder="1" applyAlignment="1"/>
    <xf numFmtId="0" fontId="49" fillId="60" borderId="124" xfId="0" applyFont="1" applyFill="1" applyBorder="1" applyAlignment="1">
      <alignment horizontal="center" vertical="center" wrapText="1"/>
    </xf>
    <xf numFmtId="0" fontId="33" fillId="0" borderId="124" xfId="0" applyFont="1" applyBorder="1" applyAlignment="1">
      <alignment horizontal="center" vertical="center"/>
    </xf>
    <xf numFmtId="0" fontId="0" fillId="0" borderId="107" xfId="0" applyBorder="1" applyAlignment="1">
      <alignment wrapText="1"/>
    </xf>
    <xf numFmtId="0" fontId="0" fillId="0" borderId="107" xfId="0" applyBorder="1" applyAlignment="1"/>
    <xf numFmtId="0" fontId="2" fillId="63" borderId="78" xfId="0" applyFont="1" applyFill="1" applyBorder="1" applyAlignment="1">
      <alignment horizontal="center" vertical="center"/>
    </xf>
    <xf numFmtId="0" fontId="2" fillId="64" borderId="107" xfId="2" applyFont="1" applyFill="1" applyBorder="1" applyAlignment="1">
      <alignment horizontal="center" vertical="center"/>
    </xf>
    <xf numFmtId="0" fontId="2" fillId="39" borderId="107" xfId="2" applyFont="1" applyFill="1" applyBorder="1" applyAlignment="1">
      <alignment horizontal="center" vertical="center"/>
    </xf>
    <xf numFmtId="0" fontId="2" fillId="39" borderId="74" xfId="2" applyFont="1" applyFill="1" applyBorder="1" applyAlignment="1">
      <alignment horizontal="center" vertical="center"/>
    </xf>
    <xf numFmtId="0" fontId="2" fillId="26" borderId="107" xfId="2" applyFont="1" applyFill="1" applyBorder="1" applyAlignment="1">
      <alignment horizontal="center" vertical="center"/>
    </xf>
    <xf numFmtId="0" fontId="33" fillId="0" borderId="124" xfId="0" applyFont="1" applyBorder="1" applyAlignment="1">
      <alignment horizontal="left" vertical="center" wrapText="1" indent="1"/>
    </xf>
    <xf numFmtId="1" fontId="33" fillId="0" borderId="124" xfId="0" applyNumberFormat="1" applyFont="1" applyFill="1" applyBorder="1" applyAlignment="1">
      <alignment horizontal="center" vertical="center"/>
    </xf>
    <xf numFmtId="0" fontId="33" fillId="0" borderId="124" xfId="0" applyFont="1" applyBorder="1" applyAlignment="1">
      <alignment horizontal="center" vertical="center"/>
    </xf>
    <xf numFmtId="167" fontId="26" fillId="26" borderId="107" xfId="61" applyNumberFormat="1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0" fontId="26" fillId="38" borderId="0" xfId="0" applyFont="1" applyFill="1" applyBorder="1" applyAlignment="1">
      <alignment vertical="center"/>
    </xf>
    <xf numFmtId="0" fontId="26" fillId="56" borderId="0" xfId="0" applyFont="1" applyFill="1" applyBorder="1" applyAlignment="1"/>
    <xf numFmtId="0" fontId="0" fillId="0" borderId="107" xfId="0" applyBorder="1" applyAlignment="1">
      <alignment horizontal="center" vertical="center" wrapText="1"/>
    </xf>
    <xf numFmtId="0" fontId="34" fillId="26" borderId="107" xfId="0" applyFont="1" applyFill="1" applyBorder="1" applyAlignment="1">
      <alignment horizontal="center" vertical="center"/>
    </xf>
    <xf numFmtId="14" fontId="0" fillId="0" borderId="107" xfId="0" applyNumberFormat="1" applyBorder="1" applyAlignment="1">
      <alignment horizontal="center" vertical="center" wrapText="1"/>
    </xf>
    <xf numFmtId="49" fontId="0" fillId="0" borderId="107" xfId="0" applyNumberFormat="1" applyBorder="1" applyAlignment="1">
      <alignment horizontal="center" vertical="center" wrapText="1"/>
    </xf>
    <xf numFmtId="0" fontId="0" fillId="0" borderId="107" xfId="0" applyFont="1" applyBorder="1" applyAlignment="1">
      <alignment horizontal="center" vertical="center"/>
    </xf>
    <xf numFmtId="1" fontId="0" fillId="0" borderId="107" xfId="0" applyNumberFormat="1" applyFill="1" applyBorder="1" applyAlignment="1">
      <alignment horizontal="center" wrapText="1"/>
    </xf>
    <xf numFmtId="0" fontId="114" fillId="0" borderId="107" xfId="0" applyFont="1" applyFill="1" applyBorder="1" applyAlignment="1">
      <alignment horizontal="center" vertical="center"/>
    </xf>
    <xf numFmtId="1" fontId="0" fillId="0" borderId="107" xfId="0" applyNumberFormat="1" applyBorder="1" applyAlignment="1">
      <alignment horizontal="center" vertical="center"/>
    </xf>
    <xf numFmtId="14" fontId="0" fillId="0" borderId="107" xfId="0" applyNumberFormat="1" applyBorder="1" applyAlignment="1">
      <alignment horizontal="center" vertical="center"/>
    </xf>
    <xf numFmtId="49" fontId="0" fillId="0" borderId="107" xfId="0" applyNumberFormat="1" applyBorder="1" applyAlignment="1">
      <alignment horizontal="center" vertical="center"/>
    </xf>
    <xf numFmtId="178" fontId="2" fillId="0" borderId="0" xfId="61" applyNumberFormat="1" applyFont="1" applyFill="1" applyBorder="1" applyAlignment="1">
      <alignment horizontal="center" vertical="center"/>
    </xf>
    <xf numFmtId="174" fontId="38" fillId="0" borderId="124" xfId="0" applyNumberFormat="1" applyFont="1" applyBorder="1" applyAlignment="1">
      <alignment horizontal="right" vertical="center" indent="1"/>
    </xf>
    <xf numFmtId="174" fontId="38" fillId="0" borderId="124" xfId="1" applyNumberFormat="1" applyFont="1" applyBorder="1" applyAlignment="1" applyProtection="1">
      <alignment horizontal="right" vertical="center" indent="1"/>
    </xf>
    <xf numFmtId="1" fontId="33" fillId="33" borderId="67" xfId="0" applyNumberFormat="1" applyFont="1" applyFill="1" applyBorder="1" applyAlignment="1">
      <alignment horizontal="center" vertical="center"/>
    </xf>
    <xf numFmtId="1" fontId="33" fillId="0" borderId="67" xfId="0" applyNumberFormat="1" applyFont="1" applyBorder="1" applyAlignment="1">
      <alignment horizontal="center" vertical="center"/>
    </xf>
    <xf numFmtId="1" fontId="33" fillId="24" borderId="107" xfId="0" applyNumberFormat="1" applyFont="1" applyFill="1" applyBorder="1" applyAlignment="1">
      <alignment horizontal="center" vertical="center"/>
    </xf>
    <xf numFmtId="0" fontId="2" fillId="42" borderId="20" xfId="2" applyFont="1" applyFill="1" applyBorder="1" applyAlignment="1">
      <alignment horizontal="center" vertical="center"/>
    </xf>
    <xf numFmtId="0" fontId="2" fillId="38" borderId="21" xfId="2" applyFont="1" applyFill="1" applyBorder="1" applyAlignment="1">
      <alignment horizontal="center" vertical="center"/>
    </xf>
    <xf numFmtId="0" fontId="33" fillId="0" borderId="106" xfId="0" applyFont="1" applyBorder="1" applyAlignment="1">
      <alignment horizontal="left" vertical="center"/>
    </xf>
    <xf numFmtId="0" fontId="2" fillId="42" borderId="107" xfId="2" applyFont="1" applyFill="1" applyBorder="1" applyAlignment="1">
      <alignment horizontal="center" vertical="center"/>
    </xf>
    <xf numFmtId="0" fontId="2" fillId="38" borderId="108" xfId="2" applyFont="1" applyFill="1" applyBorder="1" applyAlignment="1">
      <alignment horizontal="center" vertical="center"/>
    </xf>
    <xf numFmtId="0" fontId="0" fillId="0" borderId="95" xfId="0" applyBorder="1"/>
    <xf numFmtId="0" fontId="0" fillId="0" borderId="87" xfId="0" applyBorder="1"/>
    <xf numFmtId="0" fontId="2" fillId="42" borderId="110" xfId="2" applyFont="1" applyFill="1" applyBorder="1" applyAlignment="1">
      <alignment horizontal="center" vertical="center"/>
    </xf>
    <xf numFmtId="0" fontId="2" fillId="38" borderId="111" xfId="2" applyFont="1" applyFill="1" applyBorder="1" applyAlignment="1">
      <alignment horizontal="center" vertical="center"/>
    </xf>
    <xf numFmtId="2" fontId="0" fillId="0" borderId="106" xfId="0" applyNumberFormat="1" applyBorder="1"/>
    <xf numFmtId="0" fontId="33" fillId="38" borderId="154" xfId="0" applyFont="1" applyFill="1" applyBorder="1" applyAlignment="1">
      <alignment horizontal="center" vertical="center"/>
    </xf>
    <xf numFmtId="0" fontId="33" fillId="38" borderId="125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 wrapText="1"/>
    </xf>
    <xf numFmtId="0" fontId="2" fillId="65" borderId="107" xfId="2" applyFont="1" applyFill="1" applyBorder="1" applyAlignment="1">
      <alignment horizontal="center" vertical="center"/>
    </xf>
    <xf numFmtId="0" fontId="2" fillId="65" borderId="74" xfId="2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6" fillId="49" borderId="107" xfId="0" applyFont="1" applyFill="1" applyBorder="1"/>
    <xf numFmtId="0" fontId="26" fillId="49" borderId="107" xfId="0" applyFont="1" applyFill="1" applyBorder="1" applyAlignment="1">
      <alignment horizontal="center"/>
    </xf>
    <xf numFmtId="0" fontId="0" fillId="49" borderId="107" xfId="0" applyFill="1" applyBorder="1" applyAlignment="1">
      <alignment horizontal="center"/>
    </xf>
    <xf numFmtId="0" fontId="0" fillId="49" borderId="107" xfId="0" applyFill="1" applyBorder="1" applyAlignment="1">
      <alignment horizontal="left" wrapText="1"/>
    </xf>
    <xf numFmtId="0" fontId="0" fillId="49" borderId="107" xfId="0" applyFill="1" applyBorder="1" applyAlignment="1">
      <alignment horizontal="left"/>
    </xf>
    <xf numFmtId="0" fontId="35" fillId="0" borderId="127" xfId="64" applyBorder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39" fillId="0" borderId="128" xfId="1" applyFont="1" applyFill="1" applyBorder="1" applyAlignment="1" applyProtection="1">
      <alignment horizontal="center" vertical="center" wrapText="1"/>
    </xf>
    <xf numFmtId="49" fontId="51" fillId="0" borderId="138" xfId="1" applyNumberFormat="1" applyFont="1" applyFill="1" applyBorder="1" applyAlignment="1" applyProtection="1">
      <alignment horizontal="center" vertical="center" wrapText="1"/>
    </xf>
    <xf numFmtId="0" fontId="38" fillId="0" borderId="138" xfId="1" applyFont="1" applyBorder="1" applyAlignment="1" applyProtection="1">
      <alignment horizontal="center" vertical="center" wrapText="1"/>
    </xf>
    <xf numFmtId="1" fontId="38" fillId="0" borderId="138" xfId="1" applyNumberFormat="1" applyFont="1" applyBorder="1" applyAlignment="1" applyProtection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3" fillId="0" borderId="195" xfId="0" applyFont="1" applyBorder="1" applyAlignment="1">
      <alignment horizontal="center" vertical="center"/>
    </xf>
    <xf numFmtId="0" fontId="33" fillId="0" borderId="195" xfId="0" applyFont="1" applyBorder="1" applyAlignment="1">
      <alignment horizontal="left" vertical="center"/>
    </xf>
    <xf numFmtId="0" fontId="0" fillId="0" borderId="107" xfId="0" applyBorder="1" applyAlignment="1">
      <alignment horizontal="center" vertical="center" wrapText="1"/>
    </xf>
    <xf numFmtId="0" fontId="143" fillId="0" borderId="0" xfId="0" applyFont="1"/>
    <xf numFmtId="0" fontId="144" fillId="0" borderId="0" xfId="0" applyFont="1"/>
    <xf numFmtId="0" fontId="33" fillId="29" borderId="195" xfId="0" applyFont="1" applyFill="1" applyBorder="1" applyAlignment="1">
      <alignment horizontal="left" vertical="center"/>
    </xf>
    <xf numFmtId="49" fontId="93" fillId="0" borderId="172" xfId="1" applyNumberFormat="1" applyFont="1" applyFill="1" applyBorder="1" applyAlignment="1" applyProtection="1">
      <alignment horizontal="center" vertical="center" wrapText="1"/>
    </xf>
    <xf numFmtId="1" fontId="39" fillId="24" borderId="124" xfId="61" applyNumberFormat="1" applyFont="1" applyFill="1" applyBorder="1" applyAlignment="1">
      <alignment horizontal="right" vertical="center" indent="1"/>
    </xf>
    <xf numFmtId="168" fontId="39" fillId="24" borderId="124" xfId="61" applyNumberFormat="1" applyFont="1" applyFill="1" applyBorder="1" applyAlignment="1">
      <alignment horizontal="right" vertical="center" indent="1"/>
    </xf>
    <xf numFmtId="0" fontId="0" fillId="0" borderId="107" xfId="0" applyBorder="1" applyAlignment="1">
      <alignment horizontal="center" vertical="center" wrapText="1"/>
    </xf>
    <xf numFmtId="0" fontId="33" fillId="0" borderId="125" xfId="0" applyFont="1" applyBorder="1" applyAlignment="1">
      <alignment horizontal="right" vertical="center"/>
    </xf>
    <xf numFmtId="0" fontId="33" fillId="0" borderId="124" xfId="0" applyFont="1" applyBorder="1" applyAlignment="1">
      <alignment horizontal="center" vertical="center"/>
    </xf>
    <xf numFmtId="0" fontId="0" fillId="0" borderId="195" xfId="0" applyBorder="1" applyAlignment="1">
      <alignment wrapText="1"/>
    </xf>
    <xf numFmtId="0" fontId="0" fillId="0" borderId="195" xfId="0" applyBorder="1" applyAlignment="1">
      <alignment horizontal="center" vertical="center" wrapText="1"/>
    </xf>
    <xf numFmtId="0" fontId="114" fillId="0" borderId="195" xfId="0" applyFont="1" applyFill="1" applyBorder="1" applyAlignment="1">
      <alignment horizontal="center" vertical="center" wrapText="1"/>
    </xf>
    <xf numFmtId="0" fontId="0" fillId="0" borderId="195" xfId="0" applyBorder="1" applyAlignment="1">
      <alignment vertical="center" wrapText="1"/>
    </xf>
    <xf numFmtId="2" fontId="0" fillId="0" borderId="195" xfId="0" applyNumberFormat="1" applyBorder="1" applyAlignment="1">
      <alignment vertical="center" wrapText="1"/>
    </xf>
    <xf numFmtId="0" fontId="66" fillId="0" borderId="107" xfId="0" applyFont="1" applyFill="1" applyBorder="1" applyAlignment="1">
      <alignment horizontal="center" vertical="center" wrapText="1"/>
    </xf>
    <xf numFmtId="1" fontId="0" fillId="26" borderId="107" xfId="0" applyNumberFormat="1" applyFill="1" applyBorder="1" applyAlignment="1">
      <alignment horizontal="center" vertical="center" wrapText="1"/>
    </xf>
    <xf numFmtId="0" fontId="51" fillId="24" borderId="127" xfId="0" applyFont="1" applyFill="1" applyBorder="1" applyAlignment="1">
      <alignment vertical="center"/>
    </xf>
    <xf numFmtId="0" fontId="51" fillId="24" borderId="154" xfId="0" applyFont="1" applyFill="1" applyBorder="1" applyAlignment="1">
      <alignment vertical="center"/>
    </xf>
    <xf numFmtId="0" fontId="51" fillId="24" borderId="125" xfId="0" applyFont="1" applyFill="1" applyBorder="1" applyAlignment="1">
      <alignment vertical="center"/>
    </xf>
    <xf numFmtId="0" fontId="51" fillId="24" borderId="124" xfId="0" applyFont="1" applyFill="1" applyBorder="1" applyAlignment="1">
      <alignment horizontal="center" vertical="center"/>
    </xf>
    <xf numFmtId="0" fontId="145" fillId="0" borderId="0" xfId="0" applyFont="1"/>
    <xf numFmtId="0" fontId="2" fillId="37" borderId="195" xfId="2" applyFont="1" applyFill="1" applyBorder="1" applyAlignment="1">
      <alignment horizontal="center" vertical="center"/>
    </xf>
    <xf numFmtId="0" fontId="2" fillId="35" borderId="195" xfId="2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 wrapText="1"/>
    </xf>
    <xf numFmtId="0" fontId="82" fillId="0" borderId="172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174" fontId="39" fillId="40" borderId="124" xfId="61" applyNumberFormat="1" applyFont="1" applyFill="1" applyBorder="1" applyAlignment="1">
      <alignment horizontal="right" vertical="center" indent="1"/>
    </xf>
    <xf numFmtId="0" fontId="0" fillId="0" borderId="195" xfId="0" applyBorder="1"/>
    <xf numFmtId="0" fontId="0" fillId="24" borderId="195" xfId="0" applyFill="1" applyBorder="1"/>
    <xf numFmtId="0" fontId="0" fillId="66" borderId="195" xfId="0" applyFill="1" applyBorder="1"/>
    <xf numFmtId="0" fontId="33" fillId="0" borderId="85" xfId="0" applyFont="1" applyBorder="1" applyAlignment="1">
      <alignment horizontal="center" vertical="center"/>
    </xf>
    <xf numFmtId="0" fontId="33" fillId="0" borderId="86" xfId="0" applyFont="1" applyBorder="1" applyAlignment="1">
      <alignment horizontal="left" vertical="center"/>
    </xf>
    <xf numFmtId="0" fontId="33" fillId="0" borderId="95" xfId="0" applyFont="1" applyBorder="1" applyAlignment="1">
      <alignment horizontal="left" vertical="center"/>
    </xf>
    <xf numFmtId="0" fontId="33" fillId="0" borderId="87" xfId="0" applyFont="1" applyBorder="1" applyAlignment="1">
      <alignment horizontal="left" vertical="center"/>
    </xf>
    <xf numFmtId="165" fontId="39" fillId="0" borderId="124" xfId="61" applyNumberFormat="1" applyFont="1" applyFill="1" applyBorder="1" applyAlignment="1">
      <alignment horizontal="right" vertical="center" indent="1"/>
    </xf>
    <xf numFmtId="0" fontId="82" fillId="0" borderId="172" xfId="1" applyNumberFormat="1" applyFont="1" applyFill="1" applyBorder="1" applyAlignment="1" applyProtection="1">
      <alignment horizontal="center" vertical="center"/>
    </xf>
    <xf numFmtId="0" fontId="83" fillId="0" borderId="172" xfId="1" applyNumberFormat="1" applyFont="1" applyFill="1" applyBorder="1" applyAlignment="1" applyProtection="1">
      <alignment horizontal="center" vertical="center"/>
    </xf>
    <xf numFmtId="0" fontId="93" fillId="0" borderId="172" xfId="1" applyNumberFormat="1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horizontal="center" vertical="center"/>
      <protection locked="0"/>
    </xf>
    <xf numFmtId="0" fontId="33" fillId="0" borderId="0" xfId="1" applyFont="1" applyFill="1" applyBorder="1" applyAlignment="1" applyProtection="1">
      <alignment horizontal="center" vertical="center"/>
    </xf>
    <xf numFmtId="173" fontId="33" fillId="0" borderId="0" xfId="0" applyNumberFormat="1" applyFont="1"/>
    <xf numFmtId="0" fontId="3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173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 wrapText="1"/>
    </xf>
    <xf numFmtId="174" fontId="33" fillId="0" borderId="0" xfId="0" applyNumberFormat="1" applyFont="1" applyBorder="1" applyAlignment="1">
      <alignment horizontal="center" vertical="center"/>
    </xf>
    <xf numFmtId="173" fontId="33" fillId="0" borderId="0" xfId="0" applyNumberFormat="1" applyFont="1" applyBorder="1" applyAlignment="1">
      <alignment vertical="center"/>
    </xf>
    <xf numFmtId="0" fontId="33" fillId="0" borderId="0" xfId="0" applyFont="1" applyBorder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149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/>
    </xf>
    <xf numFmtId="173" fontId="33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3" fillId="24" borderId="76" xfId="0" applyFont="1" applyFill="1" applyBorder="1" applyAlignment="1">
      <alignment horizontal="center" vertical="center"/>
    </xf>
    <xf numFmtId="0" fontId="33" fillId="24" borderId="97" xfId="0" applyFont="1" applyFill="1" applyBorder="1" applyAlignment="1">
      <alignment horizontal="left" vertical="center"/>
    </xf>
    <xf numFmtId="0" fontId="33" fillId="24" borderId="77" xfId="0" applyFont="1" applyFill="1" applyBorder="1" applyAlignment="1">
      <alignment horizontal="left" vertical="center"/>
    </xf>
    <xf numFmtId="173" fontId="33" fillId="0" borderId="0" xfId="0" applyNumberFormat="1" applyFont="1" applyBorder="1" applyAlignment="1" applyProtection="1">
      <alignment horizontal="center" vertical="center"/>
      <protection locked="0"/>
    </xf>
    <xf numFmtId="0" fontId="47" fillId="0" borderId="0" xfId="1" applyFont="1" applyAlignment="1" applyProtection="1">
      <alignment horizontal="center" vertical="center"/>
    </xf>
    <xf numFmtId="0" fontId="33" fillId="0" borderId="0" xfId="1" applyFont="1" applyAlignment="1" applyProtection="1">
      <alignment horizontal="center" vertical="center"/>
    </xf>
    <xf numFmtId="0" fontId="76" fillId="0" borderId="0" xfId="1" applyFont="1" applyAlignment="1" applyProtection="1">
      <alignment horizontal="center" vertical="center"/>
    </xf>
    <xf numFmtId="0" fontId="2" fillId="0" borderId="0" xfId="1" applyFont="1" applyBorder="1" applyAlignment="1" applyProtection="1">
      <alignment horizontal="center" vertical="center"/>
    </xf>
    <xf numFmtId="0" fontId="76" fillId="0" borderId="0" xfId="1" applyFont="1" applyBorder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/>
    </xf>
    <xf numFmtId="0" fontId="47" fillId="0" borderId="0" xfId="1" applyFont="1" applyFill="1" applyAlignment="1" applyProtection="1">
      <alignment horizontal="center" vertical="center"/>
    </xf>
    <xf numFmtId="49" fontId="47" fillId="0" borderId="0" xfId="1" applyNumberFormat="1" applyFont="1" applyFill="1" applyAlignment="1" applyProtection="1">
      <alignment horizontal="center" vertical="center"/>
    </xf>
    <xf numFmtId="0" fontId="33" fillId="0" borderId="0" xfId="1" applyFont="1" applyFill="1" applyAlignment="1" applyProtection="1">
      <alignment horizontal="center" vertical="center"/>
    </xf>
    <xf numFmtId="168" fontId="47" fillId="0" borderId="0" xfId="1" applyNumberFormat="1" applyFont="1" applyAlignment="1" applyProtection="1">
      <alignment horizontal="center" vertical="center"/>
    </xf>
    <xf numFmtId="0" fontId="33" fillId="0" borderId="150" xfId="1" applyFont="1" applyFill="1" applyBorder="1" applyAlignment="1" applyProtection="1">
      <alignment vertical="center"/>
    </xf>
    <xf numFmtId="49" fontId="33" fillId="0" borderId="151" xfId="1" applyNumberFormat="1" applyFont="1" applyFill="1" applyBorder="1" applyAlignment="1" applyProtection="1">
      <alignment vertical="center"/>
    </xf>
    <xf numFmtId="0" fontId="148" fillId="0" borderId="0" xfId="64" applyFont="1" applyBorder="1" applyAlignment="1" applyProtection="1">
      <alignment horizontal="center" vertical="center"/>
    </xf>
    <xf numFmtId="0" fontId="109" fillId="0" borderId="0" xfId="64" applyFont="1" applyBorder="1" applyAlignment="1" applyProtection="1">
      <alignment horizontal="center" vertical="center"/>
    </xf>
    <xf numFmtId="0" fontId="38" fillId="0" borderId="167" xfId="1" applyFont="1" applyFill="1" applyBorder="1" applyAlignment="1" applyProtection="1">
      <alignment horizontal="center" vertical="center"/>
    </xf>
    <xf numFmtId="49" fontId="33" fillId="0" borderId="129" xfId="1" applyNumberFormat="1" applyFont="1" applyFill="1" applyBorder="1" applyAlignment="1" applyProtection="1">
      <alignment horizontal="center" vertical="center"/>
    </xf>
    <xf numFmtId="0" fontId="89" fillId="51" borderId="62" xfId="0" applyFont="1" applyFill="1" applyBorder="1" applyAlignment="1" applyProtection="1">
      <alignment horizontal="center" vertical="center" wrapText="1"/>
    </xf>
    <xf numFmtId="0" fontId="38" fillId="0" borderId="168" xfId="1" applyFont="1" applyFill="1" applyBorder="1" applyAlignment="1" applyProtection="1">
      <alignment horizontal="center" vertical="center"/>
    </xf>
    <xf numFmtId="49" fontId="33" fillId="0" borderId="132" xfId="1" applyNumberFormat="1" applyFont="1" applyFill="1" applyBorder="1" applyAlignment="1" applyProtection="1">
      <alignment horizontal="center" vertical="center"/>
    </xf>
    <xf numFmtId="168" fontId="39" fillId="0" borderId="0" xfId="1" applyNumberFormat="1" applyFont="1" applyBorder="1" applyAlignment="1" applyProtection="1">
      <alignment horizontal="left" vertical="center" indent="1"/>
    </xf>
    <xf numFmtId="168" fontId="84" fillId="0" borderId="0" xfId="1" applyNumberFormat="1" applyFont="1" applyBorder="1" applyAlignment="1" applyProtection="1">
      <alignment horizontal="left" vertical="center" indent="1"/>
    </xf>
    <xf numFmtId="168" fontId="84" fillId="0" borderId="0" xfId="1" applyNumberFormat="1" applyFont="1" applyBorder="1" applyAlignment="1" applyProtection="1">
      <alignment vertical="center"/>
    </xf>
    <xf numFmtId="168" fontId="84" fillId="0" borderId="133" xfId="1" applyNumberFormat="1" applyFont="1" applyBorder="1" applyAlignment="1" applyProtection="1">
      <alignment vertical="center"/>
    </xf>
    <xf numFmtId="0" fontId="47" fillId="0" borderId="0" xfId="1" applyFont="1" applyBorder="1" applyAlignment="1" applyProtection="1">
      <alignment horizontal="center" vertical="center"/>
    </xf>
    <xf numFmtId="0" fontId="73" fillId="0" borderId="100" xfId="0" applyFont="1" applyFill="1" applyBorder="1" applyAlignment="1" applyProtection="1">
      <alignment horizontal="center" vertical="center" wrapText="1"/>
    </xf>
    <xf numFmtId="0" fontId="73" fillId="0" borderId="100" xfId="0" applyFont="1" applyBorder="1" applyAlignment="1" applyProtection="1">
      <alignment horizontal="center" vertical="center" wrapText="1"/>
    </xf>
    <xf numFmtId="1" fontId="73" fillId="42" borderId="79" xfId="0" applyNumberFormat="1" applyFont="1" applyFill="1" applyBorder="1" applyAlignment="1" applyProtection="1">
      <alignment horizontal="center" wrapText="1"/>
    </xf>
    <xf numFmtId="0" fontId="33" fillId="0" borderId="0" xfId="1" applyFont="1" applyBorder="1" applyAlignment="1" applyProtection="1">
      <alignment horizontal="center" vertical="center"/>
    </xf>
    <xf numFmtId="1" fontId="73" fillId="0" borderId="79" xfId="0" applyNumberFormat="1" applyFont="1" applyFill="1" applyBorder="1" applyAlignment="1" applyProtection="1">
      <alignment horizontal="center" wrapText="1"/>
    </xf>
    <xf numFmtId="0" fontId="38" fillId="0" borderId="169" xfId="1" applyFont="1" applyFill="1" applyBorder="1" applyAlignment="1" applyProtection="1">
      <alignment horizontal="center" vertical="center"/>
    </xf>
    <xf numFmtId="49" fontId="33" fillId="0" borderId="149" xfId="1" applyNumberFormat="1" applyFont="1" applyFill="1" applyBorder="1" applyAlignment="1" applyProtection="1">
      <alignment horizontal="center" vertical="center"/>
    </xf>
    <xf numFmtId="168" fontId="39" fillId="0" borderId="141" xfId="1" applyNumberFormat="1" applyFont="1" applyBorder="1" applyAlignment="1" applyProtection="1">
      <alignment horizontal="left" vertical="center" indent="1"/>
    </xf>
    <xf numFmtId="168" fontId="39" fillId="0" borderId="141" xfId="1" applyNumberFormat="1" applyFont="1" applyBorder="1" applyAlignment="1" applyProtection="1">
      <alignment vertical="center"/>
    </xf>
    <xf numFmtId="0" fontId="74" fillId="26" borderId="78" xfId="0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horizontal="left" vertical="center"/>
    </xf>
    <xf numFmtId="0" fontId="76" fillId="0" borderId="0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vertical="center"/>
    </xf>
    <xf numFmtId="0" fontId="76" fillId="0" borderId="107" xfId="1" applyFont="1" applyBorder="1" applyAlignment="1" applyProtection="1">
      <alignment horizontal="center" vertical="center"/>
    </xf>
    <xf numFmtId="168" fontId="47" fillId="0" borderId="0" xfId="1" applyNumberFormat="1" applyFont="1" applyFill="1" applyBorder="1" applyAlignment="1" applyProtection="1">
      <alignment horizontal="center" vertical="center"/>
    </xf>
    <xf numFmtId="168" fontId="47" fillId="0" borderId="0" xfId="1" applyNumberFormat="1" applyFont="1" applyBorder="1" applyAlignment="1" applyProtection="1">
      <alignment horizontal="center" vertical="center"/>
    </xf>
    <xf numFmtId="165" fontId="47" fillId="26" borderId="178" xfId="66" applyNumberFormat="1" applyFont="1" applyFill="1" applyBorder="1" applyAlignment="1" applyProtection="1">
      <alignment horizontal="right" vertical="center"/>
    </xf>
    <xf numFmtId="2" fontId="38" fillId="26" borderId="179" xfId="1" applyNumberFormat="1" applyFont="1" applyFill="1" applyBorder="1" applyAlignment="1" applyProtection="1">
      <alignment horizontal="right" vertical="center" indent="1"/>
    </xf>
    <xf numFmtId="0" fontId="109" fillId="0" borderId="0" xfId="64" applyFont="1" applyAlignment="1" applyProtection="1">
      <alignment horizontal="center" vertical="center"/>
    </xf>
    <xf numFmtId="168" fontId="38" fillId="0" borderId="124" xfId="1" applyNumberFormat="1" applyFont="1" applyFill="1" applyBorder="1" applyAlignment="1" applyProtection="1">
      <alignment horizontal="right" vertical="center"/>
    </xf>
    <xf numFmtId="2" fontId="33" fillId="0" borderId="124" xfId="1" applyNumberFormat="1" applyFont="1" applyBorder="1" applyAlignment="1" applyProtection="1">
      <alignment horizontal="right" vertical="center" indent="1"/>
    </xf>
    <xf numFmtId="2" fontId="33" fillId="0" borderId="176" xfId="1" applyNumberFormat="1" applyFont="1" applyBorder="1" applyAlignment="1" applyProtection="1">
      <alignment horizontal="right" vertical="center" indent="1"/>
    </xf>
    <xf numFmtId="9" fontId="76" fillId="0" borderId="0" xfId="62" applyFont="1" applyAlignment="1" applyProtection="1">
      <alignment horizontal="center" vertical="center"/>
    </xf>
    <xf numFmtId="0" fontId="0" fillId="0" borderId="0" xfId="0" applyProtection="1"/>
    <xf numFmtId="2" fontId="38" fillId="0" borderId="177" xfId="1" applyNumberFormat="1" applyFont="1" applyBorder="1" applyAlignment="1" applyProtection="1">
      <alignment horizontal="right" vertical="center" indent="1"/>
    </xf>
    <xf numFmtId="0" fontId="33" fillId="0" borderId="177" xfId="1" applyFont="1" applyFill="1" applyBorder="1" applyAlignment="1" applyProtection="1">
      <alignment horizontal="right" vertical="center" indent="1"/>
    </xf>
    <xf numFmtId="0" fontId="93" fillId="0" borderId="0" xfId="1" applyFont="1" applyFill="1" applyBorder="1" applyAlignment="1" applyProtection="1">
      <alignment vertical="center"/>
    </xf>
    <xf numFmtId="0" fontId="47" fillId="0" borderId="0" xfId="1" applyFont="1" applyFill="1" applyBorder="1" applyAlignment="1" applyProtection="1">
      <alignment vertical="center"/>
    </xf>
    <xf numFmtId="0" fontId="47" fillId="0" borderId="0" xfId="1" applyFont="1" applyFill="1" applyBorder="1" applyAlignment="1" applyProtection="1">
      <alignment horizontal="right" vertical="center"/>
    </xf>
    <xf numFmtId="9" fontId="47" fillId="0" borderId="0" xfId="62" applyFont="1" applyAlignment="1" applyProtection="1">
      <alignment horizontal="center" vertical="center"/>
    </xf>
    <xf numFmtId="0" fontId="93" fillId="0" borderId="0" xfId="0" applyFont="1" applyFill="1" applyBorder="1" applyAlignment="1" applyProtection="1">
      <alignment vertical="center"/>
    </xf>
    <xf numFmtId="0" fontId="47" fillId="0" borderId="0" xfId="1" applyFont="1" applyBorder="1" applyAlignment="1" applyProtection="1">
      <alignment vertical="center"/>
    </xf>
    <xf numFmtId="0" fontId="47" fillId="0" borderId="0" xfId="1" applyFont="1" applyBorder="1" applyAlignment="1" applyProtection="1">
      <alignment horizontal="left" vertical="center"/>
    </xf>
    <xf numFmtId="0" fontId="47" fillId="0" borderId="0" xfId="1" applyFont="1" applyFill="1" applyBorder="1" applyAlignment="1" applyProtection="1">
      <alignment horizontal="center" vertical="center"/>
    </xf>
    <xf numFmtId="0" fontId="31" fillId="0" borderId="0" xfId="0" applyFont="1" applyProtection="1"/>
    <xf numFmtId="0" fontId="109" fillId="0" borderId="0" xfId="64" quotePrefix="1" applyFont="1" applyAlignment="1" applyProtection="1">
      <alignment horizontal="center" vertical="center"/>
    </xf>
    <xf numFmtId="0" fontId="47" fillId="30" borderId="0" xfId="1" applyFont="1" applyFill="1" applyAlignment="1" applyProtection="1">
      <alignment horizontal="center" vertical="center"/>
    </xf>
    <xf numFmtId="0" fontId="33" fillId="0" borderId="124" xfId="1" applyFont="1" applyFill="1" applyBorder="1" applyAlignment="1" applyProtection="1">
      <alignment horizontal="right" vertical="center" indent="1"/>
    </xf>
    <xf numFmtId="0" fontId="35" fillId="0" borderId="0" xfId="64" applyAlignment="1" applyProtection="1">
      <alignment horizontal="center" vertical="center"/>
    </xf>
    <xf numFmtId="0" fontId="51" fillId="0" borderId="154" xfId="0" applyFont="1" applyFill="1" applyBorder="1" applyAlignment="1" applyProtection="1">
      <alignment vertical="center"/>
    </xf>
    <xf numFmtId="1" fontId="38" fillId="0" borderId="124" xfId="1" applyNumberFormat="1" applyFont="1" applyFill="1" applyBorder="1" applyAlignment="1" applyProtection="1">
      <alignment horizontal="right" vertical="center" indent="1"/>
    </xf>
    <xf numFmtId="0" fontId="31" fillId="0" borderId="0" xfId="0" applyFont="1" applyFill="1" applyProtection="1"/>
    <xf numFmtId="0" fontId="103" fillId="0" borderId="0" xfId="0" applyFont="1" applyProtection="1"/>
    <xf numFmtId="0" fontId="35" fillId="0" borderId="0" xfId="64" quotePrefix="1" applyAlignment="1" applyProtection="1">
      <alignment horizontal="center" vertical="center"/>
    </xf>
    <xf numFmtId="0" fontId="47" fillId="0" borderId="0" xfId="1" applyFont="1" applyAlignment="1" applyProtection="1">
      <alignment horizontal="left" vertical="center"/>
    </xf>
    <xf numFmtId="2" fontId="33" fillId="0" borderId="177" xfId="1" applyNumberFormat="1" applyFont="1" applyBorder="1" applyAlignment="1" applyProtection="1">
      <alignment horizontal="right" vertical="center" indent="1"/>
    </xf>
    <xf numFmtId="49" fontId="33" fillId="0" borderId="0" xfId="1" applyNumberFormat="1" applyFont="1" applyFill="1" applyAlignment="1" applyProtection="1">
      <alignment horizontal="center" vertical="center"/>
    </xf>
    <xf numFmtId="0" fontId="53" fillId="0" borderId="0" xfId="1" applyFont="1" applyFill="1" applyAlignment="1" applyProtection="1">
      <alignment horizontal="left" vertical="center"/>
    </xf>
    <xf numFmtId="0" fontId="41" fillId="0" borderId="0" xfId="1" applyFont="1" applyAlignment="1" applyProtection="1">
      <alignment vertical="center" wrapText="1"/>
    </xf>
    <xf numFmtId="168" fontId="33" fillId="0" borderId="0" xfId="1" applyNumberFormat="1" applyFont="1" applyAlignment="1" applyProtection="1">
      <alignment horizontal="center" vertical="center"/>
    </xf>
    <xf numFmtId="0" fontId="82" fillId="0" borderId="0" xfId="1" applyFont="1" applyFill="1" applyAlignment="1" applyProtection="1">
      <alignment horizontal="left" vertical="center"/>
    </xf>
    <xf numFmtId="0" fontId="82" fillId="0" borderId="0" xfId="1" applyFont="1" applyFill="1" applyAlignment="1" applyProtection="1">
      <alignment horizontal="center" vertical="center"/>
    </xf>
    <xf numFmtId="1" fontId="39" fillId="0" borderId="124" xfId="61" applyNumberFormat="1" applyFont="1" applyFill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0" fontId="33" fillId="0" borderId="125" xfId="0" applyFont="1" applyFill="1" applyBorder="1" applyAlignment="1">
      <alignment horizontal="center" vertical="center"/>
    </xf>
    <xf numFmtId="0" fontId="33" fillId="0" borderId="124" xfId="0" applyFont="1" applyFill="1" applyBorder="1" applyAlignment="1">
      <alignment horizontal="center" vertical="center"/>
    </xf>
    <xf numFmtId="0" fontId="33" fillId="0" borderId="127" xfId="0" applyFont="1" applyBorder="1" applyAlignment="1">
      <alignment horizontal="left" vertical="center"/>
    </xf>
    <xf numFmtId="0" fontId="33" fillId="0" borderId="154" xfId="0" applyFont="1" applyBorder="1" applyAlignment="1">
      <alignment horizontal="left" vertical="center"/>
    </xf>
    <xf numFmtId="0" fontId="33" fillId="0" borderId="125" xfId="0" applyFont="1" applyBorder="1" applyAlignment="1">
      <alignment horizontal="left" vertical="center"/>
    </xf>
    <xf numFmtId="0" fontId="2" fillId="57" borderId="107" xfId="2" applyFont="1" applyFill="1" applyBorder="1" applyAlignment="1">
      <alignment horizontal="center" vertical="center"/>
    </xf>
    <xf numFmtId="0" fontId="42" fillId="0" borderId="124" xfId="0" applyFont="1" applyFill="1" applyBorder="1" applyAlignment="1">
      <alignment horizontal="center" vertical="center" wrapText="1"/>
    </xf>
    <xf numFmtId="1" fontId="33" fillId="0" borderId="124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3" fillId="30" borderId="107" xfId="0" applyFont="1" applyFill="1" applyBorder="1" applyAlignment="1">
      <alignment horizontal="center" vertical="center"/>
    </xf>
    <xf numFmtId="0" fontId="2" fillId="0" borderId="84" xfId="0" applyFont="1" applyFill="1" applyBorder="1" applyAlignment="1">
      <alignment horizontal="left" vertical="center"/>
    </xf>
    <xf numFmtId="0" fontId="2" fillId="0" borderId="99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32" borderId="67" xfId="0" applyFont="1" applyFill="1" applyBorder="1" applyAlignment="1">
      <alignment horizontal="center" vertical="center"/>
    </xf>
    <xf numFmtId="1" fontId="33" fillId="0" borderId="153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9" fillId="0" borderId="15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33" fillId="0" borderId="124" xfId="0" applyFont="1" applyBorder="1" applyAlignment="1">
      <alignment horizontal="center" vertical="center"/>
    </xf>
    <xf numFmtId="174" fontId="33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Font="1" applyBorder="1" applyAlignment="1" applyProtection="1">
      <alignment horizontal="left" vertical="center"/>
      <protection locked="0"/>
    </xf>
    <xf numFmtId="0" fontId="149" fillId="0" borderId="0" xfId="0" applyFont="1" applyAlignment="1" applyProtection="1">
      <alignment horizontal="center" vertical="center" wrapText="1"/>
    </xf>
    <xf numFmtId="174" fontId="33" fillId="0" borderId="0" xfId="0" applyNumberFormat="1" applyFont="1" applyBorder="1" applyAlignment="1" applyProtection="1">
      <alignment horizontal="center" vertical="center"/>
    </xf>
    <xf numFmtId="0" fontId="33" fillId="0" borderId="124" xfId="0" applyFont="1" applyFill="1" applyBorder="1" applyAlignment="1">
      <alignment horizontal="center" vertical="center"/>
    </xf>
    <xf numFmtId="0" fontId="33" fillId="0" borderId="127" xfId="0" applyFont="1" applyBorder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124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07" fillId="0" borderId="0" xfId="0" applyFont="1"/>
    <xf numFmtId="0" fontId="62" fillId="0" borderId="0" xfId="0" applyFont="1" applyBorder="1" applyAlignment="1">
      <alignment horizontal="center" vertical="center"/>
    </xf>
    <xf numFmtId="0" fontId="112" fillId="0" borderId="0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127" xfId="0" applyFont="1" applyFill="1" applyBorder="1" applyAlignment="1">
      <alignment horizontal="center" vertical="center"/>
    </xf>
    <xf numFmtId="0" fontId="33" fillId="0" borderId="154" xfId="0" applyFont="1" applyFill="1" applyBorder="1" applyAlignment="1">
      <alignment horizontal="center" vertical="center"/>
    </xf>
    <xf numFmtId="0" fontId="33" fillId="0" borderId="125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113" fillId="60" borderId="124" xfId="0" applyFont="1" applyFill="1" applyBorder="1" applyAlignment="1">
      <alignment horizontal="left" vertical="center" wrapText="1"/>
    </xf>
    <xf numFmtId="0" fontId="113" fillId="60" borderId="124" xfId="0" applyFont="1" applyFill="1" applyBorder="1" applyAlignment="1">
      <alignment horizontal="left" vertical="center"/>
    </xf>
    <xf numFmtId="14" fontId="33" fillId="0" borderId="124" xfId="0" applyNumberFormat="1" applyFont="1" applyFill="1" applyBorder="1" applyAlignment="1">
      <alignment horizontal="center" vertical="center"/>
    </xf>
    <xf numFmtId="0" fontId="33" fillId="0" borderId="124" xfId="0" applyNumberFormat="1" applyFont="1" applyFill="1" applyBorder="1" applyAlignment="1">
      <alignment horizontal="center" vertical="center"/>
    </xf>
    <xf numFmtId="0" fontId="33" fillId="0" borderId="124" xfId="0" applyFont="1" applyFill="1" applyBorder="1" applyAlignment="1">
      <alignment horizontal="center" vertical="center"/>
    </xf>
    <xf numFmtId="0" fontId="33" fillId="0" borderId="124" xfId="0" applyNumberFormat="1" applyFont="1" applyFill="1" applyBorder="1" applyAlignment="1">
      <alignment horizontal="center" vertical="center" wrapText="1"/>
    </xf>
    <xf numFmtId="0" fontId="33" fillId="0" borderId="124" xfId="0" applyFont="1" applyFill="1" applyBorder="1" applyAlignment="1">
      <alignment horizontal="left" vertical="center" wrapText="1" indent="1"/>
    </xf>
    <xf numFmtId="0" fontId="26" fillId="0" borderId="100" xfId="0" applyFont="1" applyBorder="1" applyAlignment="1">
      <alignment horizontal="left" indent="2"/>
    </xf>
    <xf numFmtId="0" fontId="37" fillId="0" borderId="72" xfId="0" applyFont="1" applyBorder="1" applyAlignment="1">
      <alignment horizontal="left" indent="2"/>
    </xf>
    <xf numFmtId="0" fontId="37" fillId="0" borderId="102" xfId="0" applyFont="1" applyBorder="1" applyAlignment="1">
      <alignment horizontal="left" indent="2"/>
    </xf>
    <xf numFmtId="0" fontId="37" fillId="0" borderId="73" xfId="0" applyFont="1" applyBorder="1" applyAlignment="1">
      <alignment horizontal="left" indent="2"/>
    </xf>
    <xf numFmtId="0" fontId="26" fillId="0" borderId="72" xfId="0" applyFont="1" applyBorder="1" applyAlignment="1">
      <alignment horizontal="center"/>
    </xf>
    <xf numFmtId="0" fontId="26" fillId="0" borderId="102" xfId="0" applyFont="1" applyBorder="1" applyAlignment="1">
      <alignment horizontal="center"/>
    </xf>
    <xf numFmtId="0" fontId="26" fillId="0" borderId="73" xfId="0" applyFont="1" applyBorder="1" applyAlignment="1">
      <alignment horizontal="center"/>
    </xf>
    <xf numFmtId="0" fontId="26" fillId="0" borderId="1" xfId="0" applyFont="1" applyBorder="1" applyAlignment="1">
      <alignment horizontal="left" indent="2"/>
    </xf>
    <xf numFmtId="0" fontId="26" fillId="0" borderId="74" xfId="0" applyFont="1" applyBorder="1" applyAlignment="1">
      <alignment horizontal="left" indent="2"/>
    </xf>
    <xf numFmtId="0" fontId="26" fillId="0" borderId="72" xfId="0" applyFont="1" applyBorder="1" applyAlignment="1">
      <alignment horizontal="center" vertical="center"/>
    </xf>
    <xf numFmtId="0" fontId="26" fillId="0" borderId="73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/>
    </xf>
    <xf numFmtId="0" fontId="78" fillId="0" borderId="58" xfId="0" applyFont="1" applyBorder="1" applyAlignment="1">
      <alignment vertical="center" wrapText="1"/>
    </xf>
    <xf numFmtId="0" fontId="26" fillId="0" borderId="1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78" fillId="0" borderId="68" xfId="0" applyFont="1" applyBorder="1" applyAlignment="1">
      <alignment vertical="center" wrapText="1"/>
    </xf>
    <xf numFmtId="0" fontId="78" fillId="0" borderId="65" xfId="0" applyFont="1" applyBorder="1" applyAlignment="1">
      <alignment vertical="center" wrapText="1"/>
    </xf>
    <xf numFmtId="0" fontId="78" fillId="0" borderId="69" xfId="0" applyFont="1" applyBorder="1" applyAlignment="1">
      <alignment vertical="center" wrapText="1"/>
    </xf>
    <xf numFmtId="0" fontId="78" fillId="0" borderId="12" xfId="0" applyFont="1" applyBorder="1" applyAlignment="1">
      <alignment vertical="center" wrapText="1"/>
    </xf>
    <xf numFmtId="0" fontId="78" fillId="0" borderId="0" xfId="0" applyFont="1" applyBorder="1" applyAlignment="1">
      <alignment vertical="center" wrapText="1"/>
    </xf>
    <xf numFmtId="0" fontId="78" fillId="0" borderId="17" xfId="0" applyFont="1" applyBorder="1" applyAlignment="1">
      <alignment vertical="center" wrapText="1"/>
    </xf>
    <xf numFmtId="0" fontId="78" fillId="0" borderId="15" xfId="0" applyFont="1" applyBorder="1" applyAlignment="1">
      <alignment vertical="center" wrapText="1"/>
    </xf>
    <xf numFmtId="0" fontId="78" fillId="0" borderId="14" xfId="0" applyFont="1" applyBorder="1" applyAlignment="1">
      <alignment vertical="center" wrapText="1"/>
    </xf>
    <xf numFmtId="0" fontId="78" fillId="0" borderId="16" xfId="0" applyFont="1" applyBorder="1" applyAlignment="1">
      <alignment vertical="center" wrapText="1"/>
    </xf>
    <xf numFmtId="0" fontId="26" fillId="0" borderId="74" xfId="0" applyFont="1" applyBorder="1" applyAlignment="1">
      <alignment horizontal="center" vertical="center"/>
    </xf>
    <xf numFmtId="0" fontId="78" fillId="0" borderId="70" xfId="0" applyFont="1" applyBorder="1" applyAlignment="1">
      <alignment vertical="center" wrapText="1"/>
    </xf>
    <xf numFmtId="0" fontId="26" fillId="0" borderId="107" xfId="0" applyFont="1" applyBorder="1" applyAlignment="1">
      <alignment horizontal="center" vertical="center"/>
    </xf>
    <xf numFmtId="0" fontId="78" fillId="0" borderId="107" xfId="0" applyFont="1" applyBorder="1" applyAlignment="1">
      <alignment vertical="center" wrapText="1"/>
    </xf>
    <xf numFmtId="0" fontId="26" fillId="0" borderId="63" xfId="0" applyFont="1" applyBorder="1" applyAlignment="1">
      <alignment horizontal="center" vertical="center"/>
    </xf>
    <xf numFmtId="0" fontId="78" fillId="0" borderId="64" xfId="0" applyFont="1" applyBorder="1" applyAlignment="1">
      <alignment vertical="center" wrapText="1"/>
    </xf>
    <xf numFmtId="0" fontId="78" fillId="0" borderId="66" xfId="0" applyFont="1" applyBorder="1" applyAlignment="1">
      <alignment vertical="center" wrapText="1"/>
    </xf>
    <xf numFmtId="0" fontId="0" fillId="0" borderId="59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6" fillId="0" borderId="61" xfId="0" applyFont="1" applyBorder="1" applyAlignment="1">
      <alignment horizontal="center" vertical="center"/>
    </xf>
    <xf numFmtId="0" fontId="26" fillId="48" borderId="72" xfId="0" applyFont="1" applyFill="1" applyBorder="1" applyAlignment="1">
      <alignment horizontal="center" vertical="center"/>
    </xf>
    <xf numFmtId="0" fontId="26" fillId="48" borderId="102" xfId="0" applyFont="1" applyFill="1" applyBorder="1" applyAlignment="1">
      <alignment horizontal="center" vertical="center"/>
    </xf>
    <xf numFmtId="0" fontId="26" fillId="48" borderId="73" xfId="0" applyFont="1" applyFill="1" applyBorder="1" applyAlignment="1">
      <alignment horizontal="center" vertical="center"/>
    </xf>
    <xf numFmtId="0" fontId="26" fillId="24" borderId="70" xfId="0" applyFont="1" applyFill="1" applyBorder="1" applyAlignment="1">
      <alignment horizontal="left" indent="1"/>
    </xf>
    <xf numFmtId="0" fontId="26" fillId="24" borderId="75" xfId="0" applyFont="1" applyFill="1" applyBorder="1" applyAlignment="1">
      <alignment horizontal="left" indent="1"/>
    </xf>
    <xf numFmtId="0" fontId="26" fillId="24" borderId="71" xfId="0" applyFont="1" applyFill="1" applyBorder="1" applyAlignment="1">
      <alignment horizontal="left" indent="1"/>
    </xf>
    <xf numFmtId="0" fontId="26" fillId="0" borderId="107" xfId="0" applyFont="1" applyBorder="1" applyAlignment="1">
      <alignment horizontal="center"/>
    </xf>
    <xf numFmtId="0" fontId="26" fillId="0" borderId="79" xfId="0" applyFont="1" applyBorder="1" applyAlignment="1">
      <alignment horizontal="left" vertical="center"/>
    </xf>
    <xf numFmtId="0" fontId="26" fillId="0" borderId="79" xfId="0" applyFont="1" applyBorder="1" applyAlignment="1">
      <alignment horizontal="left" wrapText="1"/>
    </xf>
    <xf numFmtId="0" fontId="26" fillId="29" borderId="72" xfId="0" applyFont="1" applyFill="1" applyBorder="1" applyAlignment="1">
      <alignment horizontal="left"/>
    </xf>
    <xf numFmtId="0" fontId="26" fillId="29" borderId="102" xfId="0" applyFont="1" applyFill="1" applyBorder="1" applyAlignment="1">
      <alignment horizontal="left"/>
    </xf>
    <xf numFmtId="0" fontId="26" fillId="29" borderId="73" xfId="0" applyFont="1" applyFill="1" applyBorder="1" applyAlignment="1">
      <alignment horizontal="left"/>
    </xf>
    <xf numFmtId="0" fontId="26" fillId="0" borderId="102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 vertical="center" wrapText="1"/>
    </xf>
    <xf numFmtId="0" fontId="33" fillId="0" borderId="73" xfId="0" applyFont="1" applyBorder="1" applyAlignment="1">
      <alignment horizontal="center" vertical="center" wrapText="1"/>
    </xf>
    <xf numFmtId="9" fontId="35" fillId="0" borderId="124" xfId="64" applyNumberFormat="1" applyBorder="1" applyAlignment="1">
      <alignment horizontal="center" vertical="center" wrapText="1"/>
    </xf>
    <xf numFmtId="0" fontId="33" fillId="0" borderId="85" xfId="0" applyFont="1" applyBorder="1" applyAlignment="1">
      <alignment horizontal="center" vertical="center" wrapText="1"/>
    </xf>
    <xf numFmtId="0" fontId="33" fillId="0" borderId="183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33" fillId="0" borderId="182" xfId="0" applyFont="1" applyBorder="1" applyAlignment="1">
      <alignment horizontal="center" vertical="center" wrapText="1"/>
    </xf>
    <xf numFmtId="0" fontId="33" fillId="0" borderId="87" xfId="0" applyFont="1" applyBorder="1" applyAlignment="1">
      <alignment horizontal="center" vertical="center" wrapText="1"/>
    </xf>
    <xf numFmtId="0" fontId="33" fillId="0" borderId="184" xfId="0" applyFont="1" applyBorder="1" applyAlignment="1">
      <alignment horizontal="center" vertical="center" wrapText="1"/>
    </xf>
    <xf numFmtId="0" fontId="33" fillId="0" borderId="124" xfId="0" applyFont="1" applyBorder="1" applyAlignment="1">
      <alignment horizontal="left" vertical="center"/>
    </xf>
    <xf numFmtId="0" fontId="33" fillId="0" borderId="127" xfId="0" applyFont="1" applyBorder="1" applyAlignment="1">
      <alignment horizontal="left" vertical="center"/>
    </xf>
    <xf numFmtId="0" fontId="33" fillId="0" borderId="154" xfId="0" applyFont="1" applyBorder="1" applyAlignment="1">
      <alignment horizontal="left" vertical="center"/>
    </xf>
    <xf numFmtId="0" fontId="33" fillId="0" borderId="124" xfId="0" applyFont="1" applyBorder="1" applyAlignment="1">
      <alignment horizontal="left" vertical="center" wrapText="1" indent="1"/>
    </xf>
    <xf numFmtId="0" fontId="78" fillId="0" borderId="57" xfId="0" applyFont="1" applyBorder="1" applyAlignment="1">
      <alignment horizontal="left" vertical="center"/>
    </xf>
    <xf numFmtId="0" fontId="78" fillId="0" borderId="115" xfId="0" applyFont="1" applyBorder="1" applyAlignment="1">
      <alignment horizontal="left" vertical="center"/>
    </xf>
    <xf numFmtId="0" fontId="78" fillId="0" borderId="120" xfId="0" applyFont="1" applyBorder="1" applyAlignment="1">
      <alignment horizontal="left" vertical="center"/>
    </xf>
    <xf numFmtId="0" fontId="78" fillId="0" borderId="68" xfId="0" applyFont="1" applyBorder="1" applyAlignment="1">
      <alignment horizontal="left" vertical="center" wrapText="1"/>
    </xf>
    <xf numFmtId="0" fontId="78" fillId="0" borderId="65" xfId="0" applyFont="1" applyBorder="1" applyAlignment="1">
      <alignment horizontal="left" vertical="center" wrapText="1"/>
    </xf>
    <xf numFmtId="0" fontId="78" fillId="0" borderId="69" xfId="0" applyFont="1" applyBorder="1" applyAlignment="1">
      <alignment horizontal="left" vertical="center" wrapText="1"/>
    </xf>
    <xf numFmtId="0" fontId="78" fillId="0" borderId="12" xfId="0" applyFont="1" applyBorder="1" applyAlignment="1">
      <alignment horizontal="left" vertical="center" wrapText="1"/>
    </xf>
    <xf numFmtId="0" fontId="78" fillId="0" borderId="0" xfId="0" applyFont="1" applyBorder="1" applyAlignment="1">
      <alignment horizontal="left" vertical="center" wrapText="1"/>
    </xf>
    <xf numFmtId="0" fontId="78" fillId="0" borderId="17" xfId="0" applyFont="1" applyBorder="1" applyAlignment="1">
      <alignment horizontal="left" vertical="center" wrapText="1"/>
    </xf>
    <xf numFmtId="0" fontId="78" fillId="0" borderId="15" xfId="0" applyFont="1" applyBorder="1" applyAlignment="1">
      <alignment horizontal="left" vertical="center" wrapText="1"/>
    </xf>
    <xf numFmtId="0" fontId="78" fillId="0" borderId="14" xfId="0" applyFont="1" applyBorder="1" applyAlignment="1">
      <alignment horizontal="left" vertical="center" wrapText="1"/>
    </xf>
    <xf numFmtId="0" fontId="78" fillId="0" borderId="16" xfId="0" applyFont="1" applyBorder="1" applyAlignment="1">
      <alignment horizontal="left" vertical="center" wrapText="1"/>
    </xf>
    <xf numFmtId="0" fontId="38" fillId="0" borderId="124" xfId="0" applyFont="1" applyBorder="1" applyAlignment="1">
      <alignment horizontal="right" vertical="center"/>
    </xf>
    <xf numFmtId="0" fontId="38" fillId="0" borderId="124" xfId="0" applyFont="1" applyBorder="1" applyAlignment="1">
      <alignment horizontal="center" vertical="center"/>
    </xf>
    <xf numFmtId="0" fontId="41" fillId="0" borderId="0" xfId="64" applyFont="1" applyBorder="1" applyAlignment="1">
      <alignment horizontal="left" vertical="center" wrapText="1"/>
    </xf>
    <xf numFmtId="0" fontId="35" fillId="0" borderId="124" xfId="64" applyBorder="1" applyAlignment="1">
      <alignment horizontal="center" vertical="center" wrapText="1"/>
    </xf>
    <xf numFmtId="0" fontId="35" fillId="0" borderId="124" xfId="64" applyFill="1" applyBorder="1" applyAlignment="1">
      <alignment horizontal="center" vertical="center" wrapText="1"/>
    </xf>
    <xf numFmtId="0" fontId="33" fillId="0" borderId="125" xfId="0" applyFont="1" applyBorder="1" applyAlignment="1">
      <alignment horizontal="left" vertical="center"/>
    </xf>
    <xf numFmtId="0" fontId="38" fillId="0" borderId="124" xfId="0" applyFont="1" applyBorder="1" applyAlignment="1">
      <alignment horizontal="center" vertical="center" wrapText="1"/>
    </xf>
    <xf numFmtId="0" fontId="138" fillId="0" borderId="0" xfId="64" applyFont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33" fillId="0" borderId="185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86" xfId="0" applyFont="1" applyBorder="1" applyAlignment="1">
      <alignment horizontal="center" vertical="center" wrapText="1"/>
    </xf>
    <xf numFmtId="0" fontId="33" fillId="0" borderId="18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96" xfId="0" applyFont="1" applyBorder="1" applyAlignment="1">
      <alignment horizontal="center" vertical="center" wrapText="1"/>
    </xf>
    <xf numFmtId="0" fontId="33" fillId="0" borderId="186" xfId="0" applyFont="1" applyBorder="1" applyAlignment="1">
      <alignment horizontal="center" vertical="center" wrapText="1"/>
    </xf>
    <xf numFmtId="0" fontId="33" fillId="0" borderId="101" xfId="0" applyFont="1" applyBorder="1" applyAlignment="1">
      <alignment horizontal="center" vertical="center" wrapText="1"/>
    </xf>
    <xf numFmtId="0" fontId="33" fillId="0" borderId="88" xfId="0" applyFont="1" applyBorder="1" applyAlignment="1">
      <alignment horizontal="center" vertical="center" wrapText="1"/>
    </xf>
    <xf numFmtId="0" fontId="33" fillId="0" borderId="124" xfId="0" applyFont="1" applyBorder="1" applyAlignment="1">
      <alignment horizontal="left" vertical="center" wrapText="1"/>
    </xf>
    <xf numFmtId="0" fontId="111" fillId="0" borderId="0" xfId="64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0" fontId="71" fillId="0" borderId="0" xfId="64" applyFont="1" applyBorder="1" applyAlignment="1">
      <alignment horizontal="center" vertical="center"/>
    </xf>
    <xf numFmtId="0" fontId="104" fillId="0" borderId="0" xfId="64" applyFont="1" applyAlignment="1">
      <alignment horizontal="center" vertical="center" wrapText="1"/>
    </xf>
    <xf numFmtId="0" fontId="75" fillId="0" borderId="0" xfId="64" applyFont="1" applyAlignment="1">
      <alignment horizontal="center" vertical="center" wrapText="1"/>
    </xf>
    <xf numFmtId="0" fontId="33" fillId="28" borderId="0" xfId="0" applyFont="1" applyFill="1" applyBorder="1" applyAlignment="1">
      <alignment horizontal="center" vertical="center"/>
    </xf>
    <xf numFmtId="0" fontId="33" fillId="27" borderId="0" xfId="0" applyFont="1" applyFill="1" applyBorder="1" applyAlignment="1">
      <alignment horizontal="center" vertical="center"/>
    </xf>
    <xf numFmtId="0" fontId="33" fillId="0" borderId="127" xfId="0" applyFont="1" applyFill="1" applyBorder="1" applyAlignment="1">
      <alignment horizontal="left" vertical="center"/>
    </xf>
    <xf numFmtId="0" fontId="33" fillId="0" borderId="125" xfId="0" applyFont="1" applyFill="1" applyBorder="1" applyAlignment="1">
      <alignment horizontal="left" vertical="center"/>
    </xf>
    <xf numFmtId="0" fontId="33" fillId="0" borderId="154" xfId="0" applyFont="1" applyFill="1" applyBorder="1" applyAlignment="1">
      <alignment horizontal="left" vertical="center"/>
    </xf>
    <xf numFmtId="0" fontId="38" fillId="0" borderId="155" xfId="0" applyFont="1" applyFill="1" applyBorder="1" applyAlignment="1">
      <alignment horizontal="center" vertical="center"/>
    </xf>
    <xf numFmtId="0" fontId="38" fillId="0" borderId="156" xfId="0" applyFont="1" applyFill="1" applyBorder="1" applyAlignment="1">
      <alignment horizontal="center" vertical="center"/>
    </xf>
    <xf numFmtId="0" fontId="38" fillId="0" borderId="157" xfId="0" applyFont="1" applyFill="1" applyBorder="1" applyAlignment="1">
      <alignment horizontal="center" vertical="center"/>
    </xf>
    <xf numFmtId="0" fontId="38" fillId="0" borderId="158" xfId="0" applyFont="1" applyFill="1" applyBorder="1" applyAlignment="1">
      <alignment horizontal="center" vertical="center"/>
    </xf>
    <xf numFmtId="0" fontId="38" fillId="0" borderId="159" xfId="0" applyFont="1" applyFill="1" applyBorder="1" applyAlignment="1">
      <alignment horizontal="center" vertical="center"/>
    </xf>
    <xf numFmtId="0" fontId="38" fillId="0" borderId="160" xfId="0" applyFont="1" applyFill="1" applyBorder="1" applyAlignment="1">
      <alignment horizontal="center" vertical="center"/>
    </xf>
    <xf numFmtId="0" fontId="38" fillId="0" borderId="126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3" fillId="0" borderId="127" xfId="0" applyFont="1" applyFill="1" applyBorder="1" applyAlignment="1">
      <alignment horizontal="left" vertical="center" wrapText="1"/>
    </xf>
    <xf numFmtId="0" fontId="33" fillId="0" borderId="154" xfId="0" applyFont="1" applyFill="1" applyBorder="1" applyAlignment="1">
      <alignment horizontal="left" vertical="center" wrapText="1"/>
    </xf>
    <xf numFmtId="0" fontId="33" fillId="0" borderId="125" xfId="0" applyFont="1" applyFill="1" applyBorder="1" applyAlignment="1">
      <alignment horizontal="left" vertical="center" wrapText="1"/>
    </xf>
    <xf numFmtId="0" fontId="38" fillId="61" borderId="154" xfId="0" applyNumberFormat="1" applyFont="1" applyFill="1" applyBorder="1" applyAlignment="1">
      <alignment horizontal="left" vertical="center" wrapText="1" indent="1"/>
    </xf>
    <xf numFmtId="0" fontId="38" fillId="61" borderId="156" xfId="0" applyNumberFormat="1" applyFont="1" applyFill="1" applyBorder="1" applyAlignment="1">
      <alignment horizontal="left" vertical="center" wrapText="1" indent="1"/>
    </xf>
    <xf numFmtId="0" fontId="38" fillId="61" borderId="157" xfId="0" applyNumberFormat="1" applyFont="1" applyFill="1" applyBorder="1" applyAlignment="1">
      <alignment horizontal="left" vertical="center" wrapText="1" indent="1"/>
    </xf>
    <xf numFmtId="0" fontId="38" fillId="61" borderId="125" xfId="0" applyNumberFormat="1" applyFont="1" applyFill="1" applyBorder="1" applyAlignment="1">
      <alignment horizontal="left" vertical="center" wrapText="1" indent="1"/>
    </xf>
    <xf numFmtId="0" fontId="2" fillId="35" borderId="107" xfId="2" applyFont="1" applyFill="1" applyBorder="1" applyAlignment="1">
      <alignment horizontal="center" vertical="center" wrapText="1"/>
    </xf>
    <xf numFmtId="0" fontId="53" fillId="40" borderId="84" xfId="0" applyFont="1" applyFill="1" applyBorder="1" applyAlignment="1">
      <alignment horizontal="center" vertical="center"/>
    </xf>
    <xf numFmtId="0" fontId="53" fillId="40" borderId="98" xfId="0" applyFont="1" applyFill="1" applyBorder="1" applyAlignment="1">
      <alignment horizontal="center" vertical="center"/>
    </xf>
    <xf numFmtId="0" fontId="53" fillId="40" borderId="99" xfId="0" applyFont="1" applyFill="1" applyBorder="1" applyAlignment="1">
      <alignment horizontal="center" vertical="center"/>
    </xf>
    <xf numFmtId="0" fontId="54" fillId="27" borderId="84" xfId="2" applyFont="1" applyFill="1" applyBorder="1" applyAlignment="1">
      <alignment horizontal="center" vertical="center"/>
    </xf>
    <xf numFmtId="0" fontId="54" fillId="27" borderId="98" xfId="2" applyFont="1" applyFill="1" applyBorder="1" applyAlignment="1">
      <alignment horizontal="center" vertical="center"/>
    </xf>
    <xf numFmtId="0" fontId="54" fillId="27" borderId="99" xfId="2" applyFont="1" applyFill="1" applyBorder="1" applyAlignment="1">
      <alignment horizontal="center" vertical="center"/>
    </xf>
    <xf numFmtId="0" fontId="2" fillId="38" borderId="74" xfId="2" applyFont="1" applyFill="1" applyBorder="1" applyAlignment="1">
      <alignment horizontal="center" vertical="center"/>
    </xf>
    <xf numFmtId="0" fontId="2" fillId="38" borderId="11" xfId="2" applyFont="1" applyFill="1" applyBorder="1" applyAlignment="1">
      <alignment horizontal="center" vertical="center"/>
    </xf>
    <xf numFmtId="0" fontId="2" fillId="38" borderId="1" xfId="2" applyFont="1" applyFill="1" applyBorder="1" applyAlignment="1">
      <alignment horizontal="center" vertical="center"/>
    </xf>
    <xf numFmtId="0" fontId="39" fillId="0" borderId="150" xfId="0" applyFont="1" applyFill="1" applyBorder="1" applyAlignment="1">
      <alignment horizontal="center" vertical="center"/>
    </xf>
    <xf numFmtId="0" fontId="39" fillId="0" borderId="151" xfId="0" applyFont="1" applyFill="1" applyBorder="1" applyAlignment="1">
      <alignment horizontal="center" vertical="center"/>
    </xf>
    <xf numFmtId="0" fontId="39" fillId="0" borderId="152" xfId="0" applyFont="1" applyFill="1" applyBorder="1" applyAlignment="1">
      <alignment horizontal="center" vertical="center"/>
    </xf>
    <xf numFmtId="0" fontId="38" fillId="61" borderId="159" xfId="0" applyNumberFormat="1" applyFont="1" applyFill="1" applyBorder="1" applyAlignment="1">
      <alignment horizontal="left" vertical="center" wrapText="1" indent="1"/>
    </xf>
    <xf numFmtId="0" fontId="38" fillId="61" borderId="160" xfId="0" applyNumberFormat="1" applyFont="1" applyFill="1" applyBorder="1" applyAlignment="1">
      <alignment horizontal="left" vertical="center" wrapText="1" indent="1"/>
    </xf>
    <xf numFmtId="0" fontId="39" fillId="0" borderId="138" xfId="0" applyFont="1" applyBorder="1" applyAlignment="1">
      <alignment horizontal="center" vertical="center" wrapText="1"/>
    </xf>
    <xf numFmtId="0" fontId="39" fillId="0" borderId="139" xfId="0" applyFont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center"/>
    </xf>
    <xf numFmtId="0" fontId="39" fillId="0" borderId="99" xfId="0" applyFont="1" applyFill="1" applyBorder="1" applyAlignment="1">
      <alignment horizontal="center" vertical="center"/>
    </xf>
    <xf numFmtId="0" fontId="39" fillId="0" borderId="67" xfId="0" applyFont="1" applyFill="1" applyBorder="1" applyAlignment="1">
      <alignment horizontal="center" vertical="center"/>
    </xf>
    <xf numFmtId="0" fontId="39" fillId="0" borderId="84" xfId="0" applyFont="1" applyFill="1" applyBorder="1" applyAlignment="1">
      <alignment horizontal="center" vertical="center"/>
    </xf>
    <xf numFmtId="0" fontId="39" fillId="0" borderId="69" xfId="0" applyFont="1" applyFill="1" applyBorder="1" applyAlignment="1">
      <alignment horizontal="center" vertical="center"/>
    </xf>
    <xf numFmtId="0" fontId="39" fillId="0" borderId="74" xfId="0" applyFont="1" applyFill="1" applyBorder="1" applyAlignment="1">
      <alignment horizontal="center" vertical="center"/>
    </xf>
    <xf numFmtId="0" fontId="39" fillId="0" borderId="68" xfId="0" applyFont="1" applyFill="1" applyBorder="1" applyAlignment="1">
      <alignment horizontal="center" vertical="center"/>
    </xf>
    <xf numFmtId="0" fontId="39" fillId="0" borderId="14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98" xfId="0" applyFont="1" applyBorder="1" applyAlignment="1">
      <alignment horizontal="center" vertical="center" wrapText="1"/>
    </xf>
    <xf numFmtId="0" fontId="38" fillId="0" borderId="6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0" fontId="38" fillId="0" borderId="139" xfId="0" applyFont="1" applyBorder="1" applyAlignment="1">
      <alignment horizontal="center" vertical="center" wrapText="1"/>
    </xf>
    <xf numFmtId="0" fontId="38" fillId="0" borderId="140" xfId="0" applyFont="1" applyBorder="1" applyAlignment="1">
      <alignment horizontal="center" vertical="center" wrapText="1"/>
    </xf>
    <xf numFmtId="0" fontId="86" fillId="0" borderId="129" xfId="0" applyFont="1" applyBorder="1" applyAlignment="1">
      <alignment horizontal="right" vertical="center"/>
    </xf>
    <xf numFmtId="0" fontId="86" fillId="0" borderId="130" xfId="0" applyFont="1" applyBorder="1" applyAlignment="1">
      <alignment horizontal="right" vertical="center"/>
    </xf>
    <xf numFmtId="0" fontId="86" fillId="0" borderId="132" xfId="0" applyFont="1" applyBorder="1" applyAlignment="1">
      <alignment horizontal="right" vertical="center"/>
    </xf>
    <xf numFmtId="0" fontId="86" fillId="0" borderId="0" xfId="0" applyFont="1" applyBorder="1" applyAlignment="1">
      <alignment horizontal="right" vertical="center"/>
    </xf>
    <xf numFmtId="0" fontId="86" fillId="0" borderId="149" xfId="0" applyFont="1" applyBorder="1" applyAlignment="1">
      <alignment horizontal="right" vertical="center"/>
    </xf>
    <xf numFmtId="0" fontId="86" fillId="0" borderId="141" xfId="0" applyFont="1" applyBorder="1" applyAlignment="1">
      <alignment horizontal="right" vertical="center"/>
    </xf>
    <xf numFmtId="0" fontId="86" fillId="0" borderId="130" xfId="0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left" vertical="center"/>
    </xf>
    <xf numFmtId="0" fontId="86" fillId="0" borderId="141" xfId="0" applyFont="1" applyFill="1" applyBorder="1" applyAlignment="1">
      <alignment horizontal="left" vertical="center"/>
    </xf>
    <xf numFmtId="0" fontId="65" fillId="0" borderId="130" xfId="0" applyFont="1" applyBorder="1" applyAlignment="1">
      <alignment horizontal="right" vertical="center" wrapText="1" indent="2"/>
    </xf>
    <xf numFmtId="0" fontId="65" fillId="0" borderId="131" xfId="0" applyFont="1" applyBorder="1" applyAlignment="1">
      <alignment horizontal="right" vertical="center" wrapText="1" indent="2"/>
    </xf>
    <xf numFmtId="0" fontId="65" fillId="0" borderId="0" xfId="0" applyFont="1" applyBorder="1" applyAlignment="1">
      <alignment horizontal="right" vertical="center" wrapText="1" indent="2"/>
    </xf>
    <xf numFmtId="0" fontId="65" fillId="0" borderId="133" xfId="0" applyFont="1" applyBorder="1" applyAlignment="1">
      <alignment horizontal="right" vertical="center" wrapText="1" indent="2"/>
    </xf>
    <xf numFmtId="0" fontId="65" fillId="0" borderId="141" xfId="0" applyFont="1" applyBorder="1" applyAlignment="1">
      <alignment horizontal="right" vertical="center" wrapText="1" indent="2"/>
    </xf>
    <xf numFmtId="0" fontId="65" fillId="0" borderId="165" xfId="0" applyFont="1" applyBorder="1" applyAlignment="1">
      <alignment horizontal="right" vertical="center" wrapText="1" indent="2"/>
    </xf>
    <xf numFmtId="0" fontId="2" fillId="42" borderId="68" xfId="2" applyFont="1" applyFill="1" applyBorder="1" applyAlignment="1">
      <alignment horizontal="center" vertical="center" wrapText="1"/>
    </xf>
    <xf numFmtId="0" fontId="2" fillId="42" borderId="65" xfId="2" applyFont="1" applyFill="1" applyBorder="1" applyAlignment="1">
      <alignment horizontal="center" vertical="center" wrapText="1"/>
    </xf>
    <xf numFmtId="0" fontId="2" fillId="42" borderId="69" xfId="2" applyFont="1" applyFill="1" applyBorder="1" applyAlignment="1">
      <alignment horizontal="center" vertical="center" wrapText="1"/>
    </xf>
    <xf numFmtId="0" fontId="53" fillId="59" borderId="84" xfId="0" applyFont="1" applyFill="1" applyBorder="1" applyAlignment="1">
      <alignment horizontal="center" vertical="center"/>
    </xf>
    <xf numFmtId="0" fontId="53" fillId="59" borderId="98" xfId="0" applyFont="1" applyFill="1" applyBorder="1" applyAlignment="1">
      <alignment horizontal="center" vertical="center"/>
    </xf>
    <xf numFmtId="0" fontId="53" fillId="59" borderId="99" xfId="0" applyFont="1" applyFill="1" applyBorder="1" applyAlignment="1">
      <alignment horizontal="center" vertical="center"/>
    </xf>
    <xf numFmtId="0" fontId="54" fillId="59" borderId="84" xfId="2" applyFont="1" applyFill="1" applyBorder="1" applyAlignment="1">
      <alignment horizontal="center" vertical="center"/>
    </xf>
    <xf numFmtId="0" fontId="54" fillId="59" borderId="98" xfId="2" applyFont="1" applyFill="1" applyBorder="1" applyAlignment="1">
      <alignment horizontal="center" vertical="center"/>
    </xf>
    <xf numFmtId="0" fontId="54" fillId="59" borderId="99" xfId="2" applyFont="1" applyFill="1" applyBorder="1" applyAlignment="1">
      <alignment horizontal="center" vertical="center"/>
    </xf>
    <xf numFmtId="0" fontId="53" fillId="26" borderId="84" xfId="0" applyFont="1" applyFill="1" applyBorder="1" applyAlignment="1">
      <alignment horizontal="center" vertical="center"/>
    </xf>
    <xf numFmtId="0" fontId="53" fillId="26" borderId="98" xfId="0" applyFont="1" applyFill="1" applyBorder="1" applyAlignment="1">
      <alignment horizontal="center" vertical="center"/>
    </xf>
    <xf numFmtId="0" fontId="53" fillId="26" borderId="99" xfId="0" applyFont="1" applyFill="1" applyBorder="1" applyAlignment="1">
      <alignment horizontal="center" vertical="center"/>
    </xf>
    <xf numFmtId="0" fontId="54" fillId="26" borderId="84" xfId="2" applyFont="1" applyFill="1" applyBorder="1" applyAlignment="1">
      <alignment horizontal="center" vertical="center"/>
    </xf>
    <xf numFmtId="0" fontId="54" fillId="26" borderId="98" xfId="2" applyFont="1" applyFill="1" applyBorder="1" applyAlignment="1">
      <alignment horizontal="center" vertical="center"/>
    </xf>
    <xf numFmtId="0" fontId="54" fillId="26" borderId="99" xfId="2" applyFont="1" applyFill="1" applyBorder="1" applyAlignment="1">
      <alignment horizontal="center" vertical="center"/>
    </xf>
    <xf numFmtId="0" fontId="2" fillId="0" borderId="124" xfId="0" applyFont="1" applyFill="1" applyBorder="1" applyAlignment="1">
      <alignment horizontal="center" vertical="center" wrapText="1"/>
    </xf>
    <xf numFmtId="0" fontId="2" fillId="35" borderId="84" xfId="2" applyFont="1" applyFill="1" applyBorder="1" applyAlignment="1">
      <alignment horizontal="center" vertical="center" wrapText="1"/>
    </xf>
    <xf numFmtId="0" fontId="2" fillId="35" borderId="98" xfId="2" applyFont="1" applyFill="1" applyBorder="1" applyAlignment="1">
      <alignment horizontal="center" vertical="center" wrapText="1"/>
    </xf>
    <xf numFmtId="0" fontId="2" fillId="35" borderId="99" xfId="2" applyFont="1" applyFill="1" applyBorder="1" applyAlignment="1">
      <alignment horizontal="center" vertical="center" wrapText="1"/>
    </xf>
    <xf numFmtId="0" fontId="2" fillId="57" borderId="107" xfId="2" applyFont="1" applyFill="1" applyBorder="1" applyAlignment="1">
      <alignment horizontal="center" vertical="center"/>
    </xf>
    <xf numFmtId="0" fontId="45" fillId="57" borderId="107" xfId="2" applyFont="1" applyFill="1" applyBorder="1" applyAlignment="1">
      <alignment horizontal="center" vertical="center" wrapText="1"/>
    </xf>
    <xf numFmtId="0" fontId="33" fillId="0" borderId="113" xfId="0" applyFont="1" applyBorder="1" applyAlignment="1">
      <alignment horizontal="center" vertical="center"/>
    </xf>
    <xf numFmtId="0" fontId="33" fillId="0" borderId="99" xfId="0" applyFont="1" applyBorder="1" applyAlignment="1">
      <alignment horizontal="center" vertical="center"/>
    </xf>
    <xf numFmtId="0" fontId="33" fillId="0" borderId="84" xfId="0" applyFont="1" applyBorder="1" applyAlignment="1">
      <alignment horizontal="center" vertical="center"/>
    </xf>
    <xf numFmtId="0" fontId="33" fillId="0" borderId="39" xfId="0" applyFont="1" applyBorder="1" applyAlignment="1">
      <alignment horizontal="center" vertical="center"/>
    </xf>
    <xf numFmtId="0" fontId="42" fillId="0" borderId="153" xfId="0" applyFont="1" applyFill="1" applyBorder="1" applyAlignment="1">
      <alignment horizontal="center" vertical="center" wrapText="1"/>
    </xf>
    <xf numFmtId="0" fontId="42" fillId="0" borderId="124" xfId="0" applyFont="1" applyFill="1" applyBorder="1" applyAlignment="1">
      <alignment horizontal="center" vertical="center" wrapText="1"/>
    </xf>
    <xf numFmtId="1" fontId="33" fillId="0" borderId="124" xfId="0" applyNumberFormat="1" applyFont="1" applyFill="1" applyBorder="1" applyAlignment="1">
      <alignment horizontal="center" vertical="center"/>
    </xf>
    <xf numFmtId="0" fontId="86" fillId="0" borderId="155" xfId="0" applyFont="1" applyBorder="1" applyAlignment="1">
      <alignment horizontal="right" vertical="center"/>
    </xf>
    <xf numFmtId="0" fontId="86" fillId="0" borderId="156" xfId="0" applyFont="1" applyBorder="1" applyAlignment="1">
      <alignment horizontal="right" vertical="center"/>
    </xf>
    <xf numFmtId="0" fontId="86" fillId="0" borderId="181" xfId="0" applyFont="1" applyBorder="1" applyAlignment="1">
      <alignment horizontal="right" vertical="center"/>
    </xf>
    <xf numFmtId="0" fontId="86" fillId="0" borderId="158" xfId="0" applyFont="1" applyBorder="1" applyAlignment="1">
      <alignment horizontal="right" vertical="center"/>
    </xf>
    <xf numFmtId="0" fontId="86" fillId="0" borderId="159" xfId="0" applyFont="1" applyBorder="1" applyAlignment="1">
      <alignment horizontal="right" vertical="center"/>
    </xf>
    <xf numFmtId="0" fontId="86" fillId="0" borderId="156" xfId="0" applyFont="1" applyBorder="1" applyAlignment="1">
      <alignment horizontal="left" vertical="center"/>
    </xf>
    <xf numFmtId="0" fontId="86" fillId="0" borderId="0" xfId="0" applyFont="1" applyBorder="1" applyAlignment="1">
      <alignment horizontal="left" vertical="center"/>
    </xf>
    <xf numFmtId="0" fontId="86" fillId="0" borderId="159" xfId="0" applyFont="1" applyBorder="1" applyAlignment="1">
      <alignment horizontal="left" vertical="center"/>
    </xf>
    <xf numFmtId="0" fontId="65" fillId="0" borderId="156" xfId="0" applyFont="1" applyBorder="1" applyAlignment="1">
      <alignment horizontal="right" vertical="center" wrapText="1" indent="1"/>
    </xf>
    <xf numFmtId="0" fontId="65" fillId="0" borderId="157" xfId="0" applyFont="1" applyBorder="1" applyAlignment="1">
      <alignment horizontal="right" vertical="center" wrapText="1" indent="1"/>
    </xf>
    <xf numFmtId="0" fontId="65" fillId="0" borderId="0" xfId="0" applyFont="1" applyBorder="1" applyAlignment="1">
      <alignment horizontal="right" vertical="center" wrapText="1" indent="1"/>
    </xf>
    <xf numFmtId="0" fontId="65" fillId="0" borderId="182" xfId="0" applyFont="1" applyBorder="1" applyAlignment="1">
      <alignment horizontal="right" vertical="center" wrapText="1" indent="1"/>
    </xf>
    <xf numFmtId="0" fontId="65" fillId="0" borderId="159" xfId="0" applyFont="1" applyBorder="1" applyAlignment="1">
      <alignment horizontal="right" vertical="center" wrapText="1" indent="1"/>
    </xf>
    <xf numFmtId="0" fontId="65" fillId="0" borderId="160" xfId="0" applyFont="1" applyBorder="1" applyAlignment="1">
      <alignment horizontal="right" vertical="center" wrapText="1" indent="1"/>
    </xf>
    <xf numFmtId="167" fontId="42" fillId="0" borderId="153" xfId="61" applyNumberFormat="1" applyFont="1" applyFill="1" applyBorder="1" applyAlignment="1">
      <alignment horizontal="center" vertical="center" wrapText="1"/>
    </xf>
    <xf numFmtId="167" fontId="42" fillId="0" borderId="124" xfId="61" applyNumberFormat="1" applyFont="1" applyFill="1" applyBorder="1" applyAlignment="1">
      <alignment horizontal="center" vertical="center" wrapText="1"/>
    </xf>
    <xf numFmtId="0" fontId="33" fillId="0" borderId="107" xfId="0" applyFont="1" applyFill="1" applyBorder="1" applyAlignment="1">
      <alignment horizontal="left" vertical="center"/>
    </xf>
    <xf numFmtId="0" fontId="95" fillId="0" borderId="0" xfId="64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3" fillId="30" borderId="107" xfId="0" applyFont="1" applyFill="1" applyBorder="1" applyAlignment="1">
      <alignment horizontal="center" vertical="center"/>
    </xf>
    <xf numFmtId="0" fontId="95" fillId="0" borderId="12" xfId="64" applyFont="1" applyBorder="1" applyAlignment="1">
      <alignment horizontal="center" vertical="center"/>
    </xf>
    <xf numFmtId="0" fontId="96" fillId="0" borderId="12" xfId="0" applyFont="1" applyBorder="1" applyAlignment="1">
      <alignment horizontal="center" vertical="center"/>
    </xf>
    <xf numFmtId="0" fontId="2" fillId="0" borderId="84" xfId="0" applyFont="1" applyFill="1" applyBorder="1" applyAlignment="1">
      <alignment horizontal="left" vertical="center"/>
    </xf>
    <xf numFmtId="0" fontId="2" fillId="0" borderId="99" xfId="0" applyFont="1" applyFill="1" applyBorder="1" applyAlignment="1">
      <alignment horizontal="left" vertical="center"/>
    </xf>
    <xf numFmtId="0" fontId="2" fillId="53" borderId="84" xfId="0" applyFont="1" applyFill="1" applyBorder="1" applyAlignment="1">
      <alignment horizontal="left" vertical="center"/>
    </xf>
    <xf numFmtId="0" fontId="2" fillId="53" borderId="99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49" fillId="32" borderId="70" xfId="0" applyFont="1" applyFill="1" applyBorder="1" applyAlignment="1">
      <alignment horizontal="center" vertical="center"/>
    </xf>
    <xf numFmtId="0" fontId="49" fillId="32" borderId="71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0" fontId="26" fillId="0" borderId="68" xfId="0" applyFont="1" applyBorder="1" applyAlignment="1">
      <alignment horizontal="center" vertical="center" wrapText="1"/>
    </xf>
    <xf numFmtId="0" fontId="26" fillId="0" borderId="69" xfId="0" applyFont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33" fillId="34" borderId="68" xfId="0" applyFont="1" applyFill="1" applyBorder="1" applyAlignment="1">
      <alignment horizontal="center" vertical="center"/>
    </xf>
    <xf numFmtId="0" fontId="33" fillId="34" borderId="69" xfId="0" applyFont="1" applyFill="1" applyBorder="1" applyAlignment="1">
      <alignment horizontal="center" vertical="center"/>
    </xf>
    <xf numFmtId="0" fontId="33" fillId="34" borderId="1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0" fontId="49" fillId="32" borderId="74" xfId="0" applyFont="1" applyFill="1" applyBorder="1" applyAlignment="1">
      <alignment horizontal="center" vertical="center" wrapText="1"/>
    </xf>
    <xf numFmtId="0" fontId="49" fillId="32" borderId="1" xfId="0" applyFont="1" applyFill="1" applyBorder="1" applyAlignment="1">
      <alignment horizontal="center" vertical="center" wrapText="1"/>
    </xf>
    <xf numFmtId="0" fontId="49" fillId="32" borderId="84" xfId="0" applyFont="1" applyFill="1" applyBorder="1" applyAlignment="1">
      <alignment horizontal="center" vertical="center"/>
    </xf>
    <xf numFmtId="0" fontId="49" fillId="32" borderId="99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 wrapText="1"/>
    </xf>
    <xf numFmtId="0" fontId="49" fillId="32" borderId="15" xfId="0" applyFont="1" applyFill="1" applyBorder="1" applyAlignment="1">
      <alignment horizontal="center" vertical="center"/>
    </xf>
    <xf numFmtId="0" fontId="49" fillId="32" borderId="16" xfId="0" applyFont="1" applyFill="1" applyBorder="1" applyAlignment="1">
      <alignment horizontal="center" vertical="center"/>
    </xf>
    <xf numFmtId="0" fontId="49" fillId="32" borderId="1" xfId="0" applyFont="1" applyFill="1" applyBorder="1" applyAlignment="1">
      <alignment horizontal="center" vertical="center"/>
    </xf>
    <xf numFmtId="0" fontId="49" fillId="32" borderId="67" xfId="0" applyFont="1" applyFill="1" applyBorder="1" applyAlignment="1">
      <alignment horizontal="center" vertical="center"/>
    </xf>
    <xf numFmtId="0" fontId="26" fillId="0" borderId="84" xfId="0" applyFont="1" applyBorder="1" applyAlignment="1">
      <alignment horizontal="center" vertical="center" wrapText="1"/>
    </xf>
    <xf numFmtId="0" fontId="26" fillId="0" borderId="98" xfId="0" applyFont="1" applyBorder="1" applyAlignment="1">
      <alignment horizontal="center" vertical="center" wrapText="1"/>
    </xf>
    <xf numFmtId="0" fontId="26" fillId="0" borderId="99" xfId="0" applyFont="1" applyBorder="1" applyAlignment="1">
      <alignment horizontal="center" vertical="center" wrapText="1"/>
    </xf>
    <xf numFmtId="0" fontId="49" fillId="32" borderId="74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top" wrapText="1"/>
    </xf>
    <xf numFmtId="0" fontId="33" fillId="34" borderId="65" xfId="0" applyFont="1" applyFill="1" applyBorder="1" applyAlignment="1">
      <alignment horizontal="center" vertical="center"/>
    </xf>
    <xf numFmtId="0" fontId="33" fillId="34" borderId="0" xfId="0" applyFont="1" applyFill="1" applyBorder="1" applyAlignment="1">
      <alignment horizontal="center" vertical="center"/>
    </xf>
    <xf numFmtId="0" fontId="49" fillId="32" borderId="11" xfId="0" applyFont="1" applyFill="1" applyBorder="1" applyAlignment="1">
      <alignment horizontal="center" vertical="center"/>
    </xf>
    <xf numFmtId="0" fontId="42" fillId="0" borderId="150" xfId="0" applyFont="1" applyFill="1" applyBorder="1" applyAlignment="1">
      <alignment horizontal="center" vertical="center" wrapText="1"/>
    </xf>
    <xf numFmtId="0" fontId="42" fillId="0" borderId="151" xfId="0" applyFont="1" applyFill="1" applyBorder="1" applyAlignment="1">
      <alignment horizontal="center" vertical="center" wrapText="1"/>
    </xf>
    <xf numFmtId="0" fontId="42" fillId="0" borderId="152" xfId="0" applyFont="1" applyFill="1" applyBorder="1" applyAlignment="1">
      <alignment horizontal="center" vertical="center" wrapText="1"/>
    </xf>
    <xf numFmtId="0" fontId="2" fillId="0" borderId="153" xfId="0" applyFont="1" applyFill="1" applyBorder="1" applyAlignment="1">
      <alignment horizontal="center" vertical="center" wrapText="1"/>
    </xf>
    <xf numFmtId="1" fontId="33" fillId="0" borderId="153" xfId="0" applyNumberFormat="1" applyFont="1" applyBorder="1" applyAlignment="1">
      <alignment horizontal="center" vertical="center"/>
    </xf>
    <xf numFmtId="0" fontId="42" fillId="0" borderId="138" xfId="0" applyFont="1" applyFill="1" applyBorder="1" applyAlignment="1">
      <alignment horizontal="center" vertical="center" wrapText="1"/>
    </xf>
    <xf numFmtId="0" fontId="42" fillId="0" borderId="139" xfId="0" applyFont="1" applyFill="1" applyBorder="1" applyAlignment="1">
      <alignment horizontal="center" vertical="center" wrapText="1"/>
    </xf>
    <xf numFmtId="0" fontId="42" fillId="0" borderId="140" xfId="0" applyFont="1" applyFill="1" applyBorder="1" applyAlignment="1">
      <alignment horizontal="center" vertical="center" wrapText="1"/>
    </xf>
    <xf numFmtId="167" fontId="42" fillId="0" borderId="138" xfId="61" applyNumberFormat="1" applyFont="1" applyFill="1" applyBorder="1" applyAlignment="1">
      <alignment horizontal="center" vertical="center" wrapText="1"/>
    </xf>
    <xf numFmtId="167" fontId="42" fillId="0" borderId="139" xfId="61" applyNumberFormat="1" applyFont="1" applyFill="1" applyBorder="1" applyAlignment="1">
      <alignment horizontal="center" vertical="center" wrapText="1"/>
    </xf>
    <xf numFmtId="167" fontId="42" fillId="0" borderId="140" xfId="61" applyNumberFormat="1" applyFont="1" applyFill="1" applyBorder="1" applyAlignment="1">
      <alignment horizontal="center" vertical="center" wrapText="1"/>
    </xf>
    <xf numFmtId="0" fontId="42" fillId="0" borderId="129" xfId="0" applyFont="1" applyFill="1" applyBorder="1" applyAlignment="1">
      <alignment horizontal="center" vertical="center" wrapText="1"/>
    </xf>
    <xf numFmtId="0" fontId="42" fillId="0" borderId="130" xfId="0" applyFont="1" applyFill="1" applyBorder="1" applyAlignment="1">
      <alignment horizontal="center" vertical="center" wrapText="1"/>
    </xf>
    <xf numFmtId="0" fontId="42" fillId="0" borderId="131" xfId="0" applyFont="1" applyFill="1" applyBorder="1" applyAlignment="1">
      <alignment horizontal="center" vertical="center" wrapText="1"/>
    </xf>
    <xf numFmtId="0" fontId="42" fillId="0" borderId="132" xfId="0" applyFont="1" applyFill="1" applyBorder="1" applyAlignment="1">
      <alignment horizontal="center" vertical="center" wrapText="1"/>
    </xf>
    <xf numFmtId="0" fontId="42" fillId="0" borderId="133" xfId="0" applyFont="1" applyFill="1" applyBorder="1" applyAlignment="1">
      <alignment horizontal="center" vertical="center" wrapText="1"/>
    </xf>
    <xf numFmtId="0" fontId="42" fillId="0" borderId="149" xfId="0" applyFont="1" applyFill="1" applyBorder="1" applyAlignment="1">
      <alignment horizontal="center" vertical="center" wrapText="1"/>
    </xf>
    <xf numFmtId="0" fontId="42" fillId="0" borderId="141" xfId="0" applyFont="1" applyFill="1" applyBorder="1" applyAlignment="1">
      <alignment horizontal="center" vertical="center" wrapText="1"/>
    </xf>
    <xf numFmtId="0" fontId="42" fillId="0" borderId="165" xfId="0" applyFont="1" applyFill="1" applyBorder="1" applyAlignment="1">
      <alignment horizontal="center" vertical="center" wrapText="1"/>
    </xf>
    <xf numFmtId="0" fontId="86" fillId="0" borderId="130" xfId="0" applyFont="1" applyBorder="1" applyAlignment="1">
      <alignment horizontal="left" vertical="center"/>
    </xf>
    <xf numFmtId="0" fontId="86" fillId="0" borderId="141" xfId="0" applyFont="1" applyBorder="1" applyAlignment="1">
      <alignment horizontal="left" vertical="center"/>
    </xf>
    <xf numFmtId="0" fontId="65" fillId="0" borderId="130" xfId="0" applyFont="1" applyBorder="1" applyAlignment="1">
      <alignment horizontal="right" vertical="center" wrapText="1" indent="1"/>
    </xf>
    <xf numFmtId="0" fontId="65" fillId="0" borderId="131" xfId="0" applyFont="1" applyBorder="1" applyAlignment="1">
      <alignment horizontal="right" vertical="center" wrapText="1" indent="1"/>
    </xf>
    <xf numFmtId="0" fontId="65" fillId="0" borderId="133" xfId="0" applyFont="1" applyBorder="1" applyAlignment="1">
      <alignment horizontal="right" vertical="center" wrapText="1" indent="1"/>
    </xf>
    <xf numFmtId="0" fontId="65" fillId="0" borderId="141" xfId="0" applyFont="1" applyBorder="1" applyAlignment="1">
      <alignment horizontal="right" vertical="center" wrapText="1" indent="1"/>
    </xf>
    <xf numFmtId="0" fontId="65" fillId="0" borderId="165" xfId="0" applyFont="1" applyBorder="1" applyAlignment="1">
      <alignment horizontal="right" vertical="center" wrapText="1" indent="1"/>
    </xf>
    <xf numFmtId="0" fontId="38" fillId="0" borderId="0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79" fillId="0" borderId="0" xfId="0" applyFont="1" applyAlignment="1">
      <alignment horizontal="left" vertical="center" wrapText="1" indent="1"/>
    </xf>
    <xf numFmtId="0" fontId="35" fillId="0" borderId="0" xfId="64" applyAlignment="1">
      <alignment horizontal="left" vertical="center" indent="1"/>
    </xf>
    <xf numFmtId="0" fontId="2" fillId="42" borderId="84" xfId="0" applyFont="1" applyFill="1" applyBorder="1" applyAlignment="1">
      <alignment horizontal="left" vertical="center"/>
    </xf>
    <xf numFmtId="0" fontId="2" fillId="42" borderId="99" xfId="0" applyFont="1" applyFill="1" applyBorder="1" applyAlignment="1">
      <alignment horizontal="left" vertical="center"/>
    </xf>
    <xf numFmtId="0" fontId="2" fillId="42" borderId="84" xfId="0" applyFont="1" applyFill="1" applyBorder="1" applyAlignment="1">
      <alignment horizontal="center" vertical="center"/>
    </xf>
    <xf numFmtId="0" fontId="2" fillId="42" borderId="99" xfId="0" applyFont="1" applyFill="1" applyBorder="1" applyAlignment="1">
      <alignment horizontal="center" vertical="center"/>
    </xf>
    <xf numFmtId="0" fontId="2" fillId="0" borderId="84" xfId="0" applyFont="1" applyFill="1" applyBorder="1" applyAlignment="1">
      <alignment horizontal="center" vertical="center"/>
    </xf>
    <xf numFmtId="0" fontId="2" fillId="0" borderId="99" xfId="0" applyFont="1" applyFill="1" applyBorder="1" applyAlignment="1">
      <alignment horizontal="center" vertical="center"/>
    </xf>
    <xf numFmtId="0" fontId="35" fillId="0" borderId="12" xfId="64" applyBorder="1" applyAlignment="1">
      <alignment horizontal="center" vertical="center"/>
    </xf>
    <xf numFmtId="0" fontId="49" fillId="43" borderId="74" xfId="0" applyFont="1" applyFill="1" applyBorder="1" applyAlignment="1">
      <alignment horizontal="center" vertical="center" wrapText="1"/>
    </xf>
    <xf numFmtId="0" fontId="49" fillId="43" borderId="1" xfId="0" applyFont="1" applyFill="1" applyBorder="1" applyAlignment="1">
      <alignment horizontal="center" vertical="center" wrapText="1"/>
    </xf>
    <xf numFmtId="0" fontId="49" fillId="43" borderId="84" xfId="0" applyFont="1" applyFill="1" applyBorder="1" applyAlignment="1">
      <alignment horizontal="center" vertical="center"/>
    </xf>
    <xf numFmtId="0" fontId="49" fillId="43" borderId="99" xfId="0" applyFont="1" applyFill="1" applyBorder="1" applyAlignment="1">
      <alignment horizontal="center" vertical="center"/>
    </xf>
    <xf numFmtId="0" fontId="39" fillId="0" borderId="150" xfId="0" applyFont="1" applyBorder="1" applyAlignment="1">
      <alignment horizontal="center" vertical="center" wrapText="1"/>
    </xf>
    <xf numFmtId="0" fontId="39" fillId="0" borderId="151" xfId="0" applyFont="1" applyBorder="1" applyAlignment="1">
      <alignment horizontal="center" vertical="center" wrapText="1"/>
    </xf>
    <xf numFmtId="0" fontId="39" fillId="0" borderId="152" xfId="0" applyFont="1" applyBorder="1" applyAlignment="1">
      <alignment horizontal="center" vertical="center" wrapText="1"/>
    </xf>
    <xf numFmtId="0" fontId="38" fillId="0" borderId="146" xfId="0" applyFont="1" applyBorder="1" applyAlignment="1">
      <alignment horizontal="center" vertical="center" wrapText="1"/>
    </xf>
    <xf numFmtId="0" fontId="38" fillId="0" borderId="147" xfId="0" applyFont="1" applyBorder="1" applyAlignment="1">
      <alignment horizontal="center" vertical="center" wrapText="1"/>
    </xf>
    <xf numFmtId="0" fontId="38" fillId="0" borderId="148" xfId="0" applyFont="1" applyBorder="1" applyAlignment="1">
      <alignment horizontal="center" vertical="center" wrapText="1"/>
    </xf>
    <xf numFmtId="0" fontId="38" fillId="0" borderId="164" xfId="0" applyFont="1" applyBorder="1" applyAlignment="1">
      <alignment horizontal="center" vertical="center" wrapText="1"/>
    </xf>
    <xf numFmtId="0" fontId="26" fillId="0" borderId="65" xfId="0" applyFont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 vertical="center"/>
    </xf>
    <xf numFmtId="0" fontId="47" fillId="0" borderId="12" xfId="0" applyFont="1" applyFill="1" applyBorder="1" applyAlignment="1">
      <alignment horizontal="center" vertical="center"/>
    </xf>
    <xf numFmtId="0" fontId="47" fillId="0" borderId="69" xfId="0" applyFont="1" applyFill="1" applyBorder="1" applyAlignment="1">
      <alignment horizontal="center" vertical="center"/>
    </xf>
    <xf numFmtId="0" fontId="47" fillId="0" borderId="17" xfId="0" applyFont="1" applyFill="1" applyBorder="1" applyAlignment="1">
      <alignment horizontal="center" vertical="center"/>
    </xf>
    <xf numFmtId="0" fontId="44" fillId="0" borderId="129" xfId="0" applyFont="1" applyBorder="1" applyAlignment="1">
      <alignment horizontal="right" vertical="center"/>
    </xf>
    <xf numFmtId="0" fontId="44" fillId="0" borderId="130" xfId="0" applyFont="1" applyBorder="1" applyAlignment="1">
      <alignment horizontal="right" vertical="center"/>
    </xf>
    <xf numFmtId="0" fontId="44" fillId="0" borderId="132" xfId="0" applyFont="1" applyBorder="1" applyAlignment="1">
      <alignment horizontal="right" vertical="center"/>
    </xf>
    <xf numFmtId="0" fontId="44" fillId="0" borderId="0" xfId="0" applyFont="1" applyBorder="1" applyAlignment="1">
      <alignment horizontal="right" vertical="center"/>
    </xf>
    <xf numFmtId="0" fontId="44" fillId="0" borderId="149" xfId="0" applyFont="1" applyBorder="1" applyAlignment="1">
      <alignment horizontal="right" vertical="center"/>
    </xf>
    <xf numFmtId="0" fontId="44" fillId="0" borderId="141" xfId="0" applyFont="1" applyBorder="1" applyAlignment="1">
      <alignment horizontal="right" vertical="center"/>
    </xf>
    <xf numFmtId="0" fontId="44" fillId="0" borderId="130" xfId="0" applyFont="1" applyBorder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44" fillId="0" borderId="141" xfId="0" applyFont="1" applyBorder="1" applyAlignment="1">
      <alignment horizontal="left" vertical="center"/>
    </xf>
    <xf numFmtId="0" fontId="39" fillId="0" borderId="162" xfId="0" applyFont="1" applyBorder="1" applyAlignment="1">
      <alignment horizontal="center" vertical="center" wrapText="1"/>
    </xf>
    <xf numFmtId="0" fontId="39" fillId="0" borderId="143" xfId="0" applyFont="1" applyBorder="1" applyAlignment="1">
      <alignment horizontal="center" vertical="center" wrapText="1"/>
    </xf>
    <xf numFmtId="0" fontId="39" fillId="0" borderId="163" xfId="0" applyFont="1" applyBorder="1" applyAlignment="1">
      <alignment horizontal="center" vertical="center" wrapText="1"/>
    </xf>
    <xf numFmtId="0" fontId="39" fillId="0" borderId="99" xfId="0" applyFont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39" fillId="0" borderId="84" xfId="0" applyFont="1" applyBorder="1" applyAlignment="1">
      <alignment horizontal="center" vertical="center" wrapText="1"/>
    </xf>
    <xf numFmtId="0" fontId="39" fillId="0" borderId="69" xfId="0" applyFont="1" applyBorder="1" applyAlignment="1">
      <alignment horizontal="center" vertical="center" wrapText="1"/>
    </xf>
    <xf numFmtId="0" fontId="39" fillId="0" borderId="74" xfId="0" applyFont="1" applyBorder="1" applyAlignment="1">
      <alignment horizontal="center" vertical="center" wrapText="1"/>
    </xf>
    <xf numFmtId="0" fontId="39" fillId="0" borderId="68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2" fontId="42" fillId="0" borderId="0" xfId="61" applyNumberFormat="1" applyFont="1" applyFill="1" applyBorder="1" applyAlignment="1">
      <alignment horizontal="right" vertical="center" wrapText="1" indent="1"/>
    </xf>
    <xf numFmtId="0" fontId="47" fillId="0" borderId="0" xfId="0" applyFont="1" applyFill="1" applyBorder="1" applyAlignment="1">
      <alignment horizontal="center" vertical="center"/>
    </xf>
    <xf numFmtId="0" fontId="33" fillId="0" borderId="153" xfId="0" applyFont="1" applyBorder="1" applyAlignment="1">
      <alignment horizontal="left" vertical="center"/>
    </xf>
    <xf numFmtId="0" fontId="33" fillId="0" borderId="0" xfId="0" applyFont="1" applyFill="1" applyBorder="1" applyAlignment="1">
      <alignment horizontal="center" vertical="center" wrapText="1"/>
    </xf>
    <xf numFmtId="168" fontId="33" fillId="0" borderId="0" xfId="0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72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167" fontId="39" fillId="0" borderId="0" xfId="61" applyNumberFormat="1" applyFont="1" applyBorder="1" applyAlignment="1">
      <alignment horizontal="center" vertical="center" wrapText="1"/>
    </xf>
    <xf numFmtId="2" fontId="42" fillId="0" borderId="141" xfId="61" applyNumberFormat="1" applyFont="1" applyFill="1" applyBorder="1" applyAlignment="1">
      <alignment horizontal="left" vertical="center"/>
    </xf>
    <xf numFmtId="0" fontId="86" fillId="0" borderId="129" xfId="0" applyFont="1" applyBorder="1" applyAlignment="1">
      <alignment horizontal="right" vertical="center" indent="1"/>
    </xf>
    <xf numFmtId="0" fontId="86" fillId="0" borderId="130" xfId="0" applyFont="1" applyBorder="1" applyAlignment="1">
      <alignment horizontal="right" vertical="center" indent="1"/>
    </xf>
    <xf numFmtId="0" fontId="86" fillId="0" borderId="132" xfId="0" applyFont="1" applyBorder="1" applyAlignment="1">
      <alignment horizontal="right" vertical="center" indent="1"/>
    </xf>
    <xf numFmtId="0" fontId="86" fillId="0" borderId="0" xfId="0" applyFont="1" applyBorder="1" applyAlignment="1">
      <alignment horizontal="right" vertical="center" indent="1"/>
    </xf>
    <xf numFmtId="0" fontId="38" fillId="41" borderId="76" xfId="0" applyFont="1" applyFill="1" applyBorder="1" applyAlignment="1">
      <alignment horizontal="center" vertical="center"/>
    </xf>
    <xf numFmtId="0" fontId="38" fillId="41" borderId="77" xfId="0" applyFont="1" applyFill="1" applyBorder="1" applyAlignment="1">
      <alignment horizontal="center" vertical="center"/>
    </xf>
    <xf numFmtId="168" fontId="33" fillId="41" borderId="85" xfId="0" applyNumberFormat="1" applyFont="1" applyFill="1" applyBorder="1" applyAlignment="1">
      <alignment horizontal="center" vertical="center"/>
    </xf>
    <xf numFmtId="0" fontId="33" fillId="41" borderId="86" xfId="0" applyFont="1" applyFill="1" applyBorder="1" applyAlignment="1">
      <alignment horizontal="center" vertical="center"/>
    </xf>
    <xf numFmtId="0" fontId="33" fillId="41" borderId="87" xfId="0" applyFont="1" applyFill="1" applyBorder="1" applyAlignment="1">
      <alignment horizontal="center" vertical="center"/>
    </xf>
    <xf numFmtId="0" fontId="33" fillId="41" borderId="88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39" fillId="0" borderId="142" xfId="0" applyFont="1" applyFill="1" applyBorder="1" applyAlignment="1">
      <alignment horizontal="center" vertical="center"/>
    </xf>
    <xf numFmtId="0" fontId="39" fillId="0" borderId="143" xfId="0" applyFont="1" applyFill="1" applyBorder="1" applyAlignment="1">
      <alignment horizontal="center" vertical="center"/>
    </xf>
    <xf numFmtId="0" fontId="39" fillId="0" borderId="144" xfId="0" applyFont="1" applyFill="1" applyBorder="1" applyAlignment="1">
      <alignment horizontal="center" vertical="center"/>
    </xf>
    <xf numFmtId="0" fontId="39" fillId="0" borderId="145" xfId="0" applyFont="1" applyFill="1" applyBorder="1" applyAlignment="1">
      <alignment horizontal="center" vertical="center"/>
    </xf>
    <xf numFmtId="0" fontId="39" fillId="0" borderId="107" xfId="0" applyFont="1" applyFill="1" applyBorder="1" applyAlignment="1">
      <alignment horizontal="center" vertical="center"/>
    </xf>
    <xf numFmtId="0" fontId="39" fillId="0" borderId="134" xfId="0" applyFont="1" applyFill="1" applyBorder="1" applyAlignment="1">
      <alignment horizontal="center" vertical="center"/>
    </xf>
    <xf numFmtId="0" fontId="39" fillId="0" borderId="135" xfId="0" applyFont="1" applyFill="1" applyBorder="1" applyAlignment="1">
      <alignment horizontal="center" vertical="center"/>
    </xf>
    <xf numFmtId="0" fontId="39" fillId="0" borderId="136" xfId="0" applyFont="1" applyFill="1" applyBorder="1" applyAlignment="1">
      <alignment horizontal="center" vertical="center"/>
    </xf>
    <xf numFmtId="0" fontId="39" fillId="0" borderId="137" xfId="0" applyFont="1" applyFill="1" applyBorder="1" applyAlignment="1">
      <alignment horizontal="center" vertical="center"/>
    </xf>
    <xf numFmtId="0" fontId="39" fillId="0" borderId="146" xfId="0" applyFont="1" applyBorder="1" applyAlignment="1">
      <alignment horizontal="center" vertical="center" wrapText="1"/>
    </xf>
    <xf numFmtId="0" fontId="39" fillId="0" borderId="147" xfId="0" applyFont="1" applyBorder="1" applyAlignment="1">
      <alignment horizontal="center" vertical="center" wrapText="1"/>
    </xf>
    <xf numFmtId="0" fontId="39" fillId="0" borderId="148" xfId="0" applyFont="1" applyBorder="1" applyAlignment="1">
      <alignment horizontal="center" vertical="center" wrapText="1"/>
    </xf>
    <xf numFmtId="0" fontId="74" fillId="26" borderId="76" xfId="0" applyFont="1" applyFill="1" applyBorder="1" applyAlignment="1">
      <alignment horizontal="center" vertical="center"/>
    </xf>
    <xf numFmtId="0" fontId="74" fillId="26" borderId="97" xfId="0" applyFont="1" applyFill="1" applyBorder="1" applyAlignment="1">
      <alignment horizontal="center" vertical="center"/>
    </xf>
    <xf numFmtId="0" fontId="45" fillId="0" borderId="0" xfId="2" applyFont="1" applyFill="1" applyBorder="1" applyAlignment="1">
      <alignment horizontal="center" vertical="center" wrapText="1"/>
    </xf>
    <xf numFmtId="0" fontId="38" fillId="0" borderId="138" xfId="1" applyFont="1" applyFill="1" applyBorder="1" applyAlignment="1" applyProtection="1">
      <alignment horizontal="center" vertical="center" wrapText="1"/>
    </xf>
    <xf numFmtId="0" fontId="38" fillId="0" borderId="139" xfId="1" applyFont="1" applyFill="1" applyBorder="1" applyAlignment="1" applyProtection="1">
      <alignment horizontal="center" vertical="center"/>
    </xf>
    <xf numFmtId="0" fontId="38" fillId="0" borderId="140" xfId="1" applyFont="1" applyFill="1" applyBorder="1" applyAlignment="1" applyProtection="1">
      <alignment horizontal="center" vertical="center"/>
    </xf>
    <xf numFmtId="0" fontId="39" fillId="0" borderId="129" xfId="1" applyFont="1" applyFill="1" applyBorder="1" applyAlignment="1" applyProtection="1">
      <alignment horizontal="center" vertical="center"/>
    </xf>
    <xf numFmtId="0" fontId="39" fillId="0" borderId="130" xfId="1" applyFont="1" applyFill="1" applyBorder="1" applyAlignment="1" applyProtection="1">
      <alignment horizontal="center" vertical="center"/>
    </xf>
    <xf numFmtId="0" fontId="39" fillId="0" borderId="131" xfId="1" applyFont="1" applyFill="1" applyBorder="1" applyAlignment="1" applyProtection="1">
      <alignment horizontal="center" vertical="center"/>
    </xf>
    <xf numFmtId="0" fontId="38" fillId="0" borderId="139" xfId="1" applyFont="1" applyFill="1" applyBorder="1" applyAlignment="1" applyProtection="1">
      <alignment horizontal="center" vertical="center" wrapText="1"/>
    </xf>
    <xf numFmtId="0" fontId="38" fillId="0" borderId="140" xfId="1" applyFont="1" applyFill="1" applyBorder="1" applyAlignment="1" applyProtection="1">
      <alignment horizontal="center" vertical="center" wrapText="1"/>
    </xf>
    <xf numFmtId="168" fontId="105" fillId="0" borderId="0" xfId="64" applyNumberFormat="1" applyFont="1" applyBorder="1" applyAlignment="1" applyProtection="1">
      <alignment vertical="center"/>
    </xf>
    <xf numFmtId="168" fontId="38" fillId="0" borderId="150" xfId="1" applyNumberFormat="1" applyFont="1" applyBorder="1" applyAlignment="1" applyProtection="1">
      <alignment horizontal="center" vertical="center" wrapText="1"/>
    </xf>
    <xf numFmtId="168" fontId="38" fillId="0" borderId="152" xfId="1" applyNumberFormat="1" applyFont="1" applyBorder="1" applyAlignment="1" applyProtection="1">
      <alignment horizontal="center" vertical="center" wrapText="1"/>
    </xf>
    <xf numFmtId="168" fontId="38" fillId="0" borderId="138" xfId="1" applyNumberFormat="1" applyFont="1" applyBorder="1" applyAlignment="1" applyProtection="1">
      <alignment horizontal="center" vertical="center" wrapText="1"/>
    </xf>
    <xf numFmtId="168" fontId="38" fillId="0" borderId="140" xfId="1" applyNumberFormat="1" applyFont="1" applyBorder="1" applyAlignment="1" applyProtection="1">
      <alignment horizontal="center" vertical="center" wrapText="1"/>
    </xf>
    <xf numFmtId="0" fontId="33" fillId="0" borderId="0" xfId="1" applyFont="1" applyFill="1" applyAlignment="1" applyProtection="1">
      <alignment horizontal="center" vertical="center"/>
    </xf>
    <xf numFmtId="172" fontId="38" fillId="0" borderId="0" xfId="1" applyNumberFormat="1" applyFont="1" applyFill="1" applyAlignment="1" applyProtection="1">
      <alignment horizontal="left" vertical="center" indent="1"/>
    </xf>
    <xf numFmtId="0" fontId="38" fillId="0" borderId="151" xfId="1" applyFont="1" applyFill="1" applyBorder="1" applyAlignment="1" applyProtection="1">
      <alignment horizontal="center" vertical="center" wrapText="1"/>
    </xf>
    <xf numFmtId="0" fontId="38" fillId="0" borderId="152" xfId="1" applyFont="1" applyFill="1" applyBorder="1" applyAlignment="1" applyProtection="1">
      <alignment horizontal="center" vertical="center" wrapText="1"/>
    </xf>
    <xf numFmtId="0" fontId="44" fillId="0" borderId="129" xfId="1" applyFont="1" applyBorder="1" applyAlignment="1" applyProtection="1">
      <alignment horizontal="center" vertical="center"/>
    </xf>
    <xf numFmtId="0" fontId="44" fillId="0" borderId="151" xfId="1" applyFont="1" applyBorder="1" applyAlignment="1" applyProtection="1">
      <alignment horizontal="center" vertical="center"/>
    </xf>
    <xf numFmtId="0" fontId="44" fillId="0" borderId="152" xfId="1" applyFont="1" applyBorder="1" applyAlignment="1" applyProtection="1">
      <alignment horizontal="center" vertical="center"/>
    </xf>
    <xf numFmtId="49" fontId="39" fillId="0" borderId="130" xfId="1" applyNumberFormat="1" applyFont="1" applyFill="1" applyBorder="1" applyAlignment="1" applyProtection="1">
      <alignment horizontal="center" vertical="center" wrapText="1"/>
    </xf>
    <xf numFmtId="49" fontId="39" fillId="0" borderId="0" xfId="1" applyNumberFormat="1" applyFont="1" applyFill="1" applyBorder="1" applyAlignment="1" applyProtection="1">
      <alignment horizontal="center" vertical="center" wrapText="1"/>
    </xf>
    <xf numFmtId="49" fontId="39" fillId="0" borderId="141" xfId="1" applyNumberFormat="1" applyFont="1" applyFill="1" applyBorder="1" applyAlignment="1" applyProtection="1">
      <alignment horizontal="center" vertical="center" wrapText="1"/>
    </xf>
    <xf numFmtId="0" fontId="89" fillId="51" borderId="84" xfId="0" applyFont="1" applyFill="1" applyBorder="1" applyAlignment="1" applyProtection="1">
      <alignment horizontal="center" vertical="center" wrapText="1"/>
    </xf>
    <xf numFmtId="0" fontId="89" fillId="51" borderId="99" xfId="0" applyFont="1" applyFill="1" applyBorder="1" applyAlignment="1" applyProtection="1">
      <alignment horizontal="center" vertical="center" wrapText="1"/>
    </xf>
    <xf numFmtId="0" fontId="33" fillId="0" borderId="0" xfId="1" applyFont="1" applyFill="1" applyBorder="1" applyAlignment="1" applyProtection="1">
      <alignment horizontal="left" vertical="center"/>
    </xf>
    <xf numFmtId="0" fontId="39" fillId="0" borderId="146" xfId="1" applyFont="1" applyFill="1" applyBorder="1" applyAlignment="1" applyProtection="1">
      <alignment horizontal="center" vertical="center" wrapText="1"/>
    </xf>
    <xf numFmtId="0" fontId="39" fillId="0" borderId="147" xfId="1" applyFont="1" applyFill="1" applyBorder="1" applyAlignment="1" applyProtection="1">
      <alignment horizontal="center" vertical="center" wrapText="1"/>
    </xf>
    <xf numFmtId="0" fontId="39" fillId="0" borderId="148" xfId="1" applyFont="1" applyFill="1" applyBorder="1" applyAlignment="1" applyProtection="1">
      <alignment horizontal="center" vertical="center" wrapText="1"/>
    </xf>
    <xf numFmtId="0" fontId="39" fillId="0" borderId="142" xfId="1" applyFont="1" applyFill="1" applyBorder="1" applyAlignment="1" applyProtection="1">
      <alignment horizontal="center" vertical="center"/>
    </xf>
    <xf numFmtId="0" fontId="39" fillId="0" borderId="143" xfId="1" applyFont="1" applyFill="1" applyBorder="1" applyAlignment="1" applyProtection="1">
      <alignment horizontal="center" vertical="center"/>
    </xf>
    <xf numFmtId="0" fontId="39" fillId="0" borderId="144" xfId="1" applyFont="1" applyFill="1" applyBorder="1" applyAlignment="1" applyProtection="1">
      <alignment horizontal="center" vertical="center"/>
    </xf>
    <xf numFmtId="0" fontId="39" fillId="0" borderId="145" xfId="1" applyFont="1" applyFill="1" applyBorder="1" applyAlignment="1" applyProtection="1">
      <alignment horizontal="center" vertical="center"/>
    </xf>
    <xf numFmtId="0" fontId="39" fillId="0" borderId="107" xfId="1" applyFont="1" applyFill="1" applyBorder="1" applyAlignment="1" applyProtection="1">
      <alignment horizontal="center" vertical="center"/>
    </xf>
    <xf numFmtId="0" fontId="39" fillId="0" borderId="134" xfId="1" applyFont="1" applyFill="1" applyBorder="1" applyAlignment="1" applyProtection="1">
      <alignment horizontal="center" vertical="center"/>
    </xf>
    <xf numFmtId="0" fontId="39" fillId="0" borderId="135" xfId="1" applyFont="1" applyFill="1" applyBorder="1" applyAlignment="1" applyProtection="1">
      <alignment horizontal="center" vertical="center"/>
    </xf>
    <xf numFmtId="0" fontId="39" fillId="0" borderId="136" xfId="1" applyFont="1" applyFill="1" applyBorder="1" applyAlignment="1" applyProtection="1">
      <alignment horizontal="center" vertical="center"/>
    </xf>
    <xf numFmtId="0" fontId="39" fillId="0" borderId="137" xfId="1" applyFont="1" applyFill="1" applyBorder="1" applyAlignment="1" applyProtection="1">
      <alignment horizontal="center" vertical="center"/>
    </xf>
    <xf numFmtId="0" fontId="38" fillId="0" borderId="164" xfId="1" applyFont="1" applyBorder="1" applyAlignment="1" applyProtection="1">
      <alignment horizontal="center" vertical="center" wrapText="1"/>
    </xf>
    <xf numFmtId="0" fontId="38" fillId="0" borderId="98" xfId="1" applyFont="1" applyBorder="1" applyAlignment="1" applyProtection="1">
      <alignment horizontal="center" vertical="center" wrapText="1"/>
    </xf>
    <xf numFmtId="0" fontId="38" fillId="0" borderId="175" xfId="1" applyFont="1" applyBorder="1" applyAlignment="1" applyProtection="1">
      <alignment horizontal="center" vertical="center" wrapText="1"/>
    </xf>
    <xf numFmtId="0" fontId="38" fillId="0" borderId="146" xfId="1" applyFont="1" applyBorder="1" applyAlignment="1" applyProtection="1">
      <alignment horizontal="center" vertical="center" wrapText="1"/>
    </xf>
    <xf numFmtId="0" fontId="38" fillId="0" borderId="147" xfId="1" applyFont="1" applyBorder="1" applyAlignment="1" applyProtection="1">
      <alignment horizontal="center" vertical="center" wrapText="1"/>
    </xf>
    <xf numFmtId="0" fontId="38" fillId="0" borderId="148" xfId="1" applyFont="1" applyBorder="1" applyAlignment="1" applyProtection="1">
      <alignment horizontal="center" vertical="center" wrapText="1"/>
    </xf>
    <xf numFmtId="173" fontId="42" fillId="0" borderId="150" xfId="66" applyNumberFormat="1" applyFont="1" applyFill="1" applyBorder="1" applyAlignment="1" applyProtection="1">
      <alignment horizontal="right" vertical="center" wrapText="1" indent="2"/>
    </xf>
    <xf numFmtId="173" fontId="42" fillId="0" borderId="152" xfId="66" applyNumberFormat="1" applyFont="1" applyFill="1" applyBorder="1" applyAlignment="1" applyProtection="1">
      <alignment horizontal="right" vertical="center" wrapText="1" indent="2"/>
    </xf>
    <xf numFmtId="168" fontId="39" fillId="0" borderId="130" xfId="1" applyNumberFormat="1" applyFont="1" applyBorder="1" applyAlignment="1" applyProtection="1">
      <alignment horizontal="left" vertical="center" wrapText="1" indent="1"/>
    </xf>
    <xf numFmtId="168" fontId="39" fillId="0" borderId="131" xfId="1" applyNumberFormat="1" applyFont="1" applyBorder="1" applyAlignment="1" applyProtection="1">
      <alignment horizontal="left" vertical="center" wrapText="1" indent="1"/>
    </xf>
    <xf numFmtId="168" fontId="49" fillId="0" borderId="0" xfId="1" applyNumberFormat="1" applyFont="1" applyBorder="1" applyAlignment="1" applyProtection="1">
      <alignment horizontal="left" vertical="center" indent="1"/>
    </xf>
    <xf numFmtId="0" fontId="38" fillId="0" borderId="0" xfId="0" applyFont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5" fillId="36" borderId="84" xfId="64" applyFill="1" applyBorder="1" applyAlignment="1">
      <alignment horizontal="left" vertical="center"/>
    </xf>
    <xf numFmtId="0" fontId="2" fillId="36" borderId="98" xfId="0" applyFont="1" applyFill="1" applyBorder="1" applyAlignment="1">
      <alignment horizontal="left" vertical="center"/>
    </xf>
    <xf numFmtId="0" fontId="2" fillId="36" borderId="99" xfId="0" applyFont="1" applyFill="1" applyBorder="1" applyAlignment="1">
      <alignment horizontal="left" vertical="center"/>
    </xf>
    <xf numFmtId="0" fontId="35" fillId="0" borderId="0" xfId="64" applyBorder="1" applyAlignment="1">
      <alignment horizontal="center" vertical="center"/>
    </xf>
    <xf numFmtId="0" fontId="49" fillId="60" borderId="155" xfId="0" applyFont="1" applyFill="1" applyBorder="1" applyAlignment="1">
      <alignment horizontal="center" vertical="center" wrapText="1"/>
    </xf>
    <xf numFmtId="0" fontId="49" fillId="60" borderId="157" xfId="0" applyFont="1" applyFill="1" applyBorder="1" applyAlignment="1">
      <alignment horizontal="center" vertical="center" wrapText="1"/>
    </xf>
    <xf numFmtId="0" fontId="2" fillId="30" borderId="84" xfId="0" applyFont="1" applyFill="1" applyBorder="1" applyAlignment="1">
      <alignment horizontal="right" vertical="center"/>
    </xf>
    <xf numFmtId="0" fontId="2" fillId="30" borderId="98" xfId="0" applyFont="1" applyFill="1" applyBorder="1" applyAlignment="1">
      <alignment horizontal="right" vertical="center"/>
    </xf>
    <xf numFmtId="0" fontId="2" fillId="55" borderId="84" xfId="0" applyFont="1" applyFill="1" applyBorder="1" applyAlignment="1">
      <alignment horizontal="right" vertical="center"/>
    </xf>
    <xf numFmtId="0" fontId="2" fillId="55" borderId="98" xfId="0" applyFont="1" applyFill="1" applyBorder="1" applyAlignment="1">
      <alignment horizontal="right" vertical="center"/>
    </xf>
    <xf numFmtId="0" fontId="33" fillId="0" borderId="124" xfId="0" applyFont="1" applyBorder="1" applyAlignment="1">
      <alignment horizontal="center" vertical="center"/>
    </xf>
    <xf numFmtId="0" fontId="38" fillId="37" borderId="107" xfId="0" applyFont="1" applyFill="1" applyBorder="1" applyAlignment="1">
      <alignment horizontal="center" vertical="center"/>
    </xf>
    <xf numFmtId="0" fontId="35" fillId="58" borderId="84" xfId="64" applyFill="1" applyBorder="1" applyAlignment="1">
      <alignment horizontal="left" vertical="center"/>
    </xf>
    <xf numFmtId="0" fontId="2" fillId="58" borderId="98" xfId="0" applyFont="1" applyFill="1" applyBorder="1" applyAlignment="1">
      <alignment horizontal="left" vertical="center"/>
    </xf>
    <xf numFmtId="0" fontId="2" fillId="58" borderId="99" xfId="0" applyFont="1" applyFill="1" applyBorder="1" applyAlignment="1">
      <alignment horizontal="left" vertical="center"/>
    </xf>
    <xf numFmtId="0" fontId="101" fillId="36" borderId="84" xfId="0" applyFont="1" applyFill="1" applyBorder="1" applyAlignment="1">
      <alignment horizontal="left" vertical="center"/>
    </xf>
    <xf numFmtId="0" fontId="101" fillId="36" borderId="98" xfId="0" applyFont="1" applyFill="1" applyBorder="1" applyAlignment="1">
      <alignment horizontal="left" vertical="center"/>
    </xf>
    <xf numFmtId="0" fontId="101" fillId="36" borderId="99" xfId="0" applyFont="1" applyFill="1" applyBorder="1" applyAlignment="1">
      <alignment horizontal="left" vertical="center"/>
    </xf>
    <xf numFmtId="0" fontId="101" fillId="57" borderId="84" xfId="0" applyFont="1" applyFill="1" applyBorder="1" applyAlignment="1">
      <alignment horizontal="left" vertical="center"/>
    </xf>
    <xf numFmtId="0" fontId="101" fillId="57" borderId="98" xfId="0" applyFont="1" applyFill="1" applyBorder="1" applyAlignment="1">
      <alignment horizontal="left" vertical="center"/>
    </xf>
    <xf numFmtId="0" fontId="101" fillId="57" borderId="99" xfId="0" applyFont="1" applyFill="1" applyBorder="1" applyAlignment="1">
      <alignment horizontal="left" vertical="center"/>
    </xf>
    <xf numFmtId="0" fontId="101" fillId="58" borderId="84" xfId="0" applyFont="1" applyFill="1" applyBorder="1" applyAlignment="1">
      <alignment horizontal="left" vertical="center"/>
    </xf>
    <xf numFmtId="0" fontId="101" fillId="58" borderId="98" xfId="0" applyFont="1" applyFill="1" applyBorder="1" applyAlignment="1">
      <alignment horizontal="left" vertical="center"/>
    </xf>
    <xf numFmtId="0" fontId="101" fillId="58" borderId="99" xfId="0" applyFont="1" applyFill="1" applyBorder="1" applyAlignment="1">
      <alignment horizontal="left" vertical="center"/>
    </xf>
    <xf numFmtId="0" fontId="101" fillId="37" borderId="84" xfId="0" applyFont="1" applyFill="1" applyBorder="1"/>
    <xf numFmtId="0" fontId="101" fillId="37" borderId="98" xfId="0" applyFont="1" applyFill="1" applyBorder="1"/>
    <xf numFmtId="0" fontId="101" fillId="37" borderId="99" xfId="0" applyFont="1" applyFill="1" applyBorder="1"/>
    <xf numFmtId="0" fontId="35" fillId="37" borderId="84" xfId="64" applyFill="1" applyBorder="1"/>
    <xf numFmtId="0" fontId="35" fillId="37" borderId="98" xfId="64" applyFill="1" applyBorder="1"/>
    <xf numFmtId="0" fontId="35" fillId="37" borderId="99" xfId="64" applyFill="1" applyBorder="1"/>
    <xf numFmtId="0" fontId="35" fillId="57" borderId="84" xfId="64" applyFill="1" applyBorder="1" applyAlignment="1">
      <alignment horizontal="left" vertical="center"/>
    </xf>
    <xf numFmtId="0" fontId="2" fillId="57" borderId="98" xfId="0" applyFont="1" applyFill="1" applyBorder="1" applyAlignment="1">
      <alignment horizontal="left" vertical="center"/>
    </xf>
    <xf numFmtId="0" fontId="2" fillId="57" borderId="99" xfId="0" applyFont="1" applyFill="1" applyBorder="1" applyAlignment="1">
      <alignment horizontal="left" vertical="center"/>
    </xf>
    <xf numFmtId="0" fontId="33" fillId="56" borderId="107" xfId="0" applyFont="1" applyFill="1" applyBorder="1" applyAlignment="1">
      <alignment horizontal="center" vertical="center" textRotation="90" wrapText="1"/>
    </xf>
    <xf numFmtId="0" fontId="33" fillId="57" borderId="107" xfId="0" applyFont="1" applyFill="1" applyBorder="1" applyAlignment="1">
      <alignment horizontal="center" vertical="center" textRotation="90" wrapText="1"/>
    </xf>
    <xf numFmtId="0" fontId="33" fillId="36" borderId="107" xfId="0" applyFont="1" applyFill="1" applyBorder="1" applyAlignment="1">
      <alignment horizontal="center" vertical="center" textRotation="90" wrapText="1"/>
    </xf>
    <xf numFmtId="0" fontId="47" fillId="60" borderId="124" xfId="0" applyFont="1" applyFill="1" applyBorder="1" applyAlignment="1">
      <alignment horizontal="center" vertical="center"/>
    </xf>
    <xf numFmtId="1" fontId="33" fillId="54" borderId="124" xfId="0" applyNumberFormat="1" applyFont="1" applyFill="1" applyBorder="1" applyAlignment="1">
      <alignment horizontal="center" vertical="center"/>
    </xf>
    <xf numFmtId="0" fontId="33" fillId="54" borderId="124" xfId="0" applyFont="1" applyFill="1" applyBorder="1" applyAlignment="1">
      <alignment horizontal="center" vertical="center"/>
    </xf>
    <xf numFmtId="0" fontId="35" fillId="0" borderId="0" xfId="64" applyAlignment="1">
      <alignment horizontal="left" wrapText="1"/>
    </xf>
    <xf numFmtId="0" fontId="66" fillId="0" borderId="0" xfId="64" applyFont="1" applyAlignment="1">
      <alignment horizontal="left" vertical="center" wrapText="1"/>
    </xf>
    <xf numFmtId="0" fontId="49" fillId="60" borderId="12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28" fillId="0" borderId="19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28" fillId="0" borderId="25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23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28" fillId="0" borderId="32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18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left" vertical="center" wrapText="1"/>
    </xf>
    <xf numFmtId="0" fontId="29" fillId="0" borderId="22" xfId="0" applyFont="1" applyFill="1" applyBorder="1" applyAlignment="1">
      <alignment horizontal="left" vertical="center" wrapText="1"/>
    </xf>
    <xf numFmtId="0" fontId="29" fillId="0" borderId="28" xfId="0" applyFont="1" applyFill="1" applyBorder="1" applyAlignment="1">
      <alignment horizontal="left" vertical="center" wrapText="1"/>
    </xf>
    <xf numFmtId="0" fontId="29" fillId="40" borderId="19" xfId="0" applyFont="1" applyFill="1" applyBorder="1" applyAlignment="1">
      <alignment horizontal="left" vertical="center" wrapText="1"/>
    </xf>
    <xf numFmtId="0" fontId="29" fillId="40" borderId="22" xfId="0" applyFont="1" applyFill="1" applyBorder="1" applyAlignment="1">
      <alignment horizontal="left" vertical="center" wrapText="1"/>
    </xf>
    <xf numFmtId="0" fontId="29" fillId="40" borderId="28" xfId="0" applyFont="1" applyFill="1" applyBorder="1" applyAlignment="1">
      <alignment horizontal="left" vertical="center" wrapText="1"/>
    </xf>
    <xf numFmtId="0" fontId="30" fillId="0" borderId="19" xfId="0" applyFont="1" applyFill="1" applyBorder="1" applyAlignment="1">
      <alignment horizontal="left" vertical="center" wrapText="1"/>
    </xf>
    <xf numFmtId="0" fontId="30" fillId="0" borderId="89" xfId="0" applyFont="1" applyFill="1" applyBorder="1" applyAlignment="1">
      <alignment horizontal="left" vertical="center" wrapText="1"/>
    </xf>
    <xf numFmtId="0" fontId="30" fillId="0" borderId="91" xfId="0" applyFont="1" applyFill="1" applyBorder="1" applyAlignment="1">
      <alignment horizontal="left" vertical="center" wrapText="1"/>
    </xf>
    <xf numFmtId="0" fontId="29" fillId="0" borderId="106" xfId="0" applyFont="1" applyFill="1" applyBorder="1" applyAlignment="1">
      <alignment horizontal="left" vertical="center" wrapText="1"/>
    </xf>
    <xf numFmtId="0" fontId="29" fillId="0" borderId="109" xfId="0" applyFont="1" applyFill="1" applyBorder="1" applyAlignment="1">
      <alignment horizontal="left" vertical="center" wrapText="1"/>
    </xf>
    <xf numFmtId="0" fontId="29" fillId="0" borderId="31" xfId="0" applyFont="1" applyFill="1" applyBorder="1" applyAlignment="1">
      <alignment horizontal="left" vertical="center" wrapText="1"/>
    </xf>
    <xf numFmtId="0" fontId="29" fillId="0" borderId="35" xfId="0" applyFont="1" applyFill="1" applyBorder="1" applyAlignment="1">
      <alignment horizontal="left" vertical="center" wrapText="1"/>
    </xf>
    <xf numFmtId="0" fontId="29" fillId="0" borderId="40" xfId="0" applyFont="1" applyFill="1" applyBorder="1" applyAlignment="1">
      <alignment horizontal="left" vertical="center" wrapText="1"/>
    </xf>
    <xf numFmtId="0" fontId="29" fillId="0" borderId="25" xfId="0" applyFont="1" applyFill="1" applyBorder="1" applyAlignment="1">
      <alignment horizontal="left" vertical="center" wrapText="1"/>
    </xf>
    <xf numFmtId="0" fontId="28" fillId="0" borderId="31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 wrapText="1"/>
    </xf>
    <xf numFmtId="0" fontId="28" fillId="0" borderId="40" xfId="0" applyFont="1" applyFill="1" applyBorder="1" applyAlignment="1">
      <alignment horizontal="center" vertical="center" wrapText="1"/>
    </xf>
    <xf numFmtId="0" fontId="28" fillId="0" borderId="33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 wrapText="1"/>
    </xf>
    <xf numFmtId="0" fontId="28" fillId="0" borderId="36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 wrapText="1"/>
    </xf>
    <xf numFmtId="0" fontId="28" fillId="0" borderId="38" xfId="0" applyFont="1" applyFill="1" applyBorder="1" applyAlignment="1">
      <alignment horizontal="center" vertical="center" wrapText="1"/>
    </xf>
    <xf numFmtId="0" fontId="28" fillId="0" borderId="39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87" fillId="0" borderId="41" xfId="0" applyFont="1" applyBorder="1" applyAlignment="1">
      <alignment horizontal="center" vertical="center"/>
    </xf>
    <xf numFmtId="0" fontId="87" fillId="0" borderId="43" xfId="0" applyFont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73" xfId="0" applyBorder="1" applyAlignment="1">
      <alignment horizontal="center"/>
    </xf>
    <xf numFmtId="0" fontId="87" fillId="0" borderId="31" xfId="0" applyFont="1" applyBorder="1" applyAlignment="1">
      <alignment horizontal="center" vertical="center"/>
    </xf>
    <xf numFmtId="0" fontId="87" fillId="0" borderId="119" xfId="0" applyFont="1" applyBorder="1" applyAlignment="1">
      <alignment horizontal="center" vertical="center"/>
    </xf>
    <xf numFmtId="0" fontId="28" fillId="0" borderId="76" xfId="0" applyFont="1" applyFill="1" applyBorder="1" applyAlignment="1">
      <alignment horizontal="center" vertical="center"/>
    </xf>
    <xf numFmtId="0" fontId="28" fillId="0" borderId="87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106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46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80" xfId="0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0" fillId="24" borderId="19" xfId="0" applyFill="1" applyBorder="1" applyAlignment="1">
      <alignment horizontal="center" vertical="center"/>
    </xf>
    <xf numFmtId="0" fontId="0" fillId="24" borderId="46" xfId="0" applyFill="1" applyBorder="1" applyAlignment="1">
      <alignment horizontal="center" vertical="center"/>
    </xf>
    <xf numFmtId="0" fontId="0" fillId="24" borderId="50" xfId="0" applyFill="1" applyBorder="1" applyAlignment="1">
      <alignment horizontal="center" vertical="center"/>
    </xf>
    <xf numFmtId="0" fontId="0" fillId="24" borderId="19" xfId="0" applyFill="1" applyBorder="1" applyAlignment="1">
      <alignment horizontal="center" vertical="center" wrapText="1"/>
    </xf>
    <xf numFmtId="0" fontId="0" fillId="24" borderId="46" xfId="0" applyFill="1" applyBorder="1" applyAlignment="1">
      <alignment horizontal="center" vertical="center" wrapText="1"/>
    </xf>
    <xf numFmtId="0" fontId="0" fillId="24" borderId="50" xfId="0" applyFill="1" applyBorder="1" applyAlignment="1">
      <alignment horizontal="center" vertical="center" wrapText="1"/>
    </xf>
  </cellXfs>
  <cellStyles count="170">
    <cellStyle name="0,0_x000a__x000a_NA_x000a__x000a_" xfId="164"/>
    <cellStyle name="0,0_x000d__x000a_NA_x000d__x000a_" xfId="3"/>
    <cellStyle name="0,0_x000d__x000a_NA_x000d__x000a_ 2" xfId="151"/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Euro" xfId="67"/>
    <cellStyle name="Excel Built-in Normal" xfId="152"/>
    <cellStyle name="hjj" xfId="68"/>
    <cellStyle name="hjj 2" xfId="150"/>
    <cellStyle name="Normal_Domestic 14042009_ITI_draft" xfId="153"/>
    <cellStyle name="Normalny_Cennik KOELNER 2002" xfId="22"/>
    <cellStyle name="Акцент1 2" xfId="23"/>
    <cellStyle name="Акцент1 2 2" xfId="109"/>
    <cellStyle name="Акцент2 2" xfId="24"/>
    <cellStyle name="Акцент2 2 2" xfId="110"/>
    <cellStyle name="Акцент3 2" xfId="25"/>
    <cellStyle name="Акцент3 2 2" xfId="111"/>
    <cellStyle name="Акцент4 2" xfId="26"/>
    <cellStyle name="Акцент4 2 2" xfId="112"/>
    <cellStyle name="Акцент5 2" xfId="27"/>
    <cellStyle name="Акцент5 2 2" xfId="113"/>
    <cellStyle name="Акцент6 2" xfId="28"/>
    <cellStyle name="Акцент6 2 2" xfId="114"/>
    <cellStyle name="Ввод  2" xfId="29"/>
    <cellStyle name="Ввод  2 2" xfId="115"/>
    <cellStyle name="Ввод  2 3" xfId="145"/>
    <cellStyle name="Вывод 2" xfId="30"/>
    <cellStyle name="Вывод 2 2" xfId="116"/>
    <cellStyle name="Вывод 2 3" xfId="146"/>
    <cellStyle name="Вычисление 2" xfId="31"/>
    <cellStyle name="Вычисление 2 2" xfId="117"/>
    <cellStyle name="Вычисление 2 3" xfId="147"/>
    <cellStyle name="Гиперссылка" xfId="64" builtinId="8"/>
    <cellStyle name="Гиперссылка 2" xfId="70"/>
    <cellStyle name="Гиперссылка 2 2" xfId="71"/>
    <cellStyle name="Гиперссылка 2 3" xfId="155"/>
    <cellStyle name="Гиперссылка 2 4" xfId="165"/>
    <cellStyle name="Гиперссылка 3" xfId="72"/>
    <cellStyle name="Гиперссылка 3 2" xfId="156"/>
    <cellStyle name="Гиперссылка 3 3" xfId="166"/>
    <cellStyle name="Гиперссылка 4" xfId="69"/>
    <cellStyle name="Гиперссылка 5" xfId="154"/>
    <cellStyle name="Денежный" xfId="63" builtinId="4"/>
    <cellStyle name="Заголовок 1 2" xfId="32"/>
    <cellStyle name="Заголовок 1 2 2" xfId="118"/>
    <cellStyle name="Заголовок 2 2" xfId="33"/>
    <cellStyle name="Заголовок 2 2 2" xfId="119"/>
    <cellStyle name="Заголовок 3 2" xfId="34"/>
    <cellStyle name="Заголовок 3 2 2" xfId="120"/>
    <cellStyle name="Заголовок 4 2" xfId="35"/>
    <cellStyle name="Заголовок 4 2 2" xfId="121"/>
    <cellStyle name="Итог 2" xfId="36"/>
    <cellStyle name="Итог 2 2" xfId="122"/>
    <cellStyle name="Итог 2 3" xfId="148"/>
    <cellStyle name="Контрольная ячейка 2" xfId="37"/>
    <cellStyle name="Контрольная ячейка 2 2" xfId="123"/>
    <cellStyle name="Название 2" xfId="38"/>
    <cellStyle name="Нейтральный 2" xfId="39"/>
    <cellStyle name="Нейтральный 2 2" xfId="124"/>
    <cellStyle name="Обычный" xfId="0" builtinId="0"/>
    <cellStyle name="Обычный 10" xfId="162"/>
    <cellStyle name="Обычный 11" xfId="163"/>
    <cellStyle name="Обычный 13" xfId="73"/>
    <cellStyle name="Обычный 13 2" xfId="98"/>
    <cellStyle name="Обычный 13 3" xfId="127"/>
    <cellStyle name="Обычный 16" xfId="125"/>
    <cellStyle name="Обычный 2" xfId="1"/>
    <cellStyle name="Обычный 2 2" xfId="40"/>
    <cellStyle name="Обычный 2 2 2" xfId="75"/>
    <cellStyle name="Обычный 2 2 3" xfId="99"/>
    <cellStyle name="Обычный 2 2 3 2" xfId="157"/>
    <cellStyle name="Обычный 2 2 4" xfId="126"/>
    <cellStyle name="Обычный 2 2 5" xfId="74"/>
    <cellStyle name="Обычный 2 3" xfId="41"/>
    <cellStyle name="Обычный 2 3 2" xfId="76"/>
    <cellStyle name="Обычный 2 3 2 2" xfId="158"/>
    <cellStyle name="Обычный 2 4" xfId="77"/>
    <cellStyle name="Обычный 2 4 2" xfId="78"/>
    <cellStyle name="Обычный 2_09-03-19 Зоны ответсвенности заводов" xfId="167"/>
    <cellStyle name="Обычный 3" xfId="2"/>
    <cellStyle name="Обычный 3 2" xfId="42"/>
    <cellStyle name="Обычный 3 2 2" xfId="79"/>
    <cellStyle name="Обычный 3 3" xfId="43"/>
    <cellStyle name="Обычный 3 3 2" xfId="80"/>
    <cellStyle name="Обычный 3 3 3" xfId="168"/>
    <cellStyle name="Обычный 3 4" xfId="44"/>
    <cellStyle name="Обычный 3 4 2" xfId="100"/>
    <cellStyle name="Обычный 3 4 3" xfId="138"/>
    <cellStyle name="Обычный 3 4 4" xfId="81"/>
    <cellStyle name="Обычный 3_КВ региональные Версия от 16.03.2010г. (1)" xfId="159"/>
    <cellStyle name="Обычный 4" xfId="45"/>
    <cellStyle name="Обычный 4 2" xfId="83"/>
    <cellStyle name="Обычный 4 2 2" xfId="160"/>
    <cellStyle name="Обычный 4 3" xfId="84"/>
    <cellStyle name="Обычный 4 3 2" xfId="101"/>
    <cellStyle name="Обычный 4 3 3" xfId="139"/>
    <cellStyle name="Обычный 4 4" xfId="82"/>
    <cellStyle name="Обычный 4 5" xfId="169"/>
    <cellStyle name="Обычный 5" xfId="46"/>
    <cellStyle name="Обычный 5 2" xfId="86"/>
    <cellStyle name="Обычный 5 2 2" xfId="103"/>
    <cellStyle name="Обычный 5 2 3" xfId="140"/>
    <cellStyle name="Обычный 5 3" xfId="87"/>
    <cellStyle name="Обычный 5 4" xfId="102"/>
    <cellStyle name="Обычный 5 5" xfId="128"/>
    <cellStyle name="Обычный 5 6" xfId="85"/>
    <cellStyle name="Обычный 5 7" xfId="161"/>
    <cellStyle name="Обычный 6" xfId="47"/>
    <cellStyle name="Обычный 6 2" xfId="108"/>
    <cellStyle name="Обычный 7" xfId="59"/>
    <cellStyle name="Обычный 7 2" xfId="129"/>
    <cellStyle name="Обычный 8" xfId="65"/>
    <cellStyle name="Обычный 8 2" xfId="89"/>
    <cellStyle name="Обычный 8 2 2" xfId="104"/>
    <cellStyle name="Обычный 8 2 3" xfId="141"/>
    <cellStyle name="Обычный 8 3" xfId="88"/>
    <cellStyle name="Обычный 9" xfId="130"/>
    <cellStyle name="Плохой 2" xfId="48"/>
    <cellStyle name="Плохой 2 2" xfId="131"/>
    <cellStyle name="Пояснение 2" xfId="49"/>
    <cellStyle name="Пояснение 2 2" xfId="132"/>
    <cellStyle name="Примечание 2" xfId="50"/>
    <cellStyle name="Примечание 2 2" xfId="133"/>
    <cellStyle name="Примечание 2 3" xfId="149"/>
    <cellStyle name="Процентный" xfId="62" builtinId="5"/>
    <cellStyle name="Процентный 2" xfId="51"/>
    <cellStyle name="Процентный 2 2" xfId="52"/>
    <cellStyle name="Процентный 2 3" xfId="90"/>
    <cellStyle name="Процентный 3" xfId="53"/>
    <cellStyle name="Процентный 3 2" xfId="105"/>
    <cellStyle name="Процентный 3 3" xfId="142"/>
    <cellStyle name="Процентный 3 4" xfId="91"/>
    <cellStyle name="Процентный 4" xfId="97"/>
    <cellStyle name="Связанная ячейка 2" xfId="54"/>
    <cellStyle name="Связанная ячейка 2 2" xfId="134"/>
    <cellStyle name="Стиль 1" xfId="92"/>
    <cellStyle name="Текст предупреждения 2" xfId="55"/>
    <cellStyle name="Текст предупреждения 2 2" xfId="135"/>
    <cellStyle name="Финансовый" xfId="61" builtinId="3"/>
    <cellStyle name="Финансовый 2" xfId="56"/>
    <cellStyle name="Финансовый 2 2" xfId="57"/>
    <cellStyle name="Финансовый 2 3" xfId="66"/>
    <cellStyle name="Финансовый 2 4" xfId="94"/>
    <cellStyle name="Финансовый 3" xfId="60"/>
    <cellStyle name="Финансовый 3 2" xfId="96"/>
    <cellStyle name="Финансовый 3 2 2" xfId="107"/>
    <cellStyle name="Финансовый 3 2 3" xfId="144"/>
    <cellStyle name="Финансовый 3 3" xfId="106"/>
    <cellStyle name="Финансовый 3 4" xfId="143"/>
    <cellStyle name="Финансовый 3 5" xfId="95"/>
    <cellStyle name="Финансовый 4" xfId="136"/>
    <cellStyle name="Финансовый 5" xfId="93"/>
    <cellStyle name="Хороший 2" xfId="58"/>
    <cellStyle name="Хороший 2 2" xfId="137"/>
  </cellStyles>
  <dxfs count="140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73" formatCode="#,##0.00\ &quot;₽&quot;"/>
      <alignment horizontal="general" vertical="center" textRotation="0" wrapText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  <numFmt numFmtId="173" formatCode="#,##0.00\ &quot;₽&quot;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  <numFmt numFmtId="173" formatCode="#,##0.00\ &quot;₽&quot;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  <numFmt numFmtId="174" formatCode="0.000"/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  <numFmt numFmtId="174" formatCode="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i val="0"/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center" textRotation="0" indent="0" justifyLastLine="0" shrinkToFit="0" readingOrder="0"/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color theme="0"/>
      </font>
      <border>
        <left/>
        <right/>
        <top/>
        <bottom style="thin">
          <color theme="2" tint="-0.24994659260841701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 tint="-0.2499465926084170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theme="5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0" tint="-0.499984740745262"/>
        </patternFill>
      </fill>
    </dxf>
    <dxf>
      <fill>
        <patternFill>
          <bgColor theme="4"/>
        </patternFill>
      </fill>
    </dxf>
    <dxf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</dxfs>
  <tableStyles count="1" defaultTableStyle="TableStyleMedium9" defaultPivotStyle="PivotStyleLight16">
    <tableStyle name="Стиль таблицы 1" pivot="0" count="1">
      <tableStyleElement type="wholeTable" dxfId="1400"/>
    </tableStyle>
  </tableStyles>
  <colors>
    <mruColors>
      <color rgb="FFFF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0</xdr:row>
      <xdr:rowOff>1162050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247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30480</xdr:colOff>
          <xdr:row>7</xdr:row>
          <xdr:rowOff>213360</xdr:rowOff>
        </xdr:from>
        <xdr:to>
          <xdr:col>18</xdr:col>
          <xdr:colOff>121920</xdr:colOff>
          <xdr:row>10</xdr:row>
          <xdr:rowOff>0</xdr:rowOff>
        </xdr:to>
        <xdr:sp macro="" textlink="">
          <xdr:nvSpPr>
            <xdr:cNvPr id="371714" name="Button 2" hidden="1">
              <a:extLst>
                <a:ext uri="{63B3BB69-23CF-44E3-9099-C40C66FF867C}">
                  <a14:compatExt spid="_x0000_s371714"/>
                </a:ext>
                <a:ext uri="{FF2B5EF4-FFF2-40B4-BE49-F238E27FC236}">
                  <a16:creationId xmlns:a16="http://schemas.microsoft.com/office/drawing/2014/main" id="{00000000-0008-0000-0C00-000002A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Подготовить файл</a:t>
              </a:r>
            </a:p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к отправке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275492</xdr:colOff>
      <xdr:row>0</xdr:row>
      <xdr:rowOff>1162050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247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0</xdr:row>
      <xdr:rowOff>54429</xdr:rowOff>
    </xdr:from>
    <xdr:to>
      <xdr:col>7</xdr:col>
      <xdr:colOff>721972</xdr:colOff>
      <xdr:row>1</xdr:row>
      <xdr:rowOff>15479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182" y="54429"/>
          <a:ext cx="7833065" cy="115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79</xdr:row>
          <xdr:rowOff>0</xdr:rowOff>
        </xdr:from>
        <xdr:to>
          <xdr:col>9</xdr:col>
          <xdr:colOff>0</xdr:colOff>
          <xdr:row>79</xdr:row>
          <xdr:rowOff>198120</xdr:rowOff>
        </xdr:to>
        <xdr:sp macro="" textlink="">
          <xdr:nvSpPr>
            <xdr:cNvPr id="570372" name="Button 4" hidden="1">
              <a:extLst>
                <a:ext uri="{63B3BB69-23CF-44E3-9099-C40C66FF867C}">
                  <a14:compatExt spid="_x0000_s570372"/>
                </a:ext>
                <a:ext uri="{FF2B5EF4-FFF2-40B4-BE49-F238E27FC236}">
                  <a16:creationId xmlns:a16="http://schemas.microsoft.com/office/drawing/2014/main" id="{00000000-0008-0000-0E00-000004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96</xdr:row>
          <xdr:rowOff>0</xdr:rowOff>
        </xdr:from>
        <xdr:to>
          <xdr:col>9</xdr:col>
          <xdr:colOff>0</xdr:colOff>
          <xdr:row>97</xdr:row>
          <xdr:rowOff>0</xdr:rowOff>
        </xdr:to>
        <xdr:sp macro="" textlink="">
          <xdr:nvSpPr>
            <xdr:cNvPr id="570373" name="Button 5" hidden="1">
              <a:extLst>
                <a:ext uri="{63B3BB69-23CF-44E3-9099-C40C66FF867C}">
                  <a14:compatExt spid="_x0000_s570373"/>
                </a:ext>
                <a:ext uri="{FF2B5EF4-FFF2-40B4-BE49-F238E27FC236}">
                  <a16:creationId xmlns:a16="http://schemas.microsoft.com/office/drawing/2014/main" id="{00000000-0008-0000-0E00-000005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113</xdr:row>
          <xdr:rowOff>0</xdr:rowOff>
        </xdr:from>
        <xdr:to>
          <xdr:col>9</xdr:col>
          <xdr:colOff>0</xdr:colOff>
          <xdr:row>114</xdr:row>
          <xdr:rowOff>0</xdr:rowOff>
        </xdr:to>
        <xdr:sp macro="" textlink="">
          <xdr:nvSpPr>
            <xdr:cNvPr id="570374" name="Button 6" hidden="1">
              <a:extLst>
                <a:ext uri="{63B3BB69-23CF-44E3-9099-C40C66FF867C}">
                  <a14:compatExt spid="_x0000_s570374"/>
                </a:ext>
                <a:ext uri="{FF2B5EF4-FFF2-40B4-BE49-F238E27FC236}">
                  <a16:creationId xmlns:a16="http://schemas.microsoft.com/office/drawing/2014/main" id="{00000000-0008-0000-0E00-000006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130</xdr:row>
          <xdr:rowOff>0</xdr:rowOff>
        </xdr:from>
        <xdr:to>
          <xdr:col>9</xdr:col>
          <xdr:colOff>0</xdr:colOff>
          <xdr:row>131</xdr:row>
          <xdr:rowOff>0</xdr:rowOff>
        </xdr:to>
        <xdr:sp macro="" textlink="">
          <xdr:nvSpPr>
            <xdr:cNvPr id="570375" name="Button 7" hidden="1">
              <a:extLst>
                <a:ext uri="{63B3BB69-23CF-44E3-9099-C40C66FF867C}">
                  <a14:compatExt spid="_x0000_s570375"/>
                </a:ext>
                <a:ext uri="{FF2B5EF4-FFF2-40B4-BE49-F238E27FC236}">
                  <a16:creationId xmlns:a16="http://schemas.microsoft.com/office/drawing/2014/main" id="{00000000-0008-0000-0E00-000007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147</xdr:row>
          <xdr:rowOff>0</xdr:rowOff>
        </xdr:from>
        <xdr:to>
          <xdr:col>9</xdr:col>
          <xdr:colOff>0</xdr:colOff>
          <xdr:row>147</xdr:row>
          <xdr:rowOff>198120</xdr:rowOff>
        </xdr:to>
        <xdr:sp macro="" textlink="">
          <xdr:nvSpPr>
            <xdr:cNvPr id="570376" name="Button 8" hidden="1">
              <a:extLst>
                <a:ext uri="{63B3BB69-23CF-44E3-9099-C40C66FF867C}">
                  <a14:compatExt spid="_x0000_s570376"/>
                </a:ext>
                <a:ext uri="{FF2B5EF4-FFF2-40B4-BE49-F238E27FC236}">
                  <a16:creationId xmlns:a16="http://schemas.microsoft.com/office/drawing/2014/main" id="{00000000-0008-0000-0E00-000008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640080</xdr:colOff>
          <xdr:row>164</xdr:row>
          <xdr:rowOff>0</xdr:rowOff>
        </xdr:from>
        <xdr:to>
          <xdr:col>9</xdr:col>
          <xdr:colOff>7620</xdr:colOff>
          <xdr:row>165</xdr:row>
          <xdr:rowOff>0</xdr:rowOff>
        </xdr:to>
        <xdr:sp macro="" textlink="">
          <xdr:nvSpPr>
            <xdr:cNvPr id="570377" name="Button 9" hidden="1">
              <a:extLst>
                <a:ext uri="{63B3BB69-23CF-44E3-9099-C40C66FF867C}">
                  <a14:compatExt spid="_x0000_s570377"/>
                </a:ext>
                <a:ext uri="{FF2B5EF4-FFF2-40B4-BE49-F238E27FC236}">
                  <a16:creationId xmlns:a16="http://schemas.microsoft.com/office/drawing/2014/main" id="{00000000-0008-0000-0E00-000009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181</xdr:row>
          <xdr:rowOff>0</xdr:rowOff>
        </xdr:from>
        <xdr:to>
          <xdr:col>9</xdr:col>
          <xdr:colOff>7620</xdr:colOff>
          <xdr:row>182</xdr:row>
          <xdr:rowOff>0</xdr:rowOff>
        </xdr:to>
        <xdr:sp macro="" textlink="">
          <xdr:nvSpPr>
            <xdr:cNvPr id="570378" name="Button 10" hidden="1">
              <a:extLst>
                <a:ext uri="{63B3BB69-23CF-44E3-9099-C40C66FF867C}">
                  <a14:compatExt spid="_x0000_s570378"/>
                </a:ext>
                <a:ext uri="{FF2B5EF4-FFF2-40B4-BE49-F238E27FC236}">
                  <a16:creationId xmlns:a16="http://schemas.microsoft.com/office/drawing/2014/main" id="{00000000-0008-0000-0E00-00000A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198</xdr:row>
          <xdr:rowOff>0</xdr:rowOff>
        </xdr:from>
        <xdr:to>
          <xdr:col>9</xdr:col>
          <xdr:colOff>0</xdr:colOff>
          <xdr:row>199</xdr:row>
          <xdr:rowOff>0</xdr:rowOff>
        </xdr:to>
        <xdr:sp macro="" textlink="">
          <xdr:nvSpPr>
            <xdr:cNvPr id="570379" name="Button 11" hidden="1">
              <a:extLst>
                <a:ext uri="{63B3BB69-23CF-44E3-9099-C40C66FF867C}">
                  <a14:compatExt spid="_x0000_s570379"/>
                </a:ext>
                <a:ext uri="{FF2B5EF4-FFF2-40B4-BE49-F238E27FC236}">
                  <a16:creationId xmlns:a16="http://schemas.microsoft.com/office/drawing/2014/main" id="{00000000-0008-0000-0E00-00000B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640080</xdr:colOff>
          <xdr:row>215</xdr:row>
          <xdr:rowOff>0</xdr:rowOff>
        </xdr:from>
        <xdr:to>
          <xdr:col>9</xdr:col>
          <xdr:colOff>0</xdr:colOff>
          <xdr:row>216</xdr:row>
          <xdr:rowOff>0</xdr:rowOff>
        </xdr:to>
        <xdr:sp macro="" textlink="">
          <xdr:nvSpPr>
            <xdr:cNvPr id="570380" name="Button 12" hidden="1">
              <a:extLst>
                <a:ext uri="{63B3BB69-23CF-44E3-9099-C40C66FF867C}">
                  <a14:compatExt spid="_x0000_s570380"/>
                </a:ext>
                <a:ext uri="{FF2B5EF4-FFF2-40B4-BE49-F238E27FC236}">
                  <a16:creationId xmlns:a16="http://schemas.microsoft.com/office/drawing/2014/main" id="{00000000-0008-0000-0E00-00000C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231</xdr:row>
          <xdr:rowOff>198120</xdr:rowOff>
        </xdr:from>
        <xdr:to>
          <xdr:col>9</xdr:col>
          <xdr:colOff>7620</xdr:colOff>
          <xdr:row>232</xdr:row>
          <xdr:rowOff>198120</xdr:rowOff>
        </xdr:to>
        <xdr:sp macro="" textlink="">
          <xdr:nvSpPr>
            <xdr:cNvPr id="570381" name="Button 13" hidden="1">
              <a:extLst>
                <a:ext uri="{63B3BB69-23CF-44E3-9099-C40C66FF867C}">
                  <a14:compatExt spid="_x0000_s570381"/>
                </a:ext>
                <a:ext uri="{FF2B5EF4-FFF2-40B4-BE49-F238E27FC236}">
                  <a16:creationId xmlns:a16="http://schemas.microsoft.com/office/drawing/2014/main" id="{00000000-0008-0000-0E00-00000D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51</xdr:row>
          <xdr:rowOff>7620</xdr:rowOff>
        </xdr:from>
        <xdr:to>
          <xdr:col>11</xdr:col>
          <xdr:colOff>601980</xdr:colOff>
          <xdr:row>51</xdr:row>
          <xdr:rowOff>190500</xdr:rowOff>
        </xdr:to>
        <xdr:sp macro="" textlink="">
          <xdr:nvSpPr>
            <xdr:cNvPr id="570411" name="Button 43" hidden="1">
              <a:extLst>
                <a:ext uri="{63B3BB69-23CF-44E3-9099-C40C66FF867C}">
                  <a14:compatExt spid="_x0000_s570411"/>
                </a:ext>
                <a:ext uri="{FF2B5EF4-FFF2-40B4-BE49-F238E27FC236}">
                  <a16:creationId xmlns:a16="http://schemas.microsoft.com/office/drawing/2014/main" id="{00000000-0008-0000-0E00-00002B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52</xdr:row>
          <xdr:rowOff>7620</xdr:rowOff>
        </xdr:from>
        <xdr:to>
          <xdr:col>11</xdr:col>
          <xdr:colOff>601980</xdr:colOff>
          <xdr:row>52</xdr:row>
          <xdr:rowOff>190500</xdr:rowOff>
        </xdr:to>
        <xdr:sp macro="" textlink="">
          <xdr:nvSpPr>
            <xdr:cNvPr id="570412" name="Button 44" hidden="1">
              <a:extLst>
                <a:ext uri="{63B3BB69-23CF-44E3-9099-C40C66FF867C}">
                  <a14:compatExt spid="_x0000_s570412"/>
                </a:ext>
                <a:ext uri="{FF2B5EF4-FFF2-40B4-BE49-F238E27FC236}">
                  <a16:creationId xmlns:a16="http://schemas.microsoft.com/office/drawing/2014/main" id="{00000000-0008-0000-0E00-00002C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53</xdr:row>
          <xdr:rowOff>7620</xdr:rowOff>
        </xdr:from>
        <xdr:to>
          <xdr:col>11</xdr:col>
          <xdr:colOff>601980</xdr:colOff>
          <xdr:row>53</xdr:row>
          <xdr:rowOff>190500</xdr:rowOff>
        </xdr:to>
        <xdr:sp macro="" textlink="">
          <xdr:nvSpPr>
            <xdr:cNvPr id="570414" name="Button 46" hidden="1">
              <a:extLst>
                <a:ext uri="{63B3BB69-23CF-44E3-9099-C40C66FF867C}">
                  <a14:compatExt spid="_x0000_s570414"/>
                </a:ext>
                <a:ext uri="{FF2B5EF4-FFF2-40B4-BE49-F238E27FC236}">
                  <a16:creationId xmlns:a16="http://schemas.microsoft.com/office/drawing/2014/main" id="{00000000-0008-0000-0E00-00002E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54</xdr:row>
          <xdr:rowOff>7620</xdr:rowOff>
        </xdr:from>
        <xdr:to>
          <xdr:col>11</xdr:col>
          <xdr:colOff>601980</xdr:colOff>
          <xdr:row>54</xdr:row>
          <xdr:rowOff>190500</xdr:rowOff>
        </xdr:to>
        <xdr:sp macro="" textlink="">
          <xdr:nvSpPr>
            <xdr:cNvPr id="570415" name="Button 47" hidden="1">
              <a:extLst>
                <a:ext uri="{63B3BB69-23CF-44E3-9099-C40C66FF867C}">
                  <a14:compatExt spid="_x0000_s570415"/>
                </a:ext>
                <a:ext uri="{FF2B5EF4-FFF2-40B4-BE49-F238E27FC236}">
                  <a16:creationId xmlns:a16="http://schemas.microsoft.com/office/drawing/2014/main" id="{00000000-0008-0000-0E00-00002F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55</xdr:row>
          <xdr:rowOff>7620</xdr:rowOff>
        </xdr:from>
        <xdr:to>
          <xdr:col>11</xdr:col>
          <xdr:colOff>601980</xdr:colOff>
          <xdr:row>55</xdr:row>
          <xdr:rowOff>190500</xdr:rowOff>
        </xdr:to>
        <xdr:sp macro="" textlink="">
          <xdr:nvSpPr>
            <xdr:cNvPr id="570416" name="Button 48" hidden="1">
              <a:extLst>
                <a:ext uri="{63B3BB69-23CF-44E3-9099-C40C66FF867C}">
                  <a14:compatExt spid="_x0000_s570416"/>
                </a:ext>
                <a:ext uri="{FF2B5EF4-FFF2-40B4-BE49-F238E27FC236}">
                  <a16:creationId xmlns:a16="http://schemas.microsoft.com/office/drawing/2014/main" id="{00000000-0008-0000-0E00-000030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56</xdr:row>
          <xdr:rowOff>7620</xdr:rowOff>
        </xdr:from>
        <xdr:to>
          <xdr:col>11</xdr:col>
          <xdr:colOff>601980</xdr:colOff>
          <xdr:row>56</xdr:row>
          <xdr:rowOff>190500</xdr:rowOff>
        </xdr:to>
        <xdr:sp macro="" textlink="">
          <xdr:nvSpPr>
            <xdr:cNvPr id="570417" name="Button 49" hidden="1">
              <a:extLst>
                <a:ext uri="{63B3BB69-23CF-44E3-9099-C40C66FF867C}">
                  <a14:compatExt spid="_x0000_s570417"/>
                </a:ext>
                <a:ext uri="{FF2B5EF4-FFF2-40B4-BE49-F238E27FC236}">
                  <a16:creationId xmlns:a16="http://schemas.microsoft.com/office/drawing/2014/main" id="{00000000-0008-0000-0E00-000031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57</xdr:row>
          <xdr:rowOff>7620</xdr:rowOff>
        </xdr:from>
        <xdr:to>
          <xdr:col>11</xdr:col>
          <xdr:colOff>601980</xdr:colOff>
          <xdr:row>57</xdr:row>
          <xdr:rowOff>190500</xdr:rowOff>
        </xdr:to>
        <xdr:sp macro="" textlink="">
          <xdr:nvSpPr>
            <xdr:cNvPr id="570418" name="Button 50" hidden="1">
              <a:extLst>
                <a:ext uri="{63B3BB69-23CF-44E3-9099-C40C66FF867C}">
                  <a14:compatExt spid="_x0000_s570418"/>
                </a:ext>
                <a:ext uri="{FF2B5EF4-FFF2-40B4-BE49-F238E27FC236}">
                  <a16:creationId xmlns:a16="http://schemas.microsoft.com/office/drawing/2014/main" id="{00000000-0008-0000-0E00-000032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58</xdr:row>
          <xdr:rowOff>7620</xdr:rowOff>
        </xdr:from>
        <xdr:to>
          <xdr:col>11</xdr:col>
          <xdr:colOff>601980</xdr:colOff>
          <xdr:row>58</xdr:row>
          <xdr:rowOff>190500</xdr:rowOff>
        </xdr:to>
        <xdr:sp macro="" textlink="">
          <xdr:nvSpPr>
            <xdr:cNvPr id="570419" name="Button 51" hidden="1">
              <a:extLst>
                <a:ext uri="{63B3BB69-23CF-44E3-9099-C40C66FF867C}">
                  <a14:compatExt spid="_x0000_s570419"/>
                </a:ext>
                <a:ext uri="{FF2B5EF4-FFF2-40B4-BE49-F238E27FC236}">
                  <a16:creationId xmlns:a16="http://schemas.microsoft.com/office/drawing/2014/main" id="{00000000-0008-0000-0E00-00003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59</xdr:row>
          <xdr:rowOff>7620</xdr:rowOff>
        </xdr:from>
        <xdr:to>
          <xdr:col>11</xdr:col>
          <xdr:colOff>601980</xdr:colOff>
          <xdr:row>59</xdr:row>
          <xdr:rowOff>190500</xdr:rowOff>
        </xdr:to>
        <xdr:sp macro="" textlink="">
          <xdr:nvSpPr>
            <xdr:cNvPr id="570420" name="Button 52" hidden="1">
              <a:extLst>
                <a:ext uri="{63B3BB69-23CF-44E3-9099-C40C66FF867C}">
                  <a14:compatExt spid="_x0000_s570420"/>
                </a:ext>
                <a:ext uri="{FF2B5EF4-FFF2-40B4-BE49-F238E27FC236}">
                  <a16:creationId xmlns:a16="http://schemas.microsoft.com/office/drawing/2014/main" id="{00000000-0008-0000-0E00-000034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60</xdr:row>
          <xdr:rowOff>7620</xdr:rowOff>
        </xdr:from>
        <xdr:to>
          <xdr:col>11</xdr:col>
          <xdr:colOff>601980</xdr:colOff>
          <xdr:row>60</xdr:row>
          <xdr:rowOff>190500</xdr:rowOff>
        </xdr:to>
        <xdr:sp macro="" textlink="">
          <xdr:nvSpPr>
            <xdr:cNvPr id="570421" name="Button 53" hidden="1">
              <a:extLst>
                <a:ext uri="{63B3BB69-23CF-44E3-9099-C40C66FF867C}">
                  <a14:compatExt spid="_x0000_s570421"/>
                </a:ext>
                <a:ext uri="{FF2B5EF4-FFF2-40B4-BE49-F238E27FC236}">
                  <a16:creationId xmlns:a16="http://schemas.microsoft.com/office/drawing/2014/main" id="{00000000-0008-0000-0E00-000035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Крепеж. Тип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96</xdr:row>
          <xdr:rowOff>0</xdr:rowOff>
        </xdr:from>
        <xdr:to>
          <xdr:col>9</xdr:col>
          <xdr:colOff>0</xdr:colOff>
          <xdr:row>97</xdr:row>
          <xdr:rowOff>0</xdr:rowOff>
        </xdr:to>
        <xdr:sp macro="" textlink="">
          <xdr:nvSpPr>
            <xdr:cNvPr id="570490" name="Button 122" hidden="1">
              <a:extLst>
                <a:ext uri="{63B3BB69-23CF-44E3-9099-C40C66FF867C}">
                  <a14:compatExt spid="_x0000_s570490"/>
                </a:ext>
                <a:ext uri="{FF2B5EF4-FFF2-40B4-BE49-F238E27FC236}">
                  <a16:creationId xmlns:a16="http://schemas.microsoft.com/office/drawing/2014/main" id="{00000000-0008-0000-0E00-00007A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ТИП2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18</xdr:row>
          <xdr:rowOff>464820</xdr:rowOff>
        </xdr:from>
        <xdr:to>
          <xdr:col>9</xdr:col>
          <xdr:colOff>617220</xdr:colOff>
          <xdr:row>19</xdr:row>
          <xdr:rowOff>182880</xdr:rowOff>
        </xdr:to>
        <xdr:sp macro="" textlink="">
          <xdr:nvSpPr>
            <xdr:cNvPr id="570581" name="Button 213" hidden="1">
              <a:extLst>
                <a:ext uri="{63B3BB69-23CF-44E3-9099-C40C66FF867C}">
                  <a14:compatExt spid="_x0000_s570581"/>
                </a:ext>
                <a:ext uri="{FF2B5EF4-FFF2-40B4-BE49-F238E27FC236}">
                  <a16:creationId xmlns:a16="http://schemas.microsoft.com/office/drawing/2014/main" id="{00000000-0008-0000-0E00-0000D5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19</xdr:row>
          <xdr:rowOff>190500</xdr:rowOff>
        </xdr:from>
        <xdr:to>
          <xdr:col>9</xdr:col>
          <xdr:colOff>617220</xdr:colOff>
          <xdr:row>20</xdr:row>
          <xdr:rowOff>182880</xdr:rowOff>
        </xdr:to>
        <xdr:sp macro="" textlink="">
          <xdr:nvSpPr>
            <xdr:cNvPr id="570582" name="Button 214" hidden="1">
              <a:extLst>
                <a:ext uri="{63B3BB69-23CF-44E3-9099-C40C66FF867C}">
                  <a14:compatExt spid="_x0000_s570582"/>
                </a:ext>
                <a:ext uri="{FF2B5EF4-FFF2-40B4-BE49-F238E27FC236}">
                  <a16:creationId xmlns:a16="http://schemas.microsoft.com/office/drawing/2014/main" id="{00000000-0008-0000-0E00-0000D6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20</xdr:row>
          <xdr:rowOff>190500</xdr:rowOff>
        </xdr:from>
        <xdr:to>
          <xdr:col>9</xdr:col>
          <xdr:colOff>617220</xdr:colOff>
          <xdr:row>21</xdr:row>
          <xdr:rowOff>182880</xdr:rowOff>
        </xdr:to>
        <xdr:sp macro="" textlink="">
          <xdr:nvSpPr>
            <xdr:cNvPr id="570583" name="Button 215" hidden="1">
              <a:extLst>
                <a:ext uri="{63B3BB69-23CF-44E3-9099-C40C66FF867C}">
                  <a14:compatExt spid="_x0000_s570583"/>
                </a:ext>
                <a:ext uri="{FF2B5EF4-FFF2-40B4-BE49-F238E27FC236}">
                  <a16:creationId xmlns:a16="http://schemas.microsoft.com/office/drawing/2014/main" id="{00000000-0008-0000-0E00-0000D7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21</xdr:row>
          <xdr:rowOff>190500</xdr:rowOff>
        </xdr:from>
        <xdr:to>
          <xdr:col>9</xdr:col>
          <xdr:colOff>617220</xdr:colOff>
          <xdr:row>22</xdr:row>
          <xdr:rowOff>182880</xdr:rowOff>
        </xdr:to>
        <xdr:sp macro="" textlink="">
          <xdr:nvSpPr>
            <xdr:cNvPr id="570584" name="Button 216" hidden="1">
              <a:extLst>
                <a:ext uri="{63B3BB69-23CF-44E3-9099-C40C66FF867C}">
                  <a14:compatExt spid="_x0000_s570584"/>
                </a:ext>
                <a:ext uri="{FF2B5EF4-FFF2-40B4-BE49-F238E27FC236}">
                  <a16:creationId xmlns:a16="http://schemas.microsoft.com/office/drawing/2014/main" id="{00000000-0008-0000-0E00-0000D8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22</xdr:row>
          <xdr:rowOff>190500</xdr:rowOff>
        </xdr:from>
        <xdr:to>
          <xdr:col>9</xdr:col>
          <xdr:colOff>617220</xdr:colOff>
          <xdr:row>23</xdr:row>
          <xdr:rowOff>182880</xdr:rowOff>
        </xdr:to>
        <xdr:sp macro="" textlink="">
          <xdr:nvSpPr>
            <xdr:cNvPr id="570585" name="Button 217" hidden="1">
              <a:extLst>
                <a:ext uri="{63B3BB69-23CF-44E3-9099-C40C66FF867C}">
                  <a14:compatExt spid="_x0000_s570585"/>
                </a:ext>
                <a:ext uri="{FF2B5EF4-FFF2-40B4-BE49-F238E27FC236}">
                  <a16:creationId xmlns:a16="http://schemas.microsoft.com/office/drawing/2014/main" id="{00000000-0008-0000-0E00-0000D9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23</xdr:row>
          <xdr:rowOff>190500</xdr:rowOff>
        </xdr:from>
        <xdr:to>
          <xdr:col>9</xdr:col>
          <xdr:colOff>617220</xdr:colOff>
          <xdr:row>24</xdr:row>
          <xdr:rowOff>182880</xdr:rowOff>
        </xdr:to>
        <xdr:sp macro="" textlink="">
          <xdr:nvSpPr>
            <xdr:cNvPr id="570586" name="Button 218" hidden="1">
              <a:extLst>
                <a:ext uri="{63B3BB69-23CF-44E3-9099-C40C66FF867C}">
                  <a14:compatExt spid="_x0000_s570586"/>
                </a:ext>
                <a:ext uri="{FF2B5EF4-FFF2-40B4-BE49-F238E27FC236}">
                  <a16:creationId xmlns:a16="http://schemas.microsoft.com/office/drawing/2014/main" id="{00000000-0008-0000-0E00-0000DA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24</xdr:row>
          <xdr:rowOff>190500</xdr:rowOff>
        </xdr:from>
        <xdr:to>
          <xdr:col>9</xdr:col>
          <xdr:colOff>617220</xdr:colOff>
          <xdr:row>25</xdr:row>
          <xdr:rowOff>182880</xdr:rowOff>
        </xdr:to>
        <xdr:sp macro="" textlink="">
          <xdr:nvSpPr>
            <xdr:cNvPr id="570587" name="Button 219" hidden="1">
              <a:extLst>
                <a:ext uri="{63B3BB69-23CF-44E3-9099-C40C66FF867C}">
                  <a14:compatExt spid="_x0000_s570587"/>
                </a:ext>
                <a:ext uri="{FF2B5EF4-FFF2-40B4-BE49-F238E27FC236}">
                  <a16:creationId xmlns:a16="http://schemas.microsoft.com/office/drawing/2014/main" id="{00000000-0008-0000-0E00-0000DB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25</xdr:row>
          <xdr:rowOff>190500</xdr:rowOff>
        </xdr:from>
        <xdr:to>
          <xdr:col>9</xdr:col>
          <xdr:colOff>617220</xdr:colOff>
          <xdr:row>26</xdr:row>
          <xdr:rowOff>182880</xdr:rowOff>
        </xdr:to>
        <xdr:sp macro="" textlink="">
          <xdr:nvSpPr>
            <xdr:cNvPr id="570588" name="Button 220" hidden="1">
              <a:extLst>
                <a:ext uri="{63B3BB69-23CF-44E3-9099-C40C66FF867C}">
                  <a14:compatExt spid="_x0000_s570588"/>
                </a:ext>
                <a:ext uri="{FF2B5EF4-FFF2-40B4-BE49-F238E27FC236}">
                  <a16:creationId xmlns:a16="http://schemas.microsoft.com/office/drawing/2014/main" id="{00000000-0008-0000-0E00-0000DC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26</xdr:row>
          <xdr:rowOff>190500</xdr:rowOff>
        </xdr:from>
        <xdr:to>
          <xdr:col>9</xdr:col>
          <xdr:colOff>617220</xdr:colOff>
          <xdr:row>27</xdr:row>
          <xdr:rowOff>182880</xdr:rowOff>
        </xdr:to>
        <xdr:sp macro="" textlink="">
          <xdr:nvSpPr>
            <xdr:cNvPr id="570589" name="Button 221" hidden="1">
              <a:extLst>
                <a:ext uri="{63B3BB69-23CF-44E3-9099-C40C66FF867C}">
                  <a14:compatExt spid="_x0000_s570589"/>
                </a:ext>
                <a:ext uri="{FF2B5EF4-FFF2-40B4-BE49-F238E27FC236}">
                  <a16:creationId xmlns:a16="http://schemas.microsoft.com/office/drawing/2014/main" id="{00000000-0008-0000-0E00-0000DD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27</xdr:row>
          <xdr:rowOff>190500</xdr:rowOff>
        </xdr:from>
        <xdr:to>
          <xdr:col>9</xdr:col>
          <xdr:colOff>617220</xdr:colOff>
          <xdr:row>28</xdr:row>
          <xdr:rowOff>182880</xdr:rowOff>
        </xdr:to>
        <xdr:sp macro="" textlink="">
          <xdr:nvSpPr>
            <xdr:cNvPr id="570590" name="Button 222" hidden="1">
              <a:extLst>
                <a:ext uri="{63B3BB69-23CF-44E3-9099-C40C66FF867C}">
                  <a14:compatExt spid="_x0000_s570590"/>
                </a:ext>
                <a:ext uri="{FF2B5EF4-FFF2-40B4-BE49-F238E27FC236}">
                  <a16:creationId xmlns:a16="http://schemas.microsoft.com/office/drawing/2014/main" id="{00000000-0008-0000-0E00-0000DE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Тип 10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7</xdr:col>
      <xdr:colOff>257175</xdr:colOff>
      <xdr:row>5</xdr:row>
      <xdr:rowOff>161925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247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45720</xdr:colOff>
          <xdr:row>192</xdr:row>
          <xdr:rowOff>106680</xdr:rowOff>
        </xdr:from>
        <xdr:to>
          <xdr:col>12</xdr:col>
          <xdr:colOff>525780</xdr:colOff>
          <xdr:row>194</xdr:row>
          <xdr:rowOff>190500</xdr:rowOff>
        </xdr:to>
        <xdr:sp macro="" textlink="">
          <xdr:nvSpPr>
            <xdr:cNvPr id="72828" name="Button 124" hidden="1">
              <a:extLst>
                <a:ext uri="{63B3BB69-23CF-44E3-9099-C40C66FF867C}">
                  <a14:compatExt spid="_x0000_s72828"/>
                </a:ext>
                <a:ext uri="{FF2B5EF4-FFF2-40B4-BE49-F238E27FC236}">
                  <a16:creationId xmlns:a16="http://schemas.microsoft.com/office/drawing/2014/main" id="{00000000-0008-0000-0100-00007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Очистить диапазон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30480</xdr:colOff>
          <xdr:row>192</xdr:row>
          <xdr:rowOff>106680</xdr:rowOff>
        </xdr:from>
        <xdr:to>
          <xdr:col>9</xdr:col>
          <xdr:colOff>601980</xdr:colOff>
          <xdr:row>194</xdr:row>
          <xdr:rowOff>190500</xdr:rowOff>
        </xdr:to>
        <xdr:sp macro="" textlink="">
          <xdr:nvSpPr>
            <xdr:cNvPr id="72829" name="Button 125" hidden="1">
              <a:extLst>
                <a:ext uri="{63B3BB69-23CF-44E3-9099-C40C66FF867C}">
                  <a14:compatExt spid="_x0000_s72829"/>
                </a:ext>
                <a:ext uri="{FF2B5EF4-FFF2-40B4-BE49-F238E27FC236}">
                  <a16:creationId xmlns:a16="http://schemas.microsoft.com/office/drawing/2014/main" id="{00000000-0008-0000-0100-00007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Вставить общие данные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0</xdr:row>
      <xdr:rowOff>1162050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247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128</xdr:row>
      <xdr:rowOff>524908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128</xdr:row>
      <xdr:rowOff>517166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128</xdr:row>
      <xdr:rowOff>527093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128</xdr:row>
      <xdr:rowOff>524908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128</xdr:row>
      <xdr:rowOff>517166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21167</xdr:rowOff>
    </xdr:from>
    <xdr:to>
      <xdr:col>11</xdr:col>
      <xdr:colOff>1109775</xdr:colOff>
      <xdr:row>70</xdr:row>
      <xdr:rowOff>1179646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7267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16329</xdr:rowOff>
    </xdr:from>
    <xdr:to>
      <xdr:col>11</xdr:col>
      <xdr:colOff>1109775</xdr:colOff>
      <xdr:row>128</xdr:row>
      <xdr:rowOff>1174808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00629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21772</xdr:rowOff>
    </xdr:from>
    <xdr:to>
      <xdr:col>11</xdr:col>
      <xdr:colOff>1109775</xdr:colOff>
      <xdr:row>299</xdr:row>
      <xdr:rowOff>1180251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91222"/>
          <a:ext cx="9910875" cy="115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580160</xdr:colOff>
      <xdr:row>119</xdr:row>
      <xdr:rowOff>29233</xdr:rowOff>
    </xdr:from>
    <xdr:to>
      <xdr:col>11</xdr:col>
      <xdr:colOff>1104406</xdr:colOff>
      <xdr:row>121</xdr:row>
      <xdr:rowOff>175326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1260" y="25099033"/>
          <a:ext cx="524246" cy="52709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581102</xdr:colOff>
      <xdr:row>122</xdr:row>
      <xdr:rowOff>25978</xdr:rowOff>
    </xdr:from>
    <xdr:to>
      <xdr:col>11</xdr:col>
      <xdr:colOff>1104382</xdr:colOff>
      <xdr:row>124</xdr:row>
      <xdr:rowOff>169886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2202" y="25667278"/>
          <a:ext cx="523280" cy="5249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588818</xdr:colOff>
      <xdr:row>125</xdr:row>
      <xdr:rowOff>33720</xdr:rowOff>
    </xdr:from>
    <xdr:to>
      <xdr:col>11</xdr:col>
      <xdr:colOff>1104375</xdr:colOff>
      <xdr:row>127</xdr:row>
      <xdr:rowOff>169886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9918" y="26246520"/>
          <a:ext cx="515557" cy="5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493058</xdr:colOff>
      <xdr:row>0</xdr:row>
      <xdr:rowOff>1162050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4158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3" name="Таблица1123232321323231312213212232323132323231342323232323232323232352323213122323232141524" displayName="Таблица1123232321323231312213212232323132323231342323232323232323232352323213122323232141524" ref="N10:N1333" totalsRowShown="0" headerRowDxfId="1258" dataDxfId="1257" tableBorderDxfId="1256">
  <autoFilter ref="N10:N1333">
    <filterColumn colId="0">
      <filters>
        <filter val="1"/>
      </filters>
    </filterColumn>
  </autoFilter>
  <tableColumns count="1">
    <tableColumn id="1" name="1" dataDxfId="1255"/>
  </tableColumns>
  <tableStyleInfo name="Стиль таблицы 1" showFirstColumn="0" showLastColumn="0" showRowStripes="1" showColumnStripes="0"/>
</table>
</file>

<file path=xl/tables/table10.xml><?xml version="1.0" encoding="utf-8"?>
<table xmlns="http://schemas.openxmlformats.org/spreadsheetml/2006/main" id="13" name="Таблица11232323213232313122132122323231323232313423232323232323232323523232131223232321415214" displayName="Таблица11232323213232313122132122323231323232313423232323232323232323523232131223232321415214" ref="N10:N1333" totalsRowShown="0" headerRowDxfId="77" dataDxfId="76" tableBorderDxfId="75">
  <autoFilter ref="N10:N1333"/>
  <tableColumns count="1">
    <tableColumn id="1" name="1" dataDxfId="74"/>
  </tableColumns>
  <tableStyleInfo name="Стиль таблицы 1" showFirstColumn="0" showLastColumn="0" showRowStripes="1" showColumnStripes="0"/>
</table>
</file>

<file path=xl/tables/table11.xml><?xml version="1.0" encoding="utf-8"?>
<table xmlns="http://schemas.openxmlformats.org/spreadsheetml/2006/main" id="2" name="Таблица2" displayName="Таблица2" ref="B9:I409" totalsRowCount="1" headerRowDxfId="32" dataDxfId="31" totalsRowDxfId="30">
  <autoFilter ref="B9:I408"/>
  <sortState ref="B10:I408">
    <sortCondition ref="D9:D408"/>
  </sortState>
  <tableColumns count="8">
    <tableColumn id="1" name="Код ЕКН" totalsRowLabel="Итог" dataDxfId="29" totalsRowDxfId="28"/>
    <tableColumn id="9" name="Кратность материала" dataDxfId="27" totalsRowDxfId="26"/>
    <tableColumn id="2" name="Наименование материала" dataDxfId="25" totalsRowDxfId="24"/>
    <tableColumn id="5" name="Ед._x000a_изм" dataDxfId="23" totalsRowDxfId="22"/>
    <tableColumn id="3" name="Кол-во материала по расчету" totalsRowLabel="36834.5486" dataDxfId="21" totalsRowDxfId="20"/>
    <tableColumn id="4" name="Кол-во материала с учетом кратности упаковки*****" dataDxfId="19" totalsRowDxfId="18">
      <calculatedColumnFormula>IFERROR(_xlfn.CEILING.MATH(Таблица2[[#This Row],[Кол-во материала по расчету]],C10),"-")</calculatedColumnFormula>
    </tableColumn>
    <tableColumn id="6" name="Стоимость _x000a_ед., руб. " dataDxfId="17" totalsRowDxfId="16"/>
    <tableColumn id="7" name="Стоимость _x000a_общ., руб." totalsRowFunction="sum" dataDxfId="15" totalsRowDxfId="14">
      <calculatedColumnFormula>IFERROR(Таблица2[[#This Row],[Кол-во материала с учетом кратности упаковки*****]]*Таблица2[[#This Row],[Стоимость 
ед., руб. ]],0)</calculatedColumnFormula>
    </tableColumn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id="12" name="Таблица12" displayName="Таблица12" ref="M9:N408" totalsRowShown="0" headerRowDxfId="13" dataDxfId="12">
  <autoFilter ref="M9:N408"/>
  <tableColumns count="2">
    <tableColumn id="1" name="Кратность материала" dataDxfId="11"/>
    <tableColumn id="2" name="EKN" dataDxfId="1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4" name="Таблица1123232321323231312213212232323132323231342323232323232323232352323213122323232141525" displayName="Таблица1123232321323231312213212232323132323231342323232323232323232352323213122323232141525" ref="N10:N1333" totalsRowShown="0" headerRowDxfId="1125" dataDxfId="1124" tableBorderDxfId="1123">
  <autoFilter ref="N10:N1333">
    <filterColumn colId="0">
      <filters>
        <filter val="1"/>
      </filters>
    </filterColumn>
  </autoFilter>
  <tableColumns count="1">
    <tableColumn id="1" name="1" dataDxfId="1122"/>
  </tableColumns>
  <tableStyleInfo name="Стиль таблицы 1" showFirstColumn="0" showLastColumn="0" showRowStripes="1" showColumnStripes="0"/>
</table>
</file>

<file path=xl/tables/table3.xml><?xml version="1.0" encoding="utf-8"?>
<table xmlns="http://schemas.openxmlformats.org/spreadsheetml/2006/main" id="5" name="Таблица1123232321323231312213212232323132323231342323232323232323232352323213122323232141526" displayName="Таблица1123232321323231312213212232323132323231342323232323232323232352323213122323232141526" ref="N10:N1333" totalsRowShown="0" headerRowDxfId="994" dataDxfId="993" tableBorderDxfId="992">
  <autoFilter ref="N10:N1333"/>
  <tableColumns count="1">
    <tableColumn id="1" name="1" dataDxfId="991"/>
  </tableColumns>
  <tableStyleInfo name="Стиль таблицы 1" showFirstColumn="0" showLastColumn="0" showRowStripes="1" showColumnStripes="0"/>
</table>
</file>

<file path=xl/tables/table4.xml><?xml version="1.0" encoding="utf-8"?>
<table xmlns="http://schemas.openxmlformats.org/spreadsheetml/2006/main" id="6" name="Таблица1123232321323231312213212232323132323231342323232323232323232352323213122323232141527" displayName="Таблица1123232321323231312213212232323132323231342323232323232323232352323213122323232141527" ref="N10:N1333" totalsRowShown="0" headerRowDxfId="863" dataDxfId="862" tableBorderDxfId="861">
  <autoFilter ref="N10:N1333"/>
  <tableColumns count="1">
    <tableColumn id="1" name="1" dataDxfId="860"/>
  </tableColumns>
  <tableStyleInfo name="Стиль таблицы 1" showFirstColumn="0" showLastColumn="0" showRowStripes="1" showColumnStripes="0"/>
</table>
</file>

<file path=xl/tables/table5.xml><?xml version="1.0" encoding="utf-8"?>
<table xmlns="http://schemas.openxmlformats.org/spreadsheetml/2006/main" id="7" name="Таблица1123232321323231312213212232323132323231342323232323232323232352323213122323232141528" displayName="Таблица1123232321323231312213212232323132323231342323232323232323232352323213122323232141528" ref="N10:N1333" totalsRowShown="0" headerRowDxfId="732" dataDxfId="731" tableBorderDxfId="730">
  <autoFilter ref="N10:N1333"/>
  <tableColumns count="1">
    <tableColumn id="1" name="1" dataDxfId="729"/>
  </tableColumns>
  <tableStyleInfo name="Стиль таблицы 1" showFirstColumn="0" showLastColumn="0" showRowStripes="1" showColumnStripes="0"/>
</table>
</file>

<file path=xl/tables/table6.xml><?xml version="1.0" encoding="utf-8"?>
<table xmlns="http://schemas.openxmlformats.org/spreadsheetml/2006/main" id="8" name="Таблица1123232321323231312213212232323132323231342323232323232323232352323213122323232141529" displayName="Таблица1123232321323231312213212232323132323231342323232323232323232352323213122323232141529" ref="N10:N1333" totalsRowShown="0" headerRowDxfId="601" dataDxfId="600" tableBorderDxfId="599">
  <autoFilter ref="N10:N1333"/>
  <tableColumns count="1">
    <tableColumn id="1" name="1" dataDxfId="598"/>
  </tableColumns>
  <tableStyleInfo name="Стиль таблицы 1" showFirstColumn="0" showLastColumn="0" showRowStripes="1" showColumnStripes="0"/>
</table>
</file>

<file path=xl/tables/table7.xml><?xml version="1.0" encoding="utf-8"?>
<table xmlns="http://schemas.openxmlformats.org/spreadsheetml/2006/main" id="9" name="Таблица11232323213232313122132122323231323232313423232323232323232323523232131223232321415210" displayName="Таблица11232323213232313122132122323231323232313423232323232323232323523232131223232321415210" ref="N10:N1333" totalsRowShown="0" headerRowDxfId="470" dataDxfId="469" tableBorderDxfId="468">
  <autoFilter ref="N10:N1333"/>
  <tableColumns count="1">
    <tableColumn id="1" name="1" dataDxfId="467"/>
  </tableColumns>
  <tableStyleInfo name="Стиль таблицы 1" showFirstColumn="0" showLastColumn="0" showRowStripes="1" showColumnStripes="0"/>
</table>
</file>

<file path=xl/tables/table8.xml><?xml version="1.0" encoding="utf-8"?>
<table xmlns="http://schemas.openxmlformats.org/spreadsheetml/2006/main" id="10" name="Таблица11232323213232313122132122323231323232313423232323232323232323523232131223232321415211" displayName="Таблица11232323213232313122132122323231323232313423232323232323232323523232131223232321415211" ref="N10:N1333" totalsRowShown="0" headerRowDxfId="339" dataDxfId="338" tableBorderDxfId="337">
  <autoFilter ref="N10:N1333"/>
  <tableColumns count="1">
    <tableColumn id="1" name="1" dataDxfId="336"/>
  </tableColumns>
  <tableStyleInfo name="Стиль таблицы 1" showFirstColumn="0" showLastColumn="0" showRowStripes="1" showColumnStripes="0"/>
</table>
</file>

<file path=xl/tables/table9.xml><?xml version="1.0" encoding="utf-8"?>
<table xmlns="http://schemas.openxmlformats.org/spreadsheetml/2006/main" id="11" name="Таблица11232323213232313122132122323231323232313423232323232323232323523232131223232321415212" displayName="Таблица11232323213232313122132122323231323232313423232323232323232323523232131223232321415212" ref="N10:N1333" totalsRowShown="0" headerRowDxfId="208" dataDxfId="207" tableBorderDxfId="206">
  <autoFilter ref="N10:N1333"/>
  <tableColumns count="1">
    <tableColumn id="1" name="1" dataDxfId="205"/>
  </tableColumns>
  <tableStyleInfo name="Стиль таблицы 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8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10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10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10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9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11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11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10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12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12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12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3.xml"/><Relationship Id="rId4" Type="http://schemas.openxmlformats.org/officeDocument/2006/relationships/ctrlProp" Target="../ctrlProps/ctrlProp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omments" Target="../comments14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cloud.mail.ru/public/AddF/GJy3vMyiD" TargetMode="External"/><Relationship Id="rId18" Type="http://schemas.openxmlformats.org/officeDocument/2006/relationships/printerSettings" Target="../printerSettings/printerSettings15.bin"/><Relationship Id="rId26" Type="http://schemas.openxmlformats.org/officeDocument/2006/relationships/ctrlProp" Target="../ctrlProps/ctrlProp9.xml"/><Relationship Id="rId39" Type="http://schemas.openxmlformats.org/officeDocument/2006/relationships/ctrlProp" Target="../ctrlProps/ctrlProp22.xml"/><Relationship Id="rId21" Type="http://schemas.openxmlformats.org/officeDocument/2006/relationships/ctrlProp" Target="../ctrlProps/ctrlProp4.xml"/><Relationship Id="rId34" Type="http://schemas.openxmlformats.org/officeDocument/2006/relationships/ctrlProp" Target="../ctrlProps/ctrlProp17.xml"/><Relationship Id="rId42" Type="http://schemas.openxmlformats.org/officeDocument/2006/relationships/ctrlProp" Target="../ctrlProps/ctrlProp25.xml"/><Relationship Id="rId47" Type="http://schemas.openxmlformats.org/officeDocument/2006/relationships/ctrlProp" Target="../ctrlProps/ctrlProp30.xml"/><Relationship Id="rId50" Type="http://schemas.openxmlformats.org/officeDocument/2006/relationships/ctrlProp" Target="../ctrlProps/ctrlProp33.xml"/><Relationship Id="rId7" Type="http://schemas.openxmlformats.org/officeDocument/2006/relationships/hyperlink" Target="https://cloud.mail.ru/public/ERie/27hriaXKC" TargetMode="External"/><Relationship Id="rId2" Type="http://schemas.openxmlformats.org/officeDocument/2006/relationships/hyperlink" Target="https://nav.tn.ru/upload/files/prc/PRC_Pravila.pdf" TargetMode="External"/><Relationship Id="rId16" Type="http://schemas.openxmlformats.org/officeDocument/2006/relationships/hyperlink" Target="https://nav.tn.ru/upload/files/prc/Albom_KI_PIR.pdf" TargetMode="External"/><Relationship Id="rId29" Type="http://schemas.openxmlformats.org/officeDocument/2006/relationships/ctrlProp" Target="../ctrlProps/ctrlProp12.xml"/><Relationship Id="rId11" Type="http://schemas.openxmlformats.org/officeDocument/2006/relationships/hyperlink" Target="https://cloud.mail.ru/public/Ephr/PaJqdQ58A" TargetMode="External"/><Relationship Id="rId24" Type="http://schemas.openxmlformats.org/officeDocument/2006/relationships/ctrlProp" Target="../ctrlProps/ctrlProp7.xml"/><Relationship Id="rId32" Type="http://schemas.openxmlformats.org/officeDocument/2006/relationships/ctrlProp" Target="../ctrlProps/ctrlProp15.xml"/><Relationship Id="rId37" Type="http://schemas.openxmlformats.org/officeDocument/2006/relationships/ctrlProp" Target="../ctrlProps/ctrlProp20.xml"/><Relationship Id="rId40" Type="http://schemas.openxmlformats.org/officeDocument/2006/relationships/ctrlProp" Target="../ctrlProps/ctrlProp23.xml"/><Relationship Id="rId45" Type="http://schemas.openxmlformats.org/officeDocument/2006/relationships/ctrlProp" Target="../ctrlProps/ctrlProp28.xml"/><Relationship Id="rId5" Type="http://schemas.openxmlformats.org/officeDocument/2006/relationships/hyperlink" Target="https://cloud.mail.ru/public/CUxA/bNy1CsNKq" TargetMode="External"/><Relationship Id="rId15" Type="http://schemas.openxmlformats.org/officeDocument/2006/relationships/hyperlink" Target="https://nav.tn.ru/upload/files/prc/Albom_KI_XPS.pdf" TargetMode="External"/><Relationship Id="rId23" Type="http://schemas.openxmlformats.org/officeDocument/2006/relationships/ctrlProp" Target="../ctrlProps/ctrlProp6.xml"/><Relationship Id="rId28" Type="http://schemas.openxmlformats.org/officeDocument/2006/relationships/ctrlProp" Target="../ctrlProps/ctrlProp11.xml"/><Relationship Id="rId36" Type="http://schemas.openxmlformats.org/officeDocument/2006/relationships/ctrlProp" Target="../ctrlProps/ctrlProp19.xml"/><Relationship Id="rId49" Type="http://schemas.openxmlformats.org/officeDocument/2006/relationships/ctrlProp" Target="../ctrlProps/ctrlProp32.xml"/><Relationship Id="rId10" Type="http://schemas.openxmlformats.org/officeDocument/2006/relationships/hyperlink" Target="https://cloud.mail.ru/public/LWQk/J43FqXWWE" TargetMode="External"/><Relationship Id="rId19" Type="http://schemas.openxmlformats.org/officeDocument/2006/relationships/drawing" Target="../drawings/drawing15.xml"/><Relationship Id="rId31" Type="http://schemas.openxmlformats.org/officeDocument/2006/relationships/ctrlProp" Target="../ctrlProps/ctrlProp14.xml"/><Relationship Id="rId44" Type="http://schemas.openxmlformats.org/officeDocument/2006/relationships/ctrlProp" Target="../ctrlProps/ctrlProp27.xml"/><Relationship Id="rId52" Type="http://schemas.openxmlformats.org/officeDocument/2006/relationships/comments" Target="../comments15.xml"/><Relationship Id="rId4" Type="http://schemas.openxmlformats.org/officeDocument/2006/relationships/hyperlink" Target="https://cloud.mail.ru/public/3Xm2/2B5MYc1Nz" TargetMode="External"/><Relationship Id="rId9" Type="http://schemas.openxmlformats.org/officeDocument/2006/relationships/hyperlink" Target="https://cloud.mail.ru/public/ATnw/77x51VqY9" TargetMode="External"/><Relationship Id="rId14" Type="http://schemas.openxmlformats.org/officeDocument/2006/relationships/hyperlink" Target="https://nav.tn.ru/upload/files/prc/Albom_KI_&#1050;&#1042;.pdf" TargetMode="External"/><Relationship Id="rId22" Type="http://schemas.openxmlformats.org/officeDocument/2006/relationships/ctrlProp" Target="../ctrlProps/ctrlProp5.xml"/><Relationship Id="rId27" Type="http://schemas.openxmlformats.org/officeDocument/2006/relationships/ctrlProp" Target="../ctrlProps/ctrlProp10.xml"/><Relationship Id="rId30" Type="http://schemas.openxmlformats.org/officeDocument/2006/relationships/ctrlProp" Target="../ctrlProps/ctrlProp13.xml"/><Relationship Id="rId35" Type="http://schemas.openxmlformats.org/officeDocument/2006/relationships/ctrlProp" Target="../ctrlProps/ctrlProp18.xml"/><Relationship Id="rId43" Type="http://schemas.openxmlformats.org/officeDocument/2006/relationships/ctrlProp" Target="../ctrlProps/ctrlProp26.xml"/><Relationship Id="rId48" Type="http://schemas.openxmlformats.org/officeDocument/2006/relationships/ctrlProp" Target="../ctrlProps/ctrlProp31.xml"/><Relationship Id="rId8" Type="http://schemas.openxmlformats.org/officeDocument/2006/relationships/hyperlink" Target="https://cloud.mail.ru/public/LBxk/ra7WXdFKD" TargetMode="External"/><Relationship Id="rId51" Type="http://schemas.openxmlformats.org/officeDocument/2006/relationships/ctrlProp" Target="../ctrlProps/ctrlProp34.xml"/><Relationship Id="rId3" Type="http://schemas.openxmlformats.org/officeDocument/2006/relationships/hyperlink" Target="https://cloud.mail.ru/public/63cS/iqfZGKaVE" TargetMode="External"/><Relationship Id="rId12" Type="http://schemas.openxmlformats.org/officeDocument/2006/relationships/hyperlink" Target="https://cloud.mail.ru/public/4zjk/pBXrK4HY2" TargetMode="External"/><Relationship Id="rId17" Type="http://schemas.openxmlformats.org/officeDocument/2006/relationships/hyperlink" Target="https://nav.tn.ru/knowledge-base/chasto-zadavaemye-voprosy/informatsiya-k-raschetam-prts/" TargetMode="External"/><Relationship Id="rId25" Type="http://schemas.openxmlformats.org/officeDocument/2006/relationships/ctrlProp" Target="../ctrlProps/ctrlProp8.xml"/><Relationship Id="rId33" Type="http://schemas.openxmlformats.org/officeDocument/2006/relationships/ctrlProp" Target="../ctrlProps/ctrlProp16.xml"/><Relationship Id="rId38" Type="http://schemas.openxmlformats.org/officeDocument/2006/relationships/ctrlProp" Target="../ctrlProps/ctrlProp21.xml"/><Relationship Id="rId46" Type="http://schemas.openxmlformats.org/officeDocument/2006/relationships/ctrlProp" Target="../ctrlProps/ctrlProp29.xml"/><Relationship Id="rId20" Type="http://schemas.openxmlformats.org/officeDocument/2006/relationships/vmlDrawing" Target="../drawings/vmlDrawing15.vml"/><Relationship Id="rId41" Type="http://schemas.openxmlformats.org/officeDocument/2006/relationships/ctrlProp" Target="../ctrlProps/ctrlProp24.xml"/><Relationship Id="rId1" Type="http://schemas.openxmlformats.org/officeDocument/2006/relationships/hyperlink" Target="https://cloud.mail.ru/public/LSji/Cvse9GZ6S/&#1057;&#1086;&#1079;&#1076;&#1072;&#1085;&#1080;&#1077;%20&#1056;&#1077;&#1077;&#1089;&#1090;&#1088;&#1072;%20&#1088;&#1072;&#1089;&#1095;&#1077;&#1090;&#1086;&#1074;%20&#1089;&#1088;&#1077;&#1076;&#1089;&#1090;&#1074;&#1072;&#1084;&#1080;%20Excel.pdf" TargetMode="External"/><Relationship Id="rId6" Type="http://schemas.openxmlformats.org/officeDocument/2006/relationships/hyperlink" Target="https://cloud.mail.ru/public/Hrni/KYNyR66tG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hyperlink" Target="http://nav.tn.ru/upload/files/Instruction.xlsx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://nav.tn.ru/upload/files/Instruction.xlsx" TargetMode="External"/><Relationship Id="rId1" Type="http://schemas.openxmlformats.org/officeDocument/2006/relationships/hyperlink" Target="http://nav.tn.ru/upload/files/Instruction.xlsx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10" Type="http://schemas.openxmlformats.org/officeDocument/2006/relationships/comments" Target="../comments2.xml"/><Relationship Id="rId4" Type="http://schemas.openxmlformats.org/officeDocument/2006/relationships/hyperlink" Target="http://nav.tn.ru/upload/files/Instruction.xlsx" TargetMode="External"/><Relationship Id="rId9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1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3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2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4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4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3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5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4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6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6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5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7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7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7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6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8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8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nav.tn.ru/upload/files/prc/Albom_KI_&#1050;&#1042;.pdf" TargetMode="External"/><Relationship Id="rId13" Type="http://schemas.openxmlformats.org/officeDocument/2006/relationships/table" Target="../tables/table7.xml"/><Relationship Id="rId3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7" Type="http://schemas.openxmlformats.org/officeDocument/2006/relationships/hyperlink" Target="https://nav.tn.ru/upload/files/prc/Albom_KI_XPS.pdf" TargetMode="External"/><Relationship Id="rId12" Type="http://schemas.openxmlformats.org/officeDocument/2006/relationships/vmlDrawing" Target="../drawings/vmlDrawing9.vml"/><Relationship Id="rId2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1" Type="http://schemas.openxmlformats.org/officeDocument/2006/relationships/externalLinkPath" Target="/Users/tolstov/Desktop/&#1088;&#1072;&#1073;&#1089;&#1090;&#1086;&#1083;/1.1%20&#1057;&#1055;&#1045;&#1062;&#1048;&#1060;&#1048;&#1050;&#1040;&#1062;&#1048;&#1071;%20&#1055;&#1050;%2010.10.19%20&#1062;&#1057;&#1055;.xlsm" TargetMode="External"/><Relationship Id="rId6" Type="http://schemas.openxmlformats.org/officeDocument/2006/relationships/hyperlink" Target="http://nav.tn.ru/upload/files/album/album_KLIN_XPS.pdf" TargetMode="External"/><Relationship Id="rId11" Type="http://schemas.openxmlformats.org/officeDocument/2006/relationships/drawing" Target="../drawings/drawing9.xml"/><Relationship Id="rId5" Type="http://schemas.openxmlformats.org/officeDocument/2006/relationships/hyperlink" Target="http://nav.tn.ru/upload/files/album/album_klin_KV.pdf" TargetMode="External"/><Relationship Id="rId10" Type="http://schemas.openxmlformats.org/officeDocument/2006/relationships/printerSettings" Target="../printerSettings/printerSettings9.bin"/><Relationship Id="rId4" Type="http://schemas.openxmlformats.org/officeDocument/2006/relationships/hyperlink" Target="http://nav.tn.ru/upload/files/album/album_klin_PIR.pdf" TargetMode="External"/><Relationship Id="rId9" Type="http://schemas.openxmlformats.org/officeDocument/2006/relationships/hyperlink" Target="https://nav.tn.ru/upload/files/prc/Albom_KI_PIR.pdf" TargetMode="External"/><Relationship Id="rId1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P108"/>
  <sheetViews>
    <sheetView topLeftCell="A43" workbookViewId="0">
      <selection activeCell="D66" sqref="D66"/>
    </sheetView>
  </sheetViews>
  <sheetFormatPr defaultColWidth="4.6640625" defaultRowHeight="12.75" customHeight="1" outlineLevelCol="1"/>
  <cols>
    <col min="1" max="1" width="2.6640625" style="276" customWidth="1"/>
    <col min="2" max="3" width="36.6640625" style="94" customWidth="1"/>
    <col min="4" max="4" width="39.6640625" style="94" customWidth="1"/>
    <col min="5" max="5" width="14.6640625" style="94" customWidth="1"/>
    <col min="6" max="7" width="5.6640625" style="94" customWidth="1"/>
    <col min="8" max="8" width="5.33203125" style="94" customWidth="1"/>
    <col min="9" max="9" width="11.6640625" style="94" customWidth="1"/>
    <col min="10" max="10" width="5.109375" style="94" customWidth="1"/>
    <col min="11" max="11" width="11.6640625" style="94" hidden="1" customWidth="1" outlineLevel="1"/>
    <col min="12" max="12" width="13.6640625" style="94" hidden="1" customWidth="1" outlineLevel="1"/>
    <col min="13" max="13" width="16" style="94" hidden="1" customWidth="1" outlineLevel="1"/>
    <col min="14" max="15" width="8.6640625" style="94" hidden="1" customWidth="1" outlineLevel="1"/>
    <col min="16" max="16" width="8.6640625" style="94" customWidth="1" collapsed="1"/>
    <col min="17" max="27" width="8.6640625" style="94" customWidth="1"/>
    <col min="28" max="16384" width="4.6640625" style="94"/>
  </cols>
  <sheetData>
    <row r="1" spans="1:12" ht="95.1" customHeight="1">
      <c r="A1" s="1051"/>
      <c r="B1" s="1051"/>
      <c r="C1" s="1051"/>
      <c r="D1" s="1051"/>
      <c r="E1" s="106"/>
      <c r="F1" s="106"/>
      <c r="G1" s="106"/>
      <c r="H1" s="106"/>
      <c r="I1" s="106"/>
      <c r="J1" s="106"/>
      <c r="K1" s="106"/>
      <c r="L1" s="106"/>
    </row>
    <row r="2" spans="1:12" ht="12.75" customHeight="1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</row>
    <row r="4" spans="1:12" ht="12.75" customHeight="1"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</row>
    <row r="6" spans="1:12" ht="12.75" customHeight="1" collapsed="1"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</row>
    <row r="7" spans="1:12" ht="12.75" customHeight="1"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</row>
    <row r="8" spans="1:12" ht="12.75" customHeight="1"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</row>
    <row r="9" spans="1:12" ht="12.75" customHeight="1">
      <c r="B9" s="106"/>
      <c r="C9" s="106"/>
      <c r="D9" s="106"/>
      <c r="E9" s="106"/>
      <c r="F9" s="106"/>
      <c r="G9" s="106"/>
      <c r="H9" s="106"/>
      <c r="I9" s="875"/>
      <c r="J9" s="106"/>
      <c r="K9" s="106"/>
      <c r="L9" s="106"/>
    </row>
    <row r="10" spans="1:12" ht="12.75" customHeight="1"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</row>
    <row r="11" spans="1:12" ht="12.75" customHeight="1"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</row>
    <row r="12" spans="1:12" ht="12.75" customHeight="1"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</row>
    <row r="13" spans="1:12" ht="12.75" customHeight="1"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</row>
    <row r="14" spans="1:12" ht="12.75" customHeight="1"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</row>
    <row r="15" spans="1:12" ht="12.75" customHeight="1"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</row>
    <row r="16" spans="1:12" ht="12.75" customHeight="1"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</row>
    <row r="20" spans="2:12" ht="12.75" customHeight="1">
      <c r="B20" s="137"/>
      <c r="C20" s="137"/>
      <c r="D20" s="137"/>
      <c r="F20" s="137"/>
      <c r="G20" s="137"/>
      <c r="H20" s="137"/>
      <c r="I20" s="137"/>
      <c r="J20" s="137"/>
      <c r="K20" s="106"/>
      <c r="L20" s="106"/>
    </row>
    <row r="21" spans="2:12" ht="12.75" customHeight="1">
      <c r="B21" s="137"/>
      <c r="C21" s="137"/>
      <c r="D21" s="137"/>
      <c r="E21" s="137"/>
      <c r="F21" s="137"/>
      <c r="G21" s="137"/>
      <c r="H21" s="137"/>
      <c r="I21" s="137"/>
      <c r="J21" s="137"/>
    </row>
    <row r="22" spans="2:12" ht="12.75" customHeight="1">
      <c r="B22" s="137"/>
      <c r="C22" s="137"/>
      <c r="D22" s="137"/>
      <c r="E22" s="137"/>
      <c r="F22" s="137"/>
      <c r="G22" s="137"/>
      <c r="H22" s="137"/>
      <c r="I22" s="137"/>
      <c r="J22" s="137"/>
      <c r="K22" s="137"/>
    </row>
    <row r="23" spans="2:12" ht="12.75" customHeight="1">
      <c r="B23" s="137"/>
      <c r="C23" s="137"/>
      <c r="D23" s="137"/>
      <c r="E23" s="137"/>
      <c r="F23" s="137"/>
      <c r="G23" s="137"/>
      <c r="H23" s="137"/>
      <c r="I23" s="137"/>
      <c r="J23" s="137"/>
      <c r="K23" s="137"/>
    </row>
    <row r="24" spans="2:12" ht="12.75" customHeight="1">
      <c r="B24" s="137"/>
      <c r="C24" s="137"/>
      <c r="D24" s="137"/>
      <c r="E24" s="137"/>
      <c r="F24" s="137"/>
      <c r="G24" s="137"/>
      <c r="H24" s="137"/>
      <c r="I24" s="137"/>
      <c r="J24" s="137"/>
      <c r="K24" s="137"/>
    </row>
    <row r="25" spans="2:12" ht="12.75" customHeight="1">
      <c r="C25" s="138"/>
      <c r="D25" s="138"/>
      <c r="E25" s="138"/>
      <c r="F25" s="138"/>
      <c r="G25" s="138"/>
      <c r="H25" s="138"/>
      <c r="I25" s="138"/>
      <c r="J25" s="138"/>
      <c r="K25" s="138"/>
    </row>
    <row r="26" spans="2:12" ht="12.75" customHeight="1">
      <c r="B26" s="1049" t="s">
        <v>211</v>
      </c>
      <c r="C26" s="1049"/>
      <c r="D26" s="1049"/>
      <c r="E26" s="138"/>
      <c r="F26" s="138"/>
      <c r="G26" s="138"/>
      <c r="H26" s="138"/>
      <c r="I26" s="138"/>
      <c r="J26" s="138"/>
      <c r="K26" s="138"/>
    </row>
    <row r="27" spans="2:12" ht="12.75" customHeight="1">
      <c r="B27" s="1049"/>
      <c r="C27" s="1049"/>
      <c r="D27" s="1049"/>
      <c r="E27" s="138"/>
      <c r="F27" s="138"/>
      <c r="G27" s="138"/>
      <c r="H27" s="138"/>
      <c r="I27" s="138"/>
      <c r="J27" s="138"/>
      <c r="K27" s="138"/>
      <c r="L27" s="138"/>
    </row>
    <row r="28" spans="2:12" ht="12.75" customHeight="1">
      <c r="B28" s="1049"/>
      <c r="C28" s="1049"/>
      <c r="D28" s="1049"/>
      <c r="E28" s="138"/>
      <c r="F28" s="138"/>
      <c r="G28" s="138"/>
      <c r="H28" s="138"/>
      <c r="I28" s="138"/>
      <c r="J28" s="138"/>
      <c r="K28" s="138"/>
      <c r="L28" s="138"/>
    </row>
    <row r="29" spans="2:12" ht="12.75" customHeight="1">
      <c r="B29" s="1049"/>
      <c r="C29" s="1049"/>
      <c r="D29" s="1049"/>
      <c r="E29" s="138"/>
      <c r="F29" s="138"/>
      <c r="G29" s="138"/>
      <c r="H29" s="138"/>
      <c r="I29" s="138"/>
      <c r="J29" s="138"/>
      <c r="K29" s="138"/>
      <c r="L29" s="138"/>
    </row>
    <row r="30" spans="2:12" ht="12.75" customHeight="1">
      <c r="B30" s="1049"/>
      <c r="C30" s="1049"/>
      <c r="D30" s="1049"/>
      <c r="E30" s="138"/>
      <c r="F30" s="138"/>
      <c r="G30" s="138"/>
      <c r="H30" s="138"/>
      <c r="I30" s="138"/>
      <c r="J30" s="138"/>
      <c r="K30" s="138"/>
      <c r="L30" s="138"/>
    </row>
    <row r="31" spans="2:12" ht="12.75" customHeight="1">
      <c r="D31" s="138"/>
      <c r="E31" s="138"/>
      <c r="F31" s="138"/>
      <c r="G31" s="138"/>
      <c r="H31" s="138"/>
      <c r="I31" s="138"/>
      <c r="J31" s="138"/>
      <c r="K31" s="138"/>
      <c r="L31" s="396" t="str">
        <f>CONCATENATE("СПЕЦИФИКАЦИЯ ",номер_объекта)</f>
        <v>СПЕЦИФИКАЦИЯ 11-27ХХ-МПКПМКИ-12.21</v>
      </c>
    </row>
    <row r="32" spans="2:12" ht="12.75" customHeight="1">
      <c r="B32" s="1050" t="str">
        <f>IF(ОБЩИЕ_ДАННЫЕ!C6=0,"",ОБЩИЕ_ДАННЫЕ!C6)</f>
        <v>11-27ХХ-МПКПМКИ-12.21</v>
      </c>
      <c r="C32" s="1050"/>
      <c r="D32" s="1050"/>
      <c r="E32" s="138"/>
      <c r="F32" s="138"/>
      <c r="G32" s="138"/>
      <c r="H32" s="138"/>
      <c r="I32" s="138"/>
      <c r="J32" s="138"/>
      <c r="K32" s="138"/>
      <c r="L32" s="138"/>
    </row>
    <row r="33" spans="2:13" ht="12.75" customHeight="1">
      <c r="B33" s="1050"/>
      <c r="C33" s="1050"/>
      <c r="D33" s="1050"/>
      <c r="E33" s="138"/>
      <c r="F33" s="138"/>
      <c r="G33" s="138"/>
      <c r="H33" s="138"/>
      <c r="I33" s="138"/>
      <c r="J33" s="138"/>
      <c r="K33" s="138"/>
      <c r="M33" s="441" t="str">
        <f>IF(ISERROR(LEFT(B32,FIND("-",B32)-1))," ",LEFT(B32,FIND("-",B32)-1))</f>
        <v>11</v>
      </c>
    </row>
    <row r="34" spans="2:13" ht="12.75" customHeight="1">
      <c r="B34" s="1050"/>
      <c r="C34" s="1050"/>
      <c r="D34" s="1050"/>
      <c r="F34" s="139"/>
      <c r="G34" s="139"/>
      <c r="H34" s="139"/>
      <c r="I34" s="139"/>
      <c r="J34" s="139"/>
    </row>
    <row r="35" spans="2:13" ht="12.75" customHeight="1">
      <c r="B35" s="1050"/>
      <c r="C35" s="1050"/>
      <c r="D35" s="1050"/>
      <c r="E35" s="139"/>
      <c r="F35" s="139"/>
      <c r="G35" s="139"/>
      <c r="H35" s="139"/>
      <c r="I35" s="139"/>
      <c r="J35" s="139"/>
      <c r="L35" s="573">
        <v>1</v>
      </c>
      <c r="M35" s="571" t="s">
        <v>221</v>
      </c>
    </row>
    <row r="36" spans="2:13" ht="12.75" customHeight="1">
      <c r="B36" s="1050"/>
      <c r="C36" s="1050"/>
      <c r="D36" s="1050"/>
      <c r="E36" s="139"/>
      <c r="F36" s="139"/>
      <c r="G36" s="139"/>
      <c r="H36" s="139"/>
      <c r="I36" s="139"/>
      <c r="J36" s="139"/>
      <c r="L36" s="573">
        <v>2</v>
      </c>
      <c r="M36" s="571" t="s">
        <v>222</v>
      </c>
    </row>
    <row r="37" spans="2:13" ht="12.75" customHeight="1">
      <c r="B37" s="139"/>
      <c r="C37" s="139"/>
      <c r="D37" s="139"/>
      <c r="E37" s="139"/>
      <c r="F37" s="139"/>
      <c r="G37" s="139"/>
      <c r="H37" s="139"/>
      <c r="I37" s="139"/>
      <c r="J37" s="139"/>
      <c r="L37" s="573">
        <v>3</v>
      </c>
      <c r="M37" s="571" t="s">
        <v>223</v>
      </c>
    </row>
    <row r="38" spans="2:13" ht="12.75" customHeight="1">
      <c r="B38" s="139"/>
      <c r="C38" s="139"/>
      <c r="D38" s="139"/>
      <c r="L38" s="573">
        <v>4</v>
      </c>
      <c r="M38" s="571" t="s">
        <v>451</v>
      </c>
    </row>
    <row r="39" spans="2:13" ht="12.75" customHeight="1">
      <c r="B39" s="139"/>
      <c r="C39" s="139"/>
      <c r="D39" s="139"/>
      <c r="L39" s="573">
        <v>5</v>
      </c>
      <c r="M39" s="571" t="s">
        <v>224</v>
      </c>
    </row>
    <row r="40" spans="2:13" ht="12.75" customHeight="1">
      <c r="B40" s="139"/>
      <c r="C40" s="139"/>
      <c r="D40" s="139"/>
      <c r="L40" s="573">
        <v>6</v>
      </c>
      <c r="M40" s="571" t="s">
        <v>1143</v>
      </c>
    </row>
    <row r="41" spans="2:13" ht="12.75" customHeight="1">
      <c r="L41" s="573">
        <v>7</v>
      </c>
      <c r="M41" s="571" t="s">
        <v>609</v>
      </c>
    </row>
    <row r="42" spans="2:13" ht="12.75" customHeight="1">
      <c r="L42" s="573">
        <v>8</v>
      </c>
      <c r="M42" s="571" t="s">
        <v>225</v>
      </c>
    </row>
    <row r="43" spans="2:13" ht="12.75" customHeight="1">
      <c r="L43" s="573">
        <v>9</v>
      </c>
      <c r="M43" s="571" t="s">
        <v>226</v>
      </c>
    </row>
    <row r="44" spans="2:13" ht="12.75" customHeight="1">
      <c r="L44" s="573">
        <v>10</v>
      </c>
      <c r="M44" s="571"/>
    </row>
    <row r="45" spans="2:13" ht="12.75" customHeight="1">
      <c r="L45" s="573">
        <v>11</v>
      </c>
      <c r="M45" s="571" t="s">
        <v>279</v>
      </c>
    </row>
    <row r="46" spans="2:13" ht="12.75" customHeight="1">
      <c r="L46" s="573">
        <v>12</v>
      </c>
      <c r="M46" s="571" t="s">
        <v>670</v>
      </c>
    </row>
    <row r="47" spans="2:13" ht="12.75" customHeight="1">
      <c r="L47" s="573">
        <v>13</v>
      </c>
      <c r="M47" s="571" t="s">
        <v>842</v>
      </c>
    </row>
    <row r="48" spans="2:13" s="870" customFormat="1" ht="12.75" customHeight="1">
      <c r="L48" s="871">
        <v>14</v>
      </c>
      <c r="M48" s="872" t="s">
        <v>1000</v>
      </c>
    </row>
    <row r="49" spans="1:13" ht="12.75" customHeight="1">
      <c r="L49" s="573">
        <v>15</v>
      </c>
      <c r="M49" s="571" t="s">
        <v>1086</v>
      </c>
    </row>
    <row r="50" spans="1:13" s="278" customFormat="1" ht="12.75" customHeight="1">
      <c r="L50" s="573">
        <v>16</v>
      </c>
      <c r="M50" s="726" t="s">
        <v>1155</v>
      </c>
    </row>
    <row r="51" spans="1:13" s="278" customFormat="1" ht="12.75" customHeight="1">
      <c r="L51" s="573">
        <v>17</v>
      </c>
      <c r="M51" s="571"/>
    </row>
    <row r="52" spans="1:13" s="278" customFormat="1" ht="12.75" customHeight="1">
      <c r="L52" s="573">
        <v>54</v>
      </c>
      <c r="M52" s="571" t="s">
        <v>671</v>
      </c>
    </row>
    <row r="53" spans="1:13" s="278" customFormat="1" ht="12.75" customHeight="1">
      <c r="L53" s="573">
        <v>55</v>
      </c>
      <c r="M53" s="571" t="s">
        <v>672</v>
      </c>
    </row>
    <row r="54" spans="1:13" s="278" customFormat="1" ht="12.75" customHeight="1">
      <c r="L54" s="573">
        <v>56</v>
      </c>
      <c r="M54" s="571" t="s">
        <v>673</v>
      </c>
    </row>
    <row r="55" spans="1:13" s="278" customFormat="1" ht="12.75" customHeight="1">
      <c r="L55" s="573">
        <v>57</v>
      </c>
      <c r="M55" s="571" t="s">
        <v>674</v>
      </c>
    </row>
    <row r="56" spans="1:13" s="278" customFormat="1" ht="12.75" customHeight="1">
      <c r="L56" s="573">
        <v>58</v>
      </c>
      <c r="M56" s="571" t="s">
        <v>675</v>
      </c>
    </row>
    <row r="57" spans="1:13" ht="12.75" customHeight="1">
      <c r="L57" s="573">
        <v>59</v>
      </c>
      <c r="M57" s="571" t="s">
        <v>676</v>
      </c>
    </row>
    <row r="58" spans="1:13" s="275" customFormat="1" ht="12.75" customHeight="1">
      <c r="A58" s="276"/>
    </row>
    <row r="59" spans="1:13" s="275" customFormat="1" ht="12.75" customHeight="1">
      <c r="A59" s="276"/>
      <c r="C59" s="279"/>
    </row>
    <row r="60" spans="1:13" s="275" customFormat="1" ht="12.75" customHeight="1">
      <c r="A60" s="276"/>
    </row>
    <row r="61" spans="1:13" s="275" customFormat="1" ht="12.75" customHeight="1">
      <c r="A61" s="276"/>
    </row>
    <row r="66" spans="2:13" ht="18.75" customHeight="1">
      <c r="B66" s="140" t="s">
        <v>212</v>
      </c>
      <c r="C66" s="140"/>
      <c r="D66" s="141" t="str">
        <f>IFERROR(INDEX(M35:M57,MATCH(VALUE(M33),L35:L57)),"")</f>
        <v>Шумилов М.</v>
      </c>
    </row>
    <row r="67" spans="2:13" ht="30.75" customHeight="1">
      <c r="D67" s="280" t="str">
        <f>IFERROR(IF(VALUE(M33)&lt;13,"prc@tn.ru",""),"")</f>
        <v>prc@tn.ru</v>
      </c>
    </row>
    <row r="69" spans="2:13" ht="17.399999999999999">
      <c r="C69" s="140">
        <f ca="1">YEAR(TODAY())</f>
        <v>2021</v>
      </c>
      <c r="M69" s="397"/>
    </row>
    <row r="70" spans="2:13" ht="18" customHeight="1"/>
    <row r="82" spans="4:4" ht="12.75" customHeight="1">
      <c r="D82" s="142"/>
    </row>
    <row r="83" spans="4:4" ht="12.75" customHeight="1">
      <c r="D83" s="142"/>
    </row>
    <row r="84" spans="4:4" ht="12.75" customHeight="1">
      <c r="D84" s="142"/>
    </row>
    <row r="85" spans="4:4" ht="12.75" customHeight="1">
      <c r="D85" s="142"/>
    </row>
    <row r="86" spans="4:4" ht="12.75" customHeight="1">
      <c r="D86" s="142"/>
    </row>
    <row r="87" spans="4:4" ht="12.75" customHeight="1">
      <c r="D87" s="142"/>
    </row>
    <row r="88" spans="4:4" ht="12.75" customHeight="1">
      <c r="D88" s="142"/>
    </row>
    <row r="89" spans="4:4" ht="12.75" customHeight="1">
      <c r="D89" s="142"/>
    </row>
    <row r="90" spans="4:4" ht="12.75" customHeight="1">
      <c r="D90" s="142"/>
    </row>
    <row r="91" spans="4:4" ht="12.75" customHeight="1">
      <c r="D91" s="142"/>
    </row>
    <row r="92" spans="4:4" ht="12.75" customHeight="1">
      <c r="D92" s="142"/>
    </row>
    <row r="93" spans="4:4" ht="12.75" customHeight="1">
      <c r="D93" s="142"/>
    </row>
    <row r="108" ht="15" customHeight="1"/>
  </sheetData>
  <mergeCells count="3">
    <mergeCell ref="B26:D30"/>
    <mergeCell ref="B32:D36"/>
    <mergeCell ref="A1:D1"/>
  </mergeCells>
  <conditionalFormatting sqref="B20:D24">
    <cfRule type="expression" dxfId="1399" priority="2">
      <formula>IF($B$20="объект",1,0)</formula>
    </cfRule>
  </conditionalFormatting>
  <conditionalFormatting sqref="B32:D36">
    <cfRule type="expression" dxfId="1398" priority="1">
      <formula>IF($B$32="-",1,0)</formula>
    </cfRule>
  </conditionalFormatting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3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ТИП8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ТИП8</v>
      </c>
      <c r="AC5" s="163" t="str">
        <f ca="1">HYPERLINK("#"&amp;AB5&amp;"!A1","1")</f>
        <v>1</v>
      </c>
      <c r="AD5" s="229">
        <f ca="1">_xlfn.SHEET()-2</f>
        <v>8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IF(AK24&gt;0,ТИП8!ПЛ*7,0)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ТИП8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ТИП8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ТИП8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ТИП8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IF(ТИП8!ПЛ&lt;1000,"Рейка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IF(ТИП8!ПЛ&lt;1000,"Рейка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IF(ТИП8!ПЛ&lt;1000,"Рейка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IF(ТИП8!ПЛ&lt;1000,"Рейка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IF(ТИП8!ПЛ&lt;1000,"Рейка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IF(ТИП8!ПЛ&lt;1000,"Рейка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466" priority="66" operator="equal">
      <formula>"  "</formula>
    </cfRule>
  </conditionalFormatting>
  <conditionalFormatting sqref="Y73:Y74 P73:V75 Z73:AB73 Y75:AB75">
    <cfRule type="expression" dxfId="465" priority="65">
      <formula>IF($V$3=$Y$2,0,1)</formula>
    </cfRule>
  </conditionalFormatting>
  <conditionalFormatting sqref="Y73:Y74 P73:V74 Q139:T140 S154:T155 P131:T131 P139 R154 P147 S147:T148 Q147:Q148">
    <cfRule type="expression" dxfId="464" priority="64">
      <formula>IF($V$3=$Y$3,1,0)</formula>
    </cfRule>
  </conditionalFormatting>
  <conditionalFormatting sqref="Y73:Y74 P73:V74 Q100:S100 Q94:T94 P87:T87 P80:T80 Z73:AB73">
    <cfRule type="expression" dxfId="463" priority="63">
      <formula>IF($V$3=$Y$4,1,0)</formula>
    </cfRule>
  </conditionalFormatting>
  <conditionalFormatting sqref="Z73">
    <cfRule type="expression" dxfId="462" priority="62">
      <formula>IF($V$3=$Y$3,1,0)</formula>
    </cfRule>
  </conditionalFormatting>
  <conditionalFormatting sqref="Y75:Z75">
    <cfRule type="expression" dxfId="461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460" priority="60">
      <formula>IF($V$3=$Y$4,1,0)</formula>
    </cfRule>
  </conditionalFormatting>
  <conditionalFormatting sqref="AA73">
    <cfRule type="expression" dxfId="459" priority="59">
      <formula>IF($V$3=$Y$3,1,0)</formula>
    </cfRule>
  </conditionalFormatting>
  <conditionalFormatting sqref="AA75">
    <cfRule type="expression" dxfId="458" priority="58">
      <formula>IF($V$3=$Y$3,1,0)</formula>
    </cfRule>
  </conditionalFormatting>
  <conditionalFormatting sqref="F828:F832 F837:F838 F840">
    <cfRule type="cellIs" dxfId="457" priority="57" operator="equal">
      <formula>0</formula>
    </cfRule>
  </conditionalFormatting>
  <conditionalFormatting sqref="I20">
    <cfRule type="cellIs" dxfId="456" priority="56" operator="equal">
      <formula>"  "</formula>
    </cfRule>
  </conditionalFormatting>
  <conditionalFormatting sqref="I48">
    <cfRule type="cellIs" dxfId="455" priority="55" operator="equal">
      <formula>"  "</formula>
    </cfRule>
  </conditionalFormatting>
  <conditionalFormatting sqref="F845">
    <cfRule type="cellIs" dxfId="454" priority="54" operator="equal">
      <formula>0</formula>
    </cfRule>
  </conditionalFormatting>
  <conditionalFormatting sqref="F844">
    <cfRule type="cellIs" dxfId="453" priority="53" operator="equal">
      <formula>0</formula>
    </cfRule>
  </conditionalFormatting>
  <conditionalFormatting sqref="F846">
    <cfRule type="cellIs" dxfId="452" priority="52" operator="equal">
      <formula>0</formula>
    </cfRule>
  </conditionalFormatting>
  <conditionalFormatting sqref="F847:F853">
    <cfRule type="cellIs" dxfId="451" priority="51" operator="equal">
      <formula>0</formula>
    </cfRule>
  </conditionalFormatting>
  <conditionalFormatting sqref="I49:I58">
    <cfRule type="cellIs" dxfId="450" priority="50" operator="equal">
      <formula>"  "</formula>
    </cfRule>
  </conditionalFormatting>
  <conditionalFormatting sqref="U80:W80">
    <cfRule type="expression" dxfId="449" priority="67">
      <formula>IF($AE$5=1,1,0)</formula>
    </cfRule>
  </conditionalFormatting>
  <conditionalFormatting sqref="U81:W81 U83:W83 U85:W85">
    <cfRule type="expression" dxfId="448" priority="68">
      <formula>IF($AE$5=1,1,0)</formula>
    </cfRule>
  </conditionalFormatting>
  <conditionalFormatting sqref="U82:W82 U84:W84">
    <cfRule type="expression" dxfId="447" priority="69">
      <formula>IF($AE$5=1,1,0)</formula>
    </cfRule>
  </conditionalFormatting>
  <conditionalFormatting sqref="U87:W87">
    <cfRule type="expression" dxfId="446" priority="70">
      <formula>IF($AE$6=1,1,0)</formula>
    </cfRule>
  </conditionalFormatting>
  <conditionalFormatting sqref="U88:W88 U90:W90 U92:W92">
    <cfRule type="expression" dxfId="445" priority="71">
      <formula>IF($AE$6=1,1,0)</formula>
    </cfRule>
  </conditionalFormatting>
  <conditionalFormatting sqref="U89:W89 W91">
    <cfRule type="expression" dxfId="444" priority="72">
      <formula>IF($AE$6=1,1,0)</formula>
    </cfRule>
  </conditionalFormatting>
  <conditionalFormatting sqref="U94:W94">
    <cfRule type="expression" dxfId="443" priority="73">
      <formula>IF($AE$7=1,1,0)</formula>
    </cfRule>
  </conditionalFormatting>
  <conditionalFormatting sqref="U95:W95 U97:W97">
    <cfRule type="expression" dxfId="442" priority="74">
      <formula>IF($AE$7=1,1,0)</formula>
    </cfRule>
  </conditionalFormatting>
  <conditionalFormatting sqref="U96:W96 U98:W98">
    <cfRule type="expression" dxfId="441" priority="75">
      <formula>IF($AE$7=1,1,0)</formula>
    </cfRule>
  </conditionalFormatting>
  <conditionalFormatting sqref="U131:W132">
    <cfRule type="expression" dxfId="440" priority="76">
      <formula>IF($AF$5=1,1,0)</formula>
    </cfRule>
  </conditionalFormatting>
  <conditionalFormatting sqref="U133:W133 U135:W135 U137:W137">
    <cfRule type="expression" dxfId="439" priority="77">
      <formula>IF($AF$5=1,1,0)</formula>
    </cfRule>
  </conditionalFormatting>
  <conditionalFormatting sqref="U134:W134 U136:W136">
    <cfRule type="expression" dxfId="438" priority="78">
      <formula>IF($AF$5=1,1,0)</formula>
    </cfRule>
  </conditionalFormatting>
  <conditionalFormatting sqref="U139:W140">
    <cfRule type="expression" dxfId="437" priority="79">
      <formula>IF($AF$6=1,1,0)</formula>
    </cfRule>
  </conditionalFormatting>
  <conditionalFormatting sqref="U141:W141 U143:W143 U145:W145">
    <cfRule type="expression" dxfId="436" priority="80">
      <formula>IF($AF$6=1,1,0)</formula>
    </cfRule>
  </conditionalFormatting>
  <conditionalFormatting sqref="U142:W142 U144:W144">
    <cfRule type="expression" dxfId="435" priority="81">
      <formula>IF($AF$6=1,1,0)</formula>
    </cfRule>
  </conditionalFormatting>
  <conditionalFormatting sqref="U147:W148">
    <cfRule type="expression" dxfId="434" priority="82">
      <formula>IF($AF$7=1,1,0)</formula>
    </cfRule>
  </conditionalFormatting>
  <conditionalFormatting sqref="U149:W149 U151:W151">
    <cfRule type="expression" dxfId="433" priority="83">
      <formula>IF($AF$7=1,1,0)</formula>
    </cfRule>
  </conditionalFormatting>
  <conditionalFormatting sqref="U150:W150 U152:W152">
    <cfRule type="expression" dxfId="432" priority="84">
      <formula>IF($AF$7=1,1,0)</formula>
    </cfRule>
  </conditionalFormatting>
  <conditionalFormatting sqref="I986:I988">
    <cfRule type="cellIs" dxfId="431" priority="48" operator="equal">
      <formula>0</formula>
    </cfRule>
  </conditionalFormatting>
  <conditionalFormatting sqref="I984:I985">
    <cfRule type="cellIs" dxfId="430" priority="49" operator="equal">
      <formula>0</formula>
    </cfRule>
  </conditionalFormatting>
  <conditionalFormatting sqref="W14:W15">
    <cfRule type="expression" dxfId="429" priority="47">
      <formula>IF($W$16=" ",0,1)</formula>
    </cfRule>
  </conditionalFormatting>
  <conditionalFormatting sqref="I842">
    <cfRule type="cellIs" dxfId="428" priority="46" operator="equal">
      <formula>0</formula>
    </cfRule>
  </conditionalFormatting>
  <conditionalFormatting sqref="AB73">
    <cfRule type="expression" dxfId="427" priority="45">
      <formula>IF($V$3=$Y$3,1,0)</formula>
    </cfRule>
  </conditionalFormatting>
  <conditionalFormatting sqref="AB75">
    <cfRule type="expression" dxfId="426" priority="44">
      <formula>IF($V$3=$Y$3,1,0)</formula>
    </cfRule>
  </conditionalFormatting>
  <conditionalFormatting sqref="G1008">
    <cfRule type="cellIs" dxfId="425" priority="43" operator="equal">
      <formula>0</formula>
    </cfRule>
  </conditionalFormatting>
  <conditionalFormatting sqref="I62">
    <cfRule type="cellIs" dxfId="424" priority="42" operator="equal">
      <formula>"  "</formula>
    </cfRule>
  </conditionalFormatting>
  <conditionalFormatting sqref="I1018:I1021">
    <cfRule type="cellIs" dxfId="423" priority="41" operator="equal">
      <formula>0</formula>
    </cfRule>
  </conditionalFormatting>
  <conditionalFormatting sqref="F827">
    <cfRule type="cellIs" dxfId="422" priority="40" operator="equal">
      <formula>0</formula>
    </cfRule>
  </conditionalFormatting>
  <conditionalFormatting sqref="F921">
    <cfRule type="cellIs" dxfId="421" priority="39" operator="equal">
      <formula>0</formula>
    </cfRule>
  </conditionalFormatting>
  <conditionalFormatting sqref="F1038">
    <cfRule type="cellIs" dxfId="420" priority="38" operator="equal">
      <formula>0</formula>
    </cfRule>
  </conditionalFormatting>
  <conditionalFormatting sqref="R3">
    <cfRule type="expression" dxfId="419" priority="85">
      <formula>SUM($F$16:$F$21)=0</formula>
    </cfRule>
    <cfRule type="expression" dxfId="418" priority="86">
      <formula>SUM($F$16:$F$21)&lt;&gt;$R$3</formula>
    </cfRule>
  </conditionalFormatting>
  <conditionalFormatting sqref="F917">
    <cfRule type="cellIs" dxfId="417" priority="37" operator="equal">
      <formula>0</formula>
    </cfRule>
  </conditionalFormatting>
  <conditionalFormatting sqref="U91:V91">
    <cfRule type="expression" dxfId="416" priority="36">
      <formula>IF($AE$6=1,1,0)</formula>
    </cfRule>
  </conditionalFormatting>
  <conditionalFormatting sqref="F843">
    <cfRule type="cellIs" dxfId="415" priority="35" operator="equal">
      <formula>0</formula>
    </cfRule>
  </conditionalFormatting>
  <conditionalFormatting sqref="P4">
    <cfRule type="expression" dxfId="414" priority="33">
      <formula>IF(AA4&lt;3%,1,0)</formula>
    </cfRule>
    <cfRule type="expression" dxfId="413" priority="34">
      <formula>IF(AA4&gt;3%,1,0)</formula>
    </cfRule>
  </conditionalFormatting>
  <conditionalFormatting sqref="F841">
    <cfRule type="cellIs" dxfId="412" priority="32" operator="equal">
      <formula>0</formula>
    </cfRule>
  </conditionalFormatting>
  <conditionalFormatting sqref="S6:S10 P8:Q10 P6:R7">
    <cfRule type="expression" dxfId="411" priority="87">
      <formula>IF($T$3=$Y$13,0,1)</formula>
    </cfRule>
  </conditionalFormatting>
  <conditionalFormatting sqref="Q99:S101 Q93:T98 P103:U106 P79:T92">
    <cfRule type="expression" dxfId="410" priority="88">
      <formula>IF($V$3=$Y$4,1,0)</formula>
    </cfRule>
  </conditionalFormatting>
  <conditionalFormatting sqref="P160:S163 T160:U161 P130:T145 Q146:T146 R153:T156 S147:T152 P147:Q152">
    <cfRule type="expression" dxfId="409" priority="89">
      <formula>IF($V$3=$Y$3,1,0)</formula>
    </cfRule>
  </conditionalFormatting>
  <conditionalFormatting sqref="P6:P10 Q6:S7">
    <cfRule type="expression" dxfId="408" priority="90">
      <formula>IF(OR($T$3=$Y$14,$T$3=$Y$15),1,0)</formula>
    </cfRule>
  </conditionalFormatting>
  <conditionalFormatting sqref="S14:W17">
    <cfRule type="expression" dxfId="407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406" priority="93">
      <formula>IF($V$3=$Y$3,1,0)</formula>
    </cfRule>
  </conditionalFormatting>
  <conditionalFormatting sqref="P77:V77">
    <cfRule type="expression" dxfId="405" priority="94">
      <formula>IF($S$77=0%,1,0)</formula>
    </cfRule>
    <cfRule type="expression" dxfId="404" priority="95">
      <formula>IF(AND(OR($S$77&lt;105%,$S$77&gt;130%),$T$3&lt;&gt;$Y$13),1,0)</formula>
    </cfRule>
  </conditionalFormatting>
  <conditionalFormatting sqref="U5:V5">
    <cfRule type="expression" dxfId="403" priority="96">
      <formula>IF($V$5=$AA$22,0,1)</formula>
    </cfRule>
    <cfRule type="expression" dxfId="402" priority="97">
      <formula>IF(AND($T$3=$Y$13,$V$4=$Y$12),1,0)</formula>
    </cfRule>
  </conditionalFormatting>
  <conditionalFormatting sqref="P108:U113">
    <cfRule type="expression" dxfId="401" priority="98">
      <formula>IF(OR($V$3=$Y$2,$V$3=$Y$3),1,0)</formula>
    </cfRule>
  </conditionalFormatting>
  <conditionalFormatting sqref="P165:U166">
    <cfRule type="expression" dxfId="400" priority="99">
      <formula>IF(OR($V$3=$Y$2,$V$3=$Y$4),1,0)</formula>
    </cfRule>
  </conditionalFormatting>
  <conditionalFormatting sqref="R226">
    <cfRule type="expression" dxfId="399" priority="31">
      <formula>IF($P$228="Средний расход",1,0)</formula>
    </cfRule>
  </conditionalFormatting>
  <conditionalFormatting sqref="S12:U13">
    <cfRule type="expression" dxfId="398" priority="100">
      <formula>IF($V$4=$AA$11,1,0)</formula>
    </cfRule>
    <cfRule type="expression" dxfId="397" priority="101">
      <formula>IF(OR($V$4=$Y$11,$V$4=$A$10),0,1)</formula>
    </cfRule>
    <cfRule type="expression" dxfId="396" priority="102">
      <formula>IF(OR($V$4=$Y$11,$V$4=$A$10),0,1)</formula>
    </cfRule>
  </conditionalFormatting>
  <conditionalFormatting sqref="S14:U17">
    <cfRule type="expression" dxfId="395" priority="103">
      <formula>IF(AND($T$3&lt;&gt;$Y$13,OR($V$4=$Y$12,$V$4=$AA$7)),1,0)</formula>
    </cfRule>
  </conditionalFormatting>
  <conditionalFormatting sqref="V14:W17">
    <cfRule type="expression" dxfId="394" priority="104">
      <formula>IF(AND($T$3&lt;&gt;$Y$13,OR($V$4=$AA$7,$V$4=$Y$12)),1,0)</formula>
    </cfRule>
  </conditionalFormatting>
  <conditionalFormatting sqref="P228:W294">
    <cfRule type="expression" dxfId="393" priority="105">
      <formula>IF(AND($T$3=$AA$5,$T$4=$AA$5),1,0)</formula>
    </cfRule>
  </conditionalFormatting>
  <conditionalFormatting sqref="P228:T230 P240:Q294 S240:T294 V240:W294">
    <cfRule type="expression" dxfId="392" priority="106">
      <formula>IF(AND($T$3=$AA$5,$T$4&lt;&gt;$AA$5),1,0)</formula>
    </cfRule>
  </conditionalFormatting>
  <conditionalFormatting sqref="P232:Q237 S232:T237 V232:W237 P226:R226">
    <cfRule type="expression" dxfId="391" priority="107">
      <formula>IF(AND($T$3&lt;&gt;$AA$5,$T$4&lt;&gt;$AA$5),1,0)</formula>
    </cfRule>
  </conditionalFormatting>
  <conditionalFormatting sqref="P12:Q60 S19:T52">
    <cfRule type="expression" dxfId="390" priority="92">
      <formula>IF(AND(OR($V$4=$AA$10,$V$4=$AA$11),$AA$3=$AA$5),1,0)</formula>
    </cfRule>
  </conditionalFormatting>
  <conditionalFormatting sqref="X4">
    <cfRule type="expression" dxfId="389" priority="108">
      <formula>IF($V$4=$AA$10,0,1)</formula>
    </cfRule>
  </conditionalFormatting>
  <conditionalFormatting sqref="W5">
    <cfRule type="expression" dxfId="388" priority="109">
      <formula>IF(OR($V$4=$AA$10,$V$4=$AA$11),0,1)</formula>
    </cfRule>
  </conditionalFormatting>
  <conditionalFormatting sqref="U2:W2">
    <cfRule type="expression" dxfId="387" priority="30">
      <formula>IF($R$4=$Y$6,1,0)</formula>
    </cfRule>
  </conditionalFormatting>
  <conditionalFormatting sqref="F835">
    <cfRule type="cellIs" dxfId="386" priority="29" operator="equal">
      <formula>0</formula>
    </cfRule>
  </conditionalFormatting>
  <conditionalFormatting sqref="P170:V176">
    <cfRule type="expression" dxfId="385" priority="20">
      <formula>IF($V$2=$AA$19,1,0)</formula>
    </cfRule>
  </conditionalFormatting>
  <conditionalFormatting sqref="F1041">
    <cfRule type="cellIs" dxfId="384" priority="27" operator="equal">
      <formula>0</formula>
    </cfRule>
  </conditionalFormatting>
  <conditionalFormatting sqref="R173">
    <cfRule type="expression" dxfId="383" priority="28">
      <formula>IF($R$173&gt;0,0,1)</formula>
    </cfRule>
  </conditionalFormatting>
  <conditionalFormatting sqref="R172">
    <cfRule type="expression" dxfId="382" priority="26">
      <formula>IF($R$172&gt;0,0,1)</formula>
    </cfRule>
  </conditionalFormatting>
  <conditionalFormatting sqref="R176">
    <cfRule type="expression" dxfId="381" priority="25">
      <formula>IF($R$176&gt;0,0,1)</formula>
    </cfRule>
  </conditionalFormatting>
  <conditionalFormatting sqref="L4">
    <cfRule type="expression" dxfId="380" priority="22">
      <formula>IF($L$4&lt;&gt;0,1,0)</formula>
    </cfRule>
    <cfRule type="expression" dxfId="379" priority="23">
      <formula>IF($J$4=$AJ$15,1,0)</formula>
    </cfRule>
  </conditionalFormatting>
  <conditionalFormatting sqref="P6:P10 Q6:S6">
    <cfRule type="expression" dxfId="378" priority="110">
      <formula>IF(OR($T$3=$Y$16,$T$3=$Y$17),1,0)</formula>
    </cfRule>
  </conditionalFormatting>
  <conditionalFormatting sqref="R175">
    <cfRule type="expression" dxfId="377" priority="24">
      <formula>IF($R$175&gt;0,0,1)</formula>
    </cfRule>
  </conditionalFormatting>
  <conditionalFormatting sqref="R174">
    <cfRule type="expression" dxfId="376" priority="21">
      <formula>IF($R$174&gt;0,0,1)</formula>
    </cfRule>
  </conditionalFormatting>
  <conditionalFormatting sqref="V11 T11">
    <cfRule type="expression" dxfId="375" priority="18">
      <formula>IF($T$2=$Z$12,1,0)</formula>
    </cfRule>
    <cfRule type="expression" dxfId="374" priority="19">
      <formula>IF($T$2=$Z$11,1,0)</formula>
    </cfRule>
  </conditionalFormatting>
  <conditionalFormatting sqref="F854">
    <cfRule type="cellIs" dxfId="373" priority="17" operator="equal">
      <formula>0</formula>
    </cfRule>
  </conditionalFormatting>
  <conditionalFormatting sqref="T6:U10 W6:W10">
    <cfRule type="expression" dxfId="372" priority="111">
      <formula>IF($T$4=$Y$19,0,1)</formula>
    </cfRule>
  </conditionalFormatting>
  <conditionalFormatting sqref="P12:Q13 S19:T20">
    <cfRule type="expression" dxfId="371" priority="112">
      <formula>IF(AND($V$4&lt;&gt;$Y$11,OR($T$4&lt;&gt;$Y$19,$T$3&lt;&gt;$Y$13)),1,0)</formula>
    </cfRule>
  </conditionalFormatting>
  <conditionalFormatting sqref="P78:V78">
    <cfRule type="expression" dxfId="370" priority="113">
      <formula>IF(AND($S$78&gt;35%,$T$4&lt;&gt;$Y$19),1,0)</formula>
    </cfRule>
  </conditionalFormatting>
  <conditionalFormatting sqref="S21:T52 P14:Q60">
    <cfRule type="expression" dxfId="369" priority="114">
      <formula>IF(AND($V$4&lt;&gt;$Y$11,OR($T$4&lt;&gt;$Y$19,$T$3&lt;&gt;$Y$13)),1,0)</formula>
    </cfRule>
  </conditionalFormatting>
  <conditionalFormatting sqref="V19:W23">
    <cfRule type="expression" dxfId="368" priority="115">
      <formula>IF(OR($T$3&lt;&gt;$Y$19,$T$4&lt;&gt;$Y$19),0,1)</formula>
    </cfRule>
  </conditionalFormatting>
  <conditionalFormatting sqref="V19:W20">
    <cfRule type="expression" dxfId="367" priority="116">
      <formula>IF(OR($T$3&lt;&gt;$Y$19,$T$4&lt;&gt;$Y$19),1,0)</formula>
    </cfRule>
  </conditionalFormatting>
  <conditionalFormatting sqref="V21:W23">
    <cfRule type="expression" dxfId="366" priority="117">
      <formula>IF(OR($T$3&lt;&gt;$Y$19,$T$4&lt;&gt;$Y$19),1,0)</formula>
    </cfRule>
  </conditionalFormatting>
  <conditionalFormatting sqref="S3:T4">
    <cfRule type="expression" dxfId="365" priority="118">
      <formula>IF(OR(AND($S$78&gt;35%,$T$4&lt;&gt;$Y$19),AND($S$77&gt;130%,$T$3&lt;&gt;$Y$13)),1,0)</formula>
    </cfRule>
  </conditionalFormatting>
  <conditionalFormatting sqref="S21:S52 P14:P60">
    <cfRule type="expression" dxfId="364" priority="119">
      <formula>IF(AND($T$5=$AA$12,$V$4&lt;&gt;$Y$11,$P$15&gt;0,OR($T$4&lt;&gt;$Y$19,$T$3&lt;&gt;$Y$13),$P$14&lt;$R$3),1,0)</formula>
    </cfRule>
  </conditionalFormatting>
  <conditionalFormatting sqref="P6 P8:P10 Q6:S7">
    <cfRule type="expression" dxfId="363" priority="120">
      <formula>IF($T$3=$Y$18,1,0)</formula>
    </cfRule>
  </conditionalFormatting>
  <conditionalFormatting sqref="S2:T2">
    <cfRule type="expression" dxfId="362" priority="121">
      <formula>IF(AND($T$3=$Y$13,$T$4&lt;&gt;$Y$19),0,1)</formula>
    </cfRule>
  </conditionalFormatting>
  <conditionalFormatting sqref="U6:U7 W6:W7 T6:T10">
    <cfRule type="expression" dxfId="361" priority="122">
      <formula>IF(OR($T$4=$Y$20,$T$4=$Y$21,$T$4=$Y$22),1,0)</formula>
    </cfRule>
  </conditionalFormatting>
  <conditionalFormatting sqref="T6:T10 U6:U7 W6:W7">
    <cfRule type="expression" dxfId="360" priority="123">
      <formula>IF(OR($T$4=$Y$23,$T$4=$Y$24),1,0)</formula>
    </cfRule>
  </conditionalFormatting>
  <conditionalFormatting sqref="T6:T10 U6:U7 W6:W7">
    <cfRule type="expression" dxfId="359" priority="124">
      <formula>IF(OR($T$4=$Y$25,$T$4=$Y$26),1,0)</formula>
    </cfRule>
  </conditionalFormatting>
  <conditionalFormatting sqref="T6:U9 W6:W9">
    <cfRule type="expression" dxfId="358" priority="125">
      <formula>IF($T$4=$Y$27,1,0)</formula>
    </cfRule>
  </conditionalFormatting>
  <conditionalFormatting sqref="T10:U10 W10">
    <cfRule type="expression" dxfId="357" priority="126">
      <formula>IF($T$4=$Y$27,1,0)</formula>
    </cfRule>
  </conditionalFormatting>
  <conditionalFormatting sqref="T6:T9 U6:U7 W6:W7">
    <cfRule type="expression" dxfId="356" priority="127">
      <formula>IF($T$4=$Y$27,1,0)</formula>
    </cfRule>
  </conditionalFormatting>
  <conditionalFormatting sqref="F839">
    <cfRule type="cellIs" dxfId="355" priority="16" operator="equal">
      <formula>0</formula>
    </cfRule>
  </conditionalFormatting>
  <conditionalFormatting sqref="V6:V10">
    <cfRule type="expression" dxfId="354" priority="9">
      <formula>IF($T$4=$Y$19,0,1)</formula>
    </cfRule>
  </conditionalFormatting>
  <conditionalFormatting sqref="V6:V7">
    <cfRule type="expression" dxfId="353" priority="10">
      <formula>IF(OR($T$4=$Y$20,$T$4=$Y$21,$T$4=$Y$22),1,0)</formula>
    </cfRule>
  </conditionalFormatting>
  <conditionalFormatting sqref="V6:V7">
    <cfRule type="expression" dxfId="352" priority="11">
      <formula>IF(OR($T$4=$Y$23,$T$4=$Y$24),1,0)</formula>
    </cfRule>
  </conditionalFormatting>
  <conditionalFormatting sqref="V6:V7">
    <cfRule type="expression" dxfId="351" priority="12">
      <formula>IF(OR($T$4=$Y$25,$T$4=$Y$26),1,0)</formula>
    </cfRule>
  </conditionalFormatting>
  <conditionalFormatting sqref="V6:V9">
    <cfRule type="expression" dxfId="350" priority="13">
      <formula>IF($T$4=$Y$27,1,0)</formula>
    </cfRule>
  </conditionalFormatting>
  <conditionalFormatting sqref="V10">
    <cfRule type="expression" dxfId="349" priority="14">
      <formula>IF($T$4=$Y$27,1,0)</formula>
    </cfRule>
  </conditionalFormatting>
  <conditionalFormatting sqref="V6:V7">
    <cfRule type="expression" dxfId="348" priority="15">
      <formula>IF($T$4=$Y$27,1,0)</formula>
    </cfRule>
  </conditionalFormatting>
  <conditionalFormatting sqref="R8:R10">
    <cfRule type="expression" dxfId="347" priority="8">
      <formula>IF($T$3=$Y$13,0,1)</formula>
    </cfRule>
  </conditionalFormatting>
  <conditionalFormatting sqref="R149:R152">
    <cfRule type="expression" dxfId="346" priority="6">
      <formula>IF($V$3=$Y$3,1,0)</formula>
    </cfRule>
  </conditionalFormatting>
  <conditionalFormatting sqref="R151 R149">
    <cfRule type="expression" dxfId="345" priority="7">
      <formula>IF($V$3=$Y$3,1,0)</formula>
    </cfRule>
  </conditionalFormatting>
  <conditionalFormatting sqref="R147:R148">
    <cfRule type="expression" dxfId="344" priority="4">
      <formula>IF($V$3=$Y$3,1,0)</formula>
    </cfRule>
  </conditionalFormatting>
  <conditionalFormatting sqref="R147:R148">
    <cfRule type="expression" dxfId="343" priority="5">
      <formula>IF($V$3=$Y$3,1,0)</formula>
    </cfRule>
  </conditionalFormatting>
  <conditionalFormatting sqref="F1039">
    <cfRule type="cellIs" dxfId="342" priority="3" operator="equal">
      <formula>0</formula>
    </cfRule>
  </conditionalFormatting>
  <conditionalFormatting sqref="P167:U167">
    <cfRule type="expression" dxfId="341" priority="2">
      <formula>IF(OR($V$3=$Y$2,$V$3=$Y$4),1,0)</formula>
    </cfRule>
  </conditionalFormatting>
  <conditionalFormatting sqref="F918">
    <cfRule type="cellIs" dxfId="340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4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ТИП9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ТИП9</v>
      </c>
      <c r="AC5" s="163" t="str">
        <f ca="1">HYPERLINK("#"&amp;AB5&amp;"!A1","1")</f>
        <v>1</v>
      </c>
      <c r="AD5" s="229">
        <f ca="1">_xlfn.SHEET()-2</f>
        <v>9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IF(AK24&gt;0,ТИП9!ПЛ*7,0)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ТИП9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ТИП9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ТИП9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ТИП9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IF(ТИП9!ПЛ&lt;1000,"Рейка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IF(ТИП9!ПЛ&lt;1000,"Рейка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IF(ТИП9!ПЛ&lt;1000,"Рейка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IF(ТИП9!ПЛ&lt;1000,"Рейка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IF(ТИП9!ПЛ&lt;1000,"Рейка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IF(ТИП9!ПЛ&lt;1000,"Рейка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335" priority="66" operator="equal">
      <formula>"  "</formula>
    </cfRule>
  </conditionalFormatting>
  <conditionalFormatting sqref="Y73:Y74 P73:V75 Z73:AB73 Y75:AB75">
    <cfRule type="expression" dxfId="334" priority="65">
      <formula>IF($V$3=$Y$2,0,1)</formula>
    </cfRule>
  </conditionalFormatting>
  <conditionalFormatting sqref="Y73:Y74 P73:V74 Q139:T140 S154:T155 P131:T131 P139 R154 P147 S147:T148 Q147:Q148">
    <cfRule type="expression" dxfId="333" priority="64">
      <formula>IF($V$3=$Y$3,1,0)</formula>
    </cfRule>
  </conditionalFormatting>
  <conditionalFormatting sqref="Y73:Y74 P73:V74 Q100:S100 Q94:T94 P87:T87 P80:T80 Z73:AB73">
    <cfRule type="expression" dxfId="332" priority="63">
      <formula>IF($V$3=$Y$4,1,0)</formula>
    </cfRule>
  </conditionalFormatting>
  <conditionalFormatting sqref="Z73">
    <cfRule type="expression" dxfId="331" priority="62">
      <formula>IF($V$3=$Y$3,1,0)</formula>
    </cfRule>
  </conditionalFormatting>
  <conditionalFormatting sqref="Y75:Z75">
    <cfRule type="expression" dxfId="330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329" priority="60">
      <formula>IF($V$3=$Y$4,1,0)</formula>
    </cfRule>
  </conditionalFormatting>
  <conditionalFormatting sqref="AA73">
    <cfRule type="expression" dxfId="328" priority="59">
      <formula>IF($V$3=$Y$3,1,0)</formula>
    </cfRule>
  </conditionalFormatting>
  <conditionalFormatting sqref="AA75">
    <cfRule type="expression" dxfId="327" priority="58">
      <formula>IF($V$3=$Y$3,1,0)</formula>
    </cfRule>
  </conditionalFormatting>
  <conditionalFormatting sqref="F828:F832 F837:F838 F840">
    <cfRule type="cellIs" dxfId="326" priority="57" operator="equal">
      <formula>0</formula>
    </cfRule>
  </conditionalFormatting>
  <conditionalFormatting sqref="I20">
    <cfRule type="cellIs" dxfId="325" priority="56" operator="equal">
      <formula>"  "</formula>
    </cfRule>
  </conditionalFormatting>
  <conditionalFormatting sqref="I48">
    <cfRule type="cellIs" dxfId="324" priority="55" operator="equal">
      <formula>"  "</formula>
    </cfRule>
  </conditionalFormatting>
  <conditionalFormatting sqref="F845">
    <cfRule type="cellIs" dxfId="323" priority="54" operator="equal">
      <formula>0</formula>
    </cfRule>
  </conditionalFormatting>
  <conditionalFormatting sqref="F844">
    <cfRule type="cellIs" dxfId="322" priority="53" operator="equal">
      <formula>0</formula>
    </cfRule>
  </conditionalFormatting>
  <conditionalFormatting sqref="F846">
    <cfRule type="cellIs" dxfId="321" priority="52" operator="equal">
      <formula>0</formula>
    </cfRule>
  </conditionalFormatting>
  <conditionalFormatting sqref="F847:F853">
    <cfRule type="cellIs" dxfId="320" priority="51" operator="equal">
      <formula>0</formula>
    </cfRule>
  </conditionalFormatting>
  <conditionalFormatting sqref="I49:I58">
    <cfRule type="cellIs" dxfId="319" priority="50" operator="equal">
      <formula>"  "</formula>
    </cfRule>
  </conditionalFormatting>
  <conditionalFormatting sqref="U80:W80">
    <cfRule type="expression" dxfId="318" priority="67">
      <formula>IF($AE$5=1,1,0)</formula>
    </cfRule>
  </conditionalFormatting>
  <conditionalFormatting sqref="U81:W81 U83:W83 U85:W85">
    <cfRule type="expression" dxfId="317" priority="68">
      <formula>IF($AE$5=1,1,0)</formula>
    </cfRule>
  </conditionalFormatting>
  <conditionalFormatting sqref="U82:W82 U84:W84">
    <cfRule type="expression" dxfId="316" priority="69">
      <formula>IF($AE$5=1,1,0)</formula>
    </cfRule>
  </conditionalFormatting>
  <conditionalFormatting sqref="U87:W87">
    <cfRule type="expression" dxfId="315" priority="70">
      <formula>IF($AE$6=1,1,0)</formula>
    </cfRule>
  </conditionalFormatting>
  <conditionalFormatting sqref="U88:W88 U90:W90 U92:W92">
    <cfRule type="expression" dxfId="314" priority="71">
      <formula>IF($AE$6=1,1,0)</formula>
    </cfRule>
  </conditionalFormatting>
  <conditionalFormatting sqref="U89:W89 W91">
    <cfRule type="expression" dxfId="313" priority="72">
      <formula>IF($AE$6=1,1,0)</formula>
    </cfRule>
  </conditionalFormatting>
  <conditionalFormatting sqref="U94:W94">
    <cfRule type="expression" dxfId="312" priority="73">
      <formula>IF($AE$7=1,1,0)</formula>
    </cfRule>
  </conditionalFormatting>
  <conditionalFormatting sqref="U95:W95 U97:W97">
    <cfRule type="expression" dxfId="311" priority="74">
      <formula>IF($AE$7=1,1,0)</formula>
    </cfRule>
  </conditionalFormatting>
  <conditionalFormatting sqref="U96:W96 U98:W98">
    <cfRule type="expression" dxfId="310" priority="75">
      <formula>IF($AE$7=1,1,0)</formula>
    </cfRule>
  </conditionalFormatting>
  <conditionalFormatting sqref="U131:W132">
    <cfRule type="expression" dxfId="309" priority="76">
      <formula>IF($AF$5=1,1,0)</formula>
    </cfRule>
  </conditionalFormatting>
  <conditionalFormatting sqref="U133:W133 U135:W135 U137:W137">
    <cfRule type="expression" dxfId="308" priority="77">
      <formula>IF($AF$5=1,1,0)</formula>
    </cfRule>
  </conditionalFormatting>
  <conditionalFormatting sqref="U134:W134 U136:W136">
    <cfRule type="expression" dxfId="307" priority="78">
      <formula>IF($AF$5=1,1,0)</formula>
    </cfRule>
  </conditionalFormatting>
  <conditionalFormatting sqref="U139:W140">
    <cfRule type="expression" dxfId="306" priority="79">
      <formula>IF($AF$6=1,1,0)</formula>
    </cfRule>
  </conditionalFormatting>
  <conditionalFormatting sqref="U141:W141 U143:W143 U145:W145">
    <cfRule type="expression" dxfId="305" priority="80">
      <formula>IF($AF$6=1,1,0)</formula>
    </cfRule>
  </conditionalFormatting>
  <conditionalFormatting sqref="U142:W142 U144:W144">
    <cfRule type="expression" dxfId="304" priority="81">
      <formula>IF($AF$6=1,1,0)</formula>
    </cfRule>
  </conditionalFormatting>
  <conditionalFormatting sqref="U147:W148">
    <cfRule type="expression" dxfId="303" priority="82">
      <formula>IF($AF$7=1,1,0)</formula>
    </cfRule>
  </conditionalFormatting>
  <conditionalFormatting sqref="U149:W149 U151:W151">
    <cfRule type="expression" dxfId="302" priority="83">
      <formula>IF($AF$7=1,1,0)</formula>
    </cfRule>
  </conditionalFormatting>
  <conditionalFormatting sqref="U150:W150 U152:W152">
    <cfRule type="expression" dxfId="301" priority="84">
      <formula>IF($AF$7=1,1,0)</formula>
    </cfRule>
  </conditionalFormatting>
  <conditionalFormatting sqref="I986:I988">
    <cfRule type="cellIs" dxfId="300" priority="48" operator="equal">
      <formula>0</formula>
    </cfRule>
  </conditionalFormatting>
  <conditionalFormatting sqref="I984:I985">
    <cfRule type="cellIs" dxfId="299" priority="49" operator="equal">
      <formula>0</formula>
    </cfRule>
  </conditionalFormatting>
  <conditionalFormatting sqref="W14:W15">
    <cfRule type="expression" dxfId="298" priority="47">
      <formula>IF($W$16=" ",0,1)</formula>
    </cfRule>
  </conditionalFormatting>
  <conditionalFormatting sqref="I842">
    <cfRule type="cellIs" dxfId="297" priority="46" operator="equal">
      <formula>0</formula>
    </cfRule>
  </conditionalFormatting>
  <conditionalFormatting sqref="AB73">
    <cfRule type="expression" dxfId="296" priority="45">
      <formula>IF($V$3=$Y$3,1,0)</formula>
    </cfRule>
  </conditionalFormatting>
  <conditionalFormatting sqref="AB75">
    <cfRule type="expression" dxfId="295" priority="44">
      <formula>IF($V$3=$Y$3,1,0)</formula>
    </cfRule>
  </conditionalFormatting>
  <conditionalFormatting sqref="G1008">
    <cfRule type="cellIs" dxfId="294" priority="43" operator="equal">
      <formula>0</formula>
    </cfRule>
  </conditionalFormatting>
  <conditionalFormatting sqref="I62">
    <cfRule type="cellIs" dxfId="293" priority="42" operator="equal">
      <formula>"  "</formula>
    </cfRule>
  </conditionalFormatting>
  <conditionalFormatting sqref="I1018:I1021">
    <cfRule type="cellIs" dxfId="292" priority="41" operator="equal">
      <formula>0</formula>
    </cfRule>
  </conditionalFormatting>
  <conditionalFormatting sqref="F827">
    <cfRule type="cellIs" dxfId="291" priority="40" operator="equal">
      <formula>0</formula>
    </cfRule>
  </conditionalFormatting>
  <conditionalFormatting sqref="F921">
    <cfRule type="cellIs" dxfId="290" priority="39" operator="equal">
      <formula>0</formula>
    </cfRule>
  </conditionalFormatting>
  <conditionalFormatting sqref="F1038">
    <cfRule type="cellIs" dxfId="289" priority="38" operator="equal">
      <formula>0</formula>
    </cfRule>
  </conditionalFormatting>
  <conditionalFormatting sqref="R3">
    <cfRule type="expression" dxfId="288" priority="85">
      <formula>SUM($F$16:$F$21)=0</formula>
    </cfRule>
    <cfRule type="expression" dxfId="287" priority="86">
      <formula>SUM($F$16:$F$21)&lt;&gt;$R$3</formula>
    </cfRule>
  </conditionalFormatting>
  <conditionalFormatting sqref="F917">
    <cfRule type="cellIs" dxfId="286" priority="37" operator="equal">
      <formula>0</formula>
    </cfRule>
  </conditionalFormatting>
  <conditionalFormatting sqref="U91:V91">
    <cfRule type="expression" dxfId="285" priority="36">
      <formula>IF($AE$6=1,1,0)</formula>
    </cfRule>
  </conditionalFormatting>
  <conditionalFormatting sqref="F843">
    <cfRule type="cellIs" dxfId="284" priority="35" operator="equal">
      <formula>0</formula>
    </cfRule>
  </conditionalFormatting>
  <conditionalFormatting sqref="P4">
    <cfRule type="expression" dxfId="283" priority="33">
      <formula>IF(AA4&lt;3%,1,0)</formula>
    </cfRule>
    <cfRule type="expression" dxfId="282" priority="34">
      <formula>IF(AA4&gt;3%,1,0)</formula>
    </cfRule>
  </conditionalFormatting>
  <conditionalFormatting sqref="F841">
    <cfRule type="cellIs" dxfId="281" priority="32" operator="equal">
      <formula>0</formula>
    </cfRule>
  </conditionalFormatting>
  <conditionalFormatting sqref="S6:S10 P8:Q10 P6:R7">
    <cfRule type="expression" dxfId="280" priority="87">
      <formula>IF($T$3=$Y$13,0,1)</formula>
    </cfRule>
  </conditionalFormatting>
  <conditionalFormatting sqref="Q99:S101 Q93:T98 P103:U106 P79:T92">
    <cfRule type="expression" dxfId="279" priority="88">
      <formula>IF($V$3=$Y$4,1,0)</formula>
    </cfRule>
  </conditionalFormatting>
  <conditionalFormatting sqref="P160:S163 T160:U161 P130:T145 Q146:T146 R153:T156 S147:T152 P147:Q152">
    <cfRule type="expression" dxfId="278" priority="89">
      <formula>IF($V$3=$Y$3,1,0)</formula>
    </cfRule>
  </conditionalFormatting>
  <conditionalFormatting sqref="P6:P10 Q6:S7">
    <cfRule type="expression" dxfId="277" priority="90">
      <formula>IF(OR($T$3=$Y$14,$T$3=$Y$15),1,0)</formula>
    </cfRule>
  </conditionalFormatting>
  <conditionalFormatting sqref="S14:W17">
    <cfRule type="expression" dxfId="276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275" priority="93">
      <formula>IF($V$3=$Y$3,1,0)</formula>
    </cfRule>
  </conditionalFormatting>
  <conditionalFormatting sqref="P77:V77">
    <cfRule type="expression" dxfId="274" priority="94">
      <formula>IF($S$77=0%,1,0)</formula>
    </cfRule>
    <cfRule type="expression" dxfId="273" priority="95">
      <formula>IF(AND(OR($S$77&lt;105%,$S$77&gt;130%),$T$3&lt;&gt;$Y$13),1,0)</formula>
    </cfRule>
  </conditionalFormatting>
  <conditionalFormatting sqref="U5:V5">
    <cfRule type="expression" dxfId="272" priority="96">
      <formula>IF($V$5=$AA$22,0,1)</formula>
    </cfRule>
    <cfRule type="expression" dxfId="271" priority="97">
      <formula>IF(AND($T$3=$Y$13,$V$4=$Y$12),1,0)</formula>
    </cfRule>
  </conditionalFormatting>
  <conditionalFormatting sqref="P108:U113">
    <cfRule type="expression" dxfId="270" priority="98">
      <formula>IF(OR($V$3=$Y$2,$V$3=$Y$3),1,0)</formula>
    </cfRule>
  </conditionalFormatting>
  <conditionalFormatting sqref="P165:U166">
    <cfRule type="expression" dxfId="269" priority="99">
      <formula>IF(OR($V$3=$Y$2,$V$3=$Y$4),1,0)</formula>
    </cfRule>
  </conditionalFormatting>
  <conditionalFormatting sqref="R226">
    <cfRule type="expression" dxfId="268" priority="31">
      <formula>IF($P$228="Средний расход",1,0)</formula>
    </cfRule>
  </conditionalFormatting>
  <conditionalFormatting sqref="S12:U13">
    <cfRule type="expression" dxfId="267" priority="100">
      <formula>IF($V$4=$AA$11,1,0)</formula>
    </cfRule>
    <cfRule type="expression" dxfId="266" priority="101">
      <formula>IF(OR($V$4=$Y$11,$V$4=$A$10),0,1)</formula>
    </cfRule>
    <cfRule type="expression" dxfId="265" priority="102">
      <formula>IF(OR($V$4=$Y$11,$V$4=$A$10),0,1)</formula>
    </cfRule>
  </conditionalFormatting>
  <conditionalFormatting sqref="S14:U17">
    <cfRule type="expression" dxfId="264" priority="103">
      <formula>IF(AND($T$3&lt;&gt;$Y$13,OR($V$4=$Y$12,$V$4=$AA$7)),1,0)</formula>
    </cfRule>
  </conditionalFormatting>
  <conditionalFormatting sqref="V14:W17">
    <cfRule type="expression" dxfId="263" priority="104">
      <formula>IF(AND($T$3&lt;&gt;$Y$13,OR($V$4=$AA$7,$V$4=$Y$12)),1,0)</formula>
    </cfRule>
  </conditionalFormatting>
  <conditionalFormatting sqref="P228:W294">
    <cfRule type="expression" dxfId="262" priority="105">
      <formula>IF(AND($T$3=$AA$5,$T$4=$AA$5),1,0)</formula>
    </cfRule>
  </conditionalFormatting>
  <conditionalFormatting sqref="P228:T230 P240:Q294 S240:T294 V240:W294">
    <cfRule type="expression" dxfId="261" priority="106">
      <formula>IF(AND($T$3=$AA$5,$T$4&lt;&gt;$AA$5),1,0)</formula>
    </cfRule>
  </conditionalFormatting>
  <conditionalFormatting sqref="P232:Q237 S232:T237 V232:W237 P226:R226">
    <cfRule type="expression" dxfId="260" priority="107">
      <formula>IF(AND($T$3&lt;&gt;$AA$5,$T$4&lt;&gt;$AA$5),1,0)</formula>
    </cfRule>
  </conditionalFormatting>
  <conditionalFormatting sqref="P12:Q60 S19:T52">
    <cfRule type="expression" dxfId="259" priority="92">
      <formula>IF(AND(OR($V$4=$AA$10,$V$4=$AA$11),$AA$3=$AA$5),1,0)</formula>
    </cfRule>
  </conditionalFormatting>
  <conditionalFormatting sqref="X4">
    <cfRule type="expression" dxfId="258" priority="108">
      <formula>IF($V$4=$AA$10,0,1)</formula>
    </cfRule>
  </conditionalFormatting>
  <conditionalFormatting sqref="W5">
    <cfRule type="expression" dxfId="257" priority="109">
      <formula>IF(OR($V$4=$AA$10,$V$4=$AA$11),0,1)</formula>
    </cfRule>
  </conditionalFormatting>
  <conditionalFormatting sqref="U2:W2">
    <cfRule type="expression" dxfId="256" priority="30">
      <formula>IF($R$4=$Y$6,1,0)</formula>
    </cfRule>
  </conditionalFormatting>
  <conditionalFormatting sqref="F835">
    <cfRule type="cellIs" dxfId="255" priority="29" operator="equal">
      <formula>0</formula>
    </cfRule>
  </conditionalFormatting>
  <conditionalFormatting sqref="P170:V176">
    <cfRule type="expression" dxfId="254" priority="20">
      <formula>IF($V$2=$AA$19,1,0)</formula>
    </cfRule>
  </conditionalFormatting>
  <conditionalFormatting sqref="F1041">
    <cfRule type="cellIs" dxfId="253" priority="27" operator="equal">
      <formula>0</formula>
    </cfRule>
  </conditionalFormatting>
  <conditionalFormatting sqref="R173">
    <cfRule type="expression" dxfId="252" priority="28">
      <formula>IF($R$173&gt;0,0,1)</formula>
    </cfRule>
  </conditionalFormatting>
  <conditionalFormatting sqref="R172">
    <cfRule type="expression" dxfId="251" priority="26">
      <formula>IF($R$172&gt;0,0,1)</formula>
    </cfRule>
  </conditionalFormatting>
  <conditionalFormatting sqref="R176">
    <cfRule type="expression" dxfId="250" priority="25">
      <formula>IF($R$176&gt;0,0,1)</formula>
    </cfRule>
  </conditionalFormatting>
  <conditionalFormatting sqref="L4">
    <cfRule type="expression" dxfId="249" priority="22">
      <formula>IF($L$4&lt;&gt;0,1,0)</formula>
    </cfRule>
    <cfRule type="expression" dxfId="248" priority="23">
      <formula>IF($J$4=$AJ$15,1,0)</formula>
    </cfRule>
  </conditionalFormatting>
  <conditionalFormatting sqref="P6:P10 Q6:S6">
    <cfRule type="expression" dxfId="247" priority="110">
      <formula>IF(OR($T$3=$Y$16,$T$3=$Y$17),1,0)</formula>
    </cfRule>
  </conditionalFormatting>
  <conditionalFormatting sqref="R175">
    <cfRule type="expression" dxfId="246" priority="24">
      <formula>IF($R$175&gt;0,0,1)</formula>
    </cfRule>
  </conditionalFormatting>
  <conditionalFormatting sqref="R174">
    <cfRule type="expression" dxfId="245" priority="21">
      <formula>IF($R$174&gt;0,0,1)</formula>
    </cfRule>
  </conditionalFormatting>
  <conditionalFormatting sqref="V11 T11">
    <cfRule type="expression" dxfId="244" priority="18">
      <formula>IF($T$2=$Z$12,1,0)</formula>
    </cfRule>
    <cfRule type="expression" dxfId="243" priority="19">
      <formula>IF($T$2=$Z$11,1,0)</formula>
    </cfRule>
  </conditionalFormatting>
  <conditionalFormatting sqref="F854">
    <cfRule type="cellIs" dxfId="242" priority="17" operator="equal">
      <formula>0</formula>
    </cfRule>
  </conditionalFormatting>
  <conditionalFormatting sqref="T6:U10 W6:W10">
    <cfRule type="expression" dxfId="241" priority="111">
      <formula>IF($T$4=$Y$19,0,1)</formula>
    </cfRule>
  </conditionalFormatting>
  <conditionalFormatting sqref="P12:Q13 S19:T20">
    <cfRule type="expression" dxfId="240" priority="112">
      <formula>IF(AND($V$4&lt;&gt;$Y$11,OR($T$4&lt;&gt;$Y$19,$T$3&lt;&gt;$Y$13)),1,0)</formula>
    </cfRule>
  </conditionalFormatting>
  <conditionalFormatting sqref="P78:V78">
    <cfRule type="expression" dxfId="239" priority="113">
      <formula>IF(AND($S$78&gt;35%,$T$4&lt;&gt;$Y$19),1,0)</formula>
    </cfRule>
  </conditionalFormatting>
  <conditionalFormatting sqref="S21:T52 P14:Q60">
    <cfRule type="expression" dxfId="238" priority="114">
      <formula>IF(AND($V$4&lt;&gt;$Y$11,OR($T$4&lt;&gt;$Y$19,$T$3&lt;&gt;$Y$13)),1,0)</formula>
    </cfRule>
  </conditionalFormatting>
  <conditionalFormatting sqref="V19:W23">
    <cfRule type="expression" dxfId="237" priority="115">
      <formula>IF(OR($T$3&lt;&gt;$Y$19,$T$4&lt;&gt;$Y$19),0,1)</formula>
    </cfRule>
  </conditionalFormatting>
  <conditionalFormatting sqref="V19:W20">
    <cfRule type="expression" dxfId="236" priority="116">
      <formula>IF(OR($T$3&lt;&gt;$Y$19,$T$4&lt;&gt;$Y$19),1,0)</formula>
    </cfRule>
  </conditionalFormatting>
  <conditionalFormatting sqref="V21:W23">
    <cfRule type="expression" dxfId="235" priority="117">
      <formula>IF(OR($T$3&lt;&gt;$Y$19,$T$4&lt;&gt;$Y$19),1,0)</formula>
    </cfRule>
  </conditionalFormatting>
  <conditionalFormatting sqref="S3:T4">
    <cfRule type="expression" dxfId="234" priority="118">
      <formula>IF(OR(AND($S$78&gt;35%,$T$4&lt;&gt;$Y$19),AND($S$77&gt;130%,$T$3&lt;&gt;$Y$13)),1,0)</formula>
    </cfRule>
  </conditionalFormatting>
  <conditionalFormatting sqref="S21:S52 P14:P60">
    <cfRule type="expression" dxfId="233" priority="119">
      <formula>IF(AND($T$5=$AA$12,$V$4&lt;&gt;$Y$11,$P$15&gt;0,OR($T$4&lt;&gt;$Y$19,$T$3&lt;&gt;$Y$13),$P$14&lt;$R$3),1,0)</formula>
    </cfRule>
  </conditionalFormatting>
  <conditionalFormatting sqref="P6 P8:P10 Q6:S7">
    <cfRule type="expression" dxfId="232" priority="120">
      <formula>IF($T$3=$Y$18,1,0)</formula>
    </cfRule>
  </conditionalFormatting>
  <conditionalFormatting sqref="S2:T2">
    <cfRule type="expression" dxfId="231" priority="121">
      <formula>IF(AND($T$3=$Y$13,$T$4&lt;&gt;$Y$19),0,1)</formula>
    </cfRule>
  </conditionalFormatting>
  <conditionalFormatting sqref="U6:U7 W6:W7 T6:T10">
    <cfRule type="expression" dxfId="230" priority="122">
      <formula>IF(OR($T$4=$Y$20,$T$4=$Y$21,$T$4=$Y$22),1,0)</formula>
    </cfRule>
  </conditionalFormatting>
  <conditionalFormatting sqref="T6:T10 U6:U7 W6:W7">
    <cfRule type="expression" dxfId="229" priority="123">
      <formula>IF(OR($T$4=$Y$23,$T$4=$Y$24),1,0)</formula>
    </cfRule>
  </conditionalFormatting>
  <conditionalFormatting sqref="T6:T10 U6:U7 W6:W7">
    <cfRule type="expression" dxfId="228" priority="124">
      <formula>IF(OR($T$4=$Y$25,$T$4=$Y$26),1,0)</formula>
    </cfRule>
  </conditionalFormatting>
  <conditionalFormatting sqref="T6:U9 W6:W9">
    <cfRule type="expression" dxfId="227" priority="125">
      <formula>IF($T$4=$Y$27,1,0)</formula>
    </cfRule>
  </conditionalFormatting>
  <conditionalFormatting sqref="T10:U10 W10">
    <cfRule type="expression" dxfId="226" priority="126">
      <formula>IF($T$4=$Y$27,1,0)</formula>
    </cfRule>
  </conditionalFormatting>
  <conditionalFormatting sqref="T6:T9 U6:U7 W6:W7">
    <cfRule type="expression" dxfId="225" priority="127">
      <formula>IF($T$4=$Y$27,1,0)</formula>
    </cfRule>
  </conditionalFormatting>
  <conditionalFormatting sqref="F839">
    <cfRule type="cellIs" dxfId="224" priority="16" operator="equal">
      <formula>0</formula>
    </cfRule>
  </conditionalFormatting>
  <conditionalFormatting sqref="V6:V10">
    <cfRule type="expression" dxfId="223" priority="9">
      <formula>IF($T$4=$Y$19,0,1)</formula>
    </cfRule>
  </conditionalFormatting>
  <conditionalFormatting sqref="V6:V7">
    <cfRule type="expression" dxfId="222" priority="10">
      <formula>IF(OR($T$4=$Y$20,$T$4=$Y$21,$T$4=$Y$22),1,0)</formula>
    </cfRule>
  </conditionalFormatting>
  <conditionalFormatting sqref="V6:V7">
    <cfRule type="expression" dxfId="221" priority="11">
      <formula>IF(OR($T$4=$Y$23,$T$4=$Y$24),1,0)</formula>
    </cfRule>
  </conditionalFormatting>
  <conditionalFormatting sqref="V6:V7">
    <cfRule type="expression" dxfId="220" priority="12">
      <formula>IF(OR($T$4=$Y$25,$T$4=$Y$26),1,0)</formula>
    </cfRule>
  </conditionalFormatting>
  <conditionalFormatting sqref="V6:V9">
    <cfRule type="expression" dxfId="219" priority="13">
      <formula>IF($T$4=$Y$27,1,0)</formula>
    </cfRule>
  </conditionalFormatting>
  <conditionalFormatting sqref="V10">
    <cfRule type="expression" dxfId="218" priority="14">
      <formula>IF($T$4=$Y$27,1,0)</formula>
    </cfRule>
  </conditionalFormatting>
  <conditionalFormatting sqref="V6:V7">
    <cfRule type="expression" dxfId="217" priority="15">
      <formula>IF($T$4=$Y$27,1,0)</formula>
    </cfRule>
  </conditionalFormatting>
  <conditionalFormatting sqref="R8:R10">
    <cfRule type="expression" dxfId="216" priority="8">
      <formula>IF($T$3=$Y$13,0,1)</formula>
    </cfRule>
  </conditionalFormatting>
  <conditionalFormatting sqref="R149:R152">
    <cfRule type="expression" dxfId="215" priority="6">
      <formula>IF($V$3=$Y$3,1,0)</formula>
    </cfRule>
  </conditionalFormatting>
  <conditionalFormatting sqref="R151 R149">
    <cfRule type="expression" dxfId="214" priority="7">
      <formula>IF($V$3=$Y$3,1,0)</formula>
    </cfRule>
  </conditionalFormatting>
  <conditionalFormatting sqref="R147:R148">
    <cfRule type="expression" dxfId="213" priority="4">
      <formula>IF($V$3=$Y$3,1,0)</formula>
    </cfRule>
  </conditionalFormatting>
  <conditionalFormatting sqref="R147:R148">
    <cfRule type="expression" dxfId="212" priority="5">
      <formula>IF($V$3=$Y$3,1,0)</formula>
    </cfRule>
  </conditionalFormatting>
  <conditionalFormatting sqref="F1039">
    <cfRule type="cellIs" dxfId="211" priority="3" operator="equal">
      <formula>0</formula>
    </cfRule>
  </conditionalFormatting>
  <conditionalFormatting sqref="P167:U167">
    <cfRule type="expression" dxfId="210" priority="2">
      <formula>IF(OR($V$3=$Y$2,$V$3=$Y$4),1,0)</formula>
    </cfRule>
  </conditionalFormatting>
  <conditionalFormatting sqref="F918">
    <cfRule type="cellIs" dxfId="209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5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ТИП10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ТИП10</v>
      </c>
      <c r="AC5" s="163" t="str">
        <f ca="1">HYPERLINK("#"&amp;AB5&amp;"!A1","1")</f>
        <v>1</v>
      </c>
      <c r="AD5" s="229">
        <f ca="1">_xlfn.SHEET()-2</f>
        <v>10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IF(AK24&gt;0,ТИП10!ПЛ*7,0)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ТИП10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ТИП10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ТИП10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ТИП10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IF(ТИП10!ПЛ&lt;1000,"Рейка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IF(ТИП10!ПЛ&lt;1000,"Рейка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IF(ТИП10!ПЛ&lt;1000,"Рейка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IF(ТИП10!ПЛ&lt;1000,"Рейка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IF(ТИП10!ПЛ&lt;1000,"Рейка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IF(ТИП10!ПЛ&lt;1000,"Рейка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204" priority="66" operator="equal">
      <formula>"  "</formula>
    </cfRule>
  </conditionalFormatting>
  <conditionalFormatting sqref="Y73:Y74 P73:V75 Z73:AB73 Y75:AB75">
    <cfRule type="expression" dxfId="203" priority="65">
      <formula>IF($V$3=$Y$2,0,1)</formula>
    </cfRule>
  </conditionalFormatting>
  <conditionalFormatting sqref="Y73:Y74 P73:V74 Q139:T140 S154:T155 P131:T131 P139 R154 P147 S147:T148 Q147:Q148">
    <cfRule type="expression" dxfId="202" priority="64">
      <formula>IF($V$3=$Y$3,1,0)</formula>
    </cfRule>
  </conditionalFormatting>
  <conditionalFormatting sqref="Y73:Y74 P73:V74 Q100:S100 Q94:T94 P87:T87 P80:T80 Z73:AB73">
    <cfRule type="expression" dxfId="201" priority="63">
      <formula>IF($V$3=$Y$4,1,0)</formula>
    </cfRule>
  </conditionalFormatting>
  <conditionalFormatting sqref="Z73">
    <cfRule type="expression" dxfId="200" priority="62">
      <formula>IF($V$3=$Y$3,1,0)</formula>
    </cfRule>
  </conditionalFormatting>
  <conditionalFormatting sqref="Y75:Z75">
    <cfRule type="expression" dxfId="199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198" priority="60">
      <formula>IF($V$3=$Y$4,1,0)</formula>
    </cfRule>
  </conditionalFormatting>
  <conditionalFormatting sqref="AA73">
    <cfRule type="expression" dxfId="197" priority="59">
      <formula>IF($V$3=$Y$3,1,0)</formula>
    </cfRule>
  </conditionalFormatting>
  <conditionalFormatting sqref="AA75">
    <cfRule type="expression" dxfId="196" priority="58">
      <formula>IF($V$3=$Y$3,1,0)</formula>
    </cfRule>
  </conditionalFormatting>
  <conditionalFormatting sqref="F828:F832 F837:F838 F840">
    <cfRule type="cellIs" dxfId="195" priority="57" operator="equal">
      <formula>0</formula>
    </cfRule>
  </conditionalFormatting>
  <conditionalFormatting sqref="I20">
    <cfRule type="cellIs" dxfId="194" priority="56" operator="equal">
      <formula>"  "</formula>
    </cfRule>
  </conditionalFormatting>
  <conditionalFormatting sqref="I48">
    <cfRule type="cellIs" dxfId="193" priority="55" operator="equal">
      <formula>"  "</formula>
    </cfRule>
  </conditionalFormatting>
  <conditionalFormatting sqref="F845">
    <cfRule type="cellIs" dxfId="192" priority="54" operator="equal">
      <formula>0</formula>
    </cfRule>
  </conditionalFormatting>
  <conditionalFormatting sqref="F844">
    <cfRule type="cellIs" dxfId="191" priority="53" operator="equal">
      <formula>0</formula>
    </cfRule>
  </conditionalFormatting>
  <conditionalFormatting sqref="F846">
    <cfRule type="cellIs" dxfId="190" priority="52" operator="equal">
      <formula>0</formula>
    </cfRule>
  </conditionalFormatting>
  <conditionalFormatting sqref="F847:F853">
    <cfRule type="cellIs" dxfId="189" priority="51" operator="equal">
      <formula>0</formula>
    </cfRule>
  </conditionalFormatting>
  <conditionalFormatting sqref="I49:I58">
    <cfRule type="cellIs" dxfId="188" priority="50" operator="equal">
      <formula>"  "</formula>
    </cfRule>
  </conditionalFormatting>
  <conditionalFormatting sqref="U80:W80">
    <cfRule type="expression" dxfId="187" priority="67">
      <formula>IF($AE$5=1,1,0)</formula>
    </cfRule>
  </conditionalFormatting>
  <conditionalFormatting sqref="U81:W81 U83:W83 U85:W85">
    <cfRule type="expression" dxfId="186" priority="68">
      <formula>IF($AE$5=1,1,0)</formula>
    </cfRule>
  </conditionalFormatting>
  <conditionalFormatting sqref="U82:W82 U84:W84">
    <cfRule type="expression" dxfId="185" priority="69">
      <formula>IF($AE$5=1,1,0)</formula>
    </cfRule>
  </conditionalFormatting>
  <conditionalFormatting sqref="U87:W87">
    <cfRule type="expression" dxfId="184" priority="70">
      <formula>IF($AE$6=1,1,0)</formula>
    </cfRule>
  </conditionalFormatting>
  <conditionalFormatting sqref="U88:W88 U90:W90 U92:W92">
    <cfRule type="expression" dxfId="183" priority="71">
      <formula>IF($AE$6=1,1,0)</formula>
    </cfRule>
  </conditionalFormatting>
  <conditionalFormatting sqref="U89:W89 W91">
    <cfRule type="expression" dxfId="182" priority="72">
      <formula>IF($AE$6=1,1,0)</formula>
    </cfRule>
  </conditionalFormatting>
  <conditionalFormatting sqref="U94:W94">
    <cfRule type="expression" dxfId="181" priority="73">
      <formula>IF($AE$7=1,1,0)</formula>
    </cfRule>
  </conditionalFormatting>
  <conditionalFormatting sqref="U95:W95 U97:W97">
    <cfRule type="expression" dxfId="180" priority="74">
      <formula>IF($AE$7=1,1,0)</formula>
    </cfRule>
  </conditionalFormatting>
  <conditionalFormatting sqref="U96:W96 U98:W98">
    <cfRule type="expression" dxfId="179" priority="75">
      <formula>IF($AE$7=1,1,0)</formula>
    </cfRule>
  </conditionalFormatting>
  <conditionalFormatting sqref="U131:W132">
    <cfRule type="expression" dxfId="178" priority="76">
      <formula>IF($AF$5=1,1,0)</formula>
    </cfRule>
  </conditionalFormatting>
  <conditionalFormatting sqref="U133:W133 U135:W135 U137:W137">
    <cfRule type="expression" dxfId="177" priority="77">
      <formula>IF($AF$5=1,1,0)</formula>
    </cfRule>
  </conditionalFormatting>
  <conditionalFormatting sqref="U134:W134 U136:W136">
    <cfRule type="expression" dxfId="176" priority="78">
      <formula>IF($AF$5=1,1,0)</formula>
    </cfRule>
  </conditionalFormatting>
  <conditionalFormatting sqref="U139:W140">
    <cfRule type="expression" dxfId="175" priority="79">
      <formula>IF($AF$6=1,1,0)</formula>
    </cfRule>
  </conditionalFormatting>
  <conditionalFormatting sqref="U141:W141 U143:W143 U145:W145">
    <cfRule type="expression" dxfId="174" priority="80">
      <formula>IF($AF$6=1,1,0)</formula>
    </cfRule>
  </conditionalFormatting>
  <conditionalFormatting sqref="U142:W142 U144:W144">
    <cfRule type="expression" dxfId="173" priority="81">
      <formula>IF($AF$6=1,1,0)</formula>
    </cfRule>
  </conditionalFormatting>
  <conditionalFormatting sqref="U147:W148">
    <cfRule type="expression" dxfId="172" priority="82">
      <formula>IF($AF$7=1,1,0)</formula>
    </cfRule>
  </conditionalFormatting>
  <conditionalFormatting sqref="U149:W149 U151:W151">
    <cfRule type="expression" dxfId="171" priority="83">
      <formula>IF($AF$7=1,1,0)</formula>
    </cfRule>
  </conditionalFormatting>
  <conditionalFormatting sqref="U150:W150 U152:W152">
    <cfRule type="expression" dxfId="170" priority="84">
      <formula>IF($AF$7=1,1,0)</formula>
    </cfRule>
  </conditionalFormatting>
  <conditionalFormatting sqref="I986:I988">
    <cfRule type="cellIs" dxfId="169" priority="48" operator="equal">
      <formula>0</formula>
    </cfRule>
  </conditionalFormatting>
  <conditionalFormatting sqref="I984:I985">
    <cfRule type="cellIs" dxfId="168" priority="49" operator="equal">
      <formula>0</formula>
    </cfRule>
  </conditionalFormatting>
  <conditionalFormatting sqref="W14:W15">
    <cfRule type="expression" dxfId="167" priority="47">
      <formula>IF($W$16=" ",0,1)</formula>
    </cfRule>
  </conditionalFormatting>
  <conditionalFormatting sqref="I842">
    <cfRule type="cellIs" dxfId="166" priority="46" operator="equal">
      <formula>0</formula>
    </cfRule>
  </conditionalFormatting>
  <conditionalFormatting sqref="AB73">
    <cfRule type="expression" dxfId="165" priority="45">
      <formula>IF($V$3=$Y$3,1,0)</formula>
    </cfRule>
  </conditionalFormatting>
  <conditionalFormatting sqref="AB75">
    <cfRule type="expression" dxfId="164" priority="44">
      <formula>IF($V$3=$Y$3,1,0)</formula>
    </cfRule>
  </conditionalFormatting>
  <conditionalFormatting sqref="G1008">
    <cfRule type="cellIs" dxfId="163" priority="43" operator="equal">
      <formula>0</formula>
    </cfRule>
  </conditionalFormatting>
  <conditionalFormatting sqref="I62">
    <cfRule type="cellIs" dxfId="162" priority="42" operator="equal">
      <formula>"  "</formula>
    </cfRule>
  </conditionalFormatting>
  <conditionalFormatting sqref="I1018:I1021">
    <cfRule type="cellIs" dxfId="161" priority="41" operator="equal">
      <formula>0</formula>
    </cfRule>
  </conditionalFormatting>
  <conditionalFormatting sqref="F827">
    <cfRule type="cellIs" dxfId="160" priority="40" operator="equal">
      <formula>0</formula>
    </cfRule>
  </conditionalFormatting>
  <conditionalFormatting sqref="F921">
    <cfRule type="cellIs" dxfId="159" priority="39" operator="equal">
      <formula>0</formula>
    </cfRule>
  </conditionalFormatting>
  <conditionalFormatting sqref="F1038">
    <cfRule type="cellIs" dxfId="158" priority="38" operator="equal">
      <formula>0</formula>
    </cfRule>
  </conditionalFormatting>
  <conditionalFormatting sqref="R3">
    <cfRule type="expression" dxfId="157" priority="85">
      <formula>SUM($F$16:$F$21)=0</formula>
    </cfRule>
    <cfRule type="expression" dxfId="156" priority="86">
      <formula>SUM($F$16:$F$21)&lt;&gt;$R$3</formula>
    </cfRule>
  </conditionalFormatting>
  <conditionalFormatting sqref="F917">
    <cfRule type="cellIs" dxfId="155" priority="37" operator="equal">
      <formula>0</formula>
    </cfRule>
  </conditionalFormatting>
  <conditionalFormatting sqref="U91:V91">
    <cfRule type="expression" dxfId="154" priority="36">
      <formula>IF($AE$6=1,1,0)</formula>
    </cfRule>
  </conditionalFormatting>
  <conditionalFormatting sqref="F843">
    <cfRule type="cellIs" dxfId="153" priority="35" operator="equal">
      <formula>0</formula>
    </cfRule>
  </conditionalFormatting>
  <conditionalFormatting sqref="P4">
    <cfRule type="expression" dxfId="152" priority="33">
      <formula>IF(AA4&lt;3%,1,0)</formula>
    </cfRule>
    <cfRule type="expression" dxfId="151" priority="34">
      <formula>IF(AA4&gt;3%,1,0)</formula>
    </cfRule>
  </conditionalFormatting>
  <conditionalFormatting sqref="F841">
    <cfRule type="cellIs" dxfId="150" priority="32" operator="equal">
      <formula>0</formula>
    </cfRule>
  </conditionalFormatting>
  <conditionalFormatting sqref="S6:S10 P8:Q10 P6:R7">
    <cfRule type="expression" dxfId="149" priority="87">
      <formula>IF($T$3=$Y$13,0,1)</formula>
    </cfRule>
  </conditionalFormatting>
  <conditionalFormatting sqref="Q99:S101 Q93:T98 P103:U106 P79:T92">
    <cfRule type="expression" dxfId="148" priority="88">
      <formula>IF($V$3=$Y$4,1,0)</formula>
    </cfRule>
  </conditionalFormatting>
  <conditionalFormatting sqref="P160:S163 T160:U161 P130:T145 Q146:T146 R153:T156 S147:T152 P147:Q152">
    <cfRule type="expression" dxfId="147" priority="89">
      <formula>IF($V$3=$Y$3,1,0)</formula>
    </cfRule>
  </conditionalFormatting>
  <conditionalFormatting sqref="P6:P10 Q6:S7">
    <cfRule type="expression" dxfId="146" priority="90">
      <formula>IF(OR($T$3=$Y$14,$T$3=$Y$15),1,0)</formula>
    </cfRule>
  </conditionalFormatting>
  <conditionalFormatting sqref="S14:W17">
    <cfRule type="expression" dxfId="145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144" priority="93">
      <formula>IF($V$3=$Y$3,1,0)</formula>
    </cfRule>
  </conditionalFormatting>
  <conditionalFormatting sqref="P77:V77">
    <cfRule type="expression" dxfId="143" priority="94">
      <formula>IF($S$77=0%,1,0)</formula>
    </cfRule>
    <cfRule type="expression" dxfId="142" priority="95">
      <formula>IF(AND(OR($S$77&lt;105%,$S$77&gt;130%),$T$3&lt;&gt;$Y$13),1,0)</formula>
    </cfRule>
  </conditionalFormatting>
  <conditionalFormatting sqref="U5:V5">
    <cfRule type="expression" dxfId="141" priority="96">
      <formula>IF($V$5=$AA$22,0,1)</formula>
    </cfRule>
    <cfRule type="expression" dxfId="140" priority="97">
      <formula>IF(AND($T$3=$Y$13,$V$4=$Y$12),1,0)</formula>
    </cfRule>
  </conditionalFormatting>
  <conditionalFormatting sqref="P108:U113">
    <cfRule type="expression" dxfId="139" priority="98">
      <formula>IF(OR($V$3=$Y$2,$V$3=$Y$3),1,0)</formula>
    </cfRule>
  </conditionalFormatting>
  <conditionalFormatting sqref="P165:U166">
    <cfRule type="expression" dxfId="138" priority="99">
      <formula>IF(OR($V$3=$Y$2,$V$3=$Y$4),1,0)</formula>
    </cfRule>
  </conditionalFormatting>
  <conditionalFormatting sqref="R226">
    <cfRule type="expression" dxfId="137" priority="31">
      <formula>IF($P$228="Средний расход",1,0)</formula>
    </cfRule>
  </conditionalFormatting>
  <conditionalFormatting sqref="S12:U13">
    <cfRule type="expression" dxfId="136" priority="100">
      <formula>IF($V$4=$AA$11,1,0)</formula>
    </cfRule>
    <cfRule type="expression" dxfId="135" priority="101">
      <formula>IF(OR($V$4=$Y$11,$V$4=$A$10),0,1)</formula>
    </cfRule>
    <cfRule type="expression" dxfId="134" priority="102">
      <formula>IF(OR($V$4=$Y$11,$V$4=$A$10),0,1)</formula>
    </cfRule>
  </conditionalFormatting>
  <conditionalFormatting sqref="S14:U17">
    <cfRule type="expression" dxfId="133" priority="103">
      <formula>IF(AND($T$3&lt;&gt;$Y$13,OR($V$4=$Y$12,$V$4=$AA$7)),1,0)</formula>
    </cfRule>
  </conditionalFormatting>
  <conditionalFormatting sqref="V14:W17">
    <cfRule type="expression" dxfId="132" priority="104">
      <formula>IF(AND($T$3&lt;&gt;$Y$13,OR($V$4=$AA$7,$V$4=$Y$12)),1,0)</formula>
    </cfRule>
  </conditionalFormatting>
  <conditionalFormatting sqref="P228:W294">
    <cfRule type="expression" dxfId="131" priority="105">
      <formula>IF(AND($T$3=$AA$5,$T$4=$AA$5),1,0)</formula>
    </cfRule>
  </conditionalFormatting>
  <conditionalFormatting sqref="P228:T230 P240:Q294 S240:T294 V240:W294">
    <cfRule type="expression" dxfId="130" priority="106">
      <formula>IF(AND($T$3=$AA$5,$T$4&lt;&gt;$AA$5),1,0)</formula>
    </cfRule>
  </conditionalFormatting>
  <conditionalFormatting sqref="P232:Q237 S232:T237 V232:W237 P226:R226">
    <cfRule type="expression" dxfId="129" priority="107">
      <formula>IF(AND($T$3&lt;&gt;$AA$5,$T$4&lt;&gt;$AA$5),1,0)</formula>
    </cfRule>
  </conditionalFormatting>
  <conditionalFormatting sqref="P12:Q60 S19:T52">
    <cfRule type="expression" dxfId="128" priority="92">
      <formula>IF(AND(OR($V$4=$AA$10,$V$4=$AA$11),$AA$3=$AA$5),1,0)</formula>
    </cfRule>
  </conditionalFormatting>
  <conditionalFormatting sqref="X4">
    <cfRule type="expression" dxfId="127" priority="108">
      <formula>IF($V$4=$AA$10,0,1)</formula>
    </cfRule>
  </conditionalFormatting>
  <conditionalFormatting sqref="W5">
    <cfRule type="expression" dxfId="126" priority="109">
      <formula>IF(OR($V$4=$AA$10,$V$4=$AA$11),0,1)</formula>
    </cfRule>
  </conditionalFormatting>
  <conditionalFormatting sqref="U2:W2">
    <cfRule type="expression" dxfId="125" priority="30">
      <formula>IF($R$4=$Y$6,1,0)</formula>
    </cfRule>
  </conditionalFormatting>
  <conditionalFormatting sqref="F835">
    <cfRule type="cellIs" dxfId="124" priority="29" operator="equal">
      <formula>0</formula>
    </cfRule>
  </conditionalFormatting>
  <conditionalFormatting sqref="P170:V176">
    <cfRule type="expression" dxfId="123" priority="20">
      <formula>IF($V$2=$AA$19,1,0)</formula>
    </cfRule>
  </conditionalFormatting>
  <conditionalFormatting sqref="F1041">
    <cfRule type="cellIs" dxfId="122" priority="27" operator="equal">
      <formula>0</formula>
    </cfRule>
  </conditionalFormatting>
  <conditionalFormatting sqref="R173">
    <cfRule type="expression" dxfId="121" priority="28">
      <formula>IF($R$173&gt;0,0,1)</formula>
    </cfRule>
  </conditionalFormatting>
  <conditionalFormatting sqref="R172">
    <cfRule type="expression" dxfId="120" priority="26">
      <formula>IF($R$172&gt;0,0,1)</formula>
    </cfRule>
  </conditionalFormatting>
  <conditionalFormatting sqref="R176">
    <cfRule type="expression" dxfId="119" priority="25">
      <formula>IF($R$176&gt;0,0,1)</formula>
    </cfRule>
  </conditionalFormatting>
  <conditionalFormatting sqref="L4">
    <cfRule type="expression" dxfId="118" priority="22">
      <formula>IF($L$4&lt;&gt;0,1,0)</formula>
    </cfRule>
    <cfRule type="expression" dxfId="117" priority="23">
      <formula>IF($J$4=$AJ$15,1,0)</formula>
    </cfRule>
  </conditionalFormatting>
  <conditionalFormatting sqref="P6:P10 Q6:S6">
    <cfRule type="expression" dxfId="116" priority="110">
      <formula>IF(OR($T$3=$Y$16,$T$3=$Y$17),1,0)</formula>
    </cfRule>
  </conditionalFormatting>
  <conditionalFormatting sqref="R175">
    <cfRule type="expression" dxfId="115" priority="24">
      <formula>IF($R$175&gt;0,0,1)</formula>
    </cfRule>
  </conditionalFormatting>
  <conditionalFormatting sqref="R174">
    <cfRule type="expression" dxfId="114" priority="21">
      <formula>IF($R$174&gt;0,0,1)</formula>
    </cfRule>
  </conditionalFormatting>
  <conditionalFormatting sqref="V11 T11">
    <cfRule type="expression" dxfId="113" priority="18">
      <formula>IF($T$2=$Z$12,1,0)</formula>
    </cfRule>
    <cfRule type="expression" dxfId="112" priority="19">
      <formula>IF($T$2=$Z$11,1,0)</formula>
    </cfRule>
  </conditionalFormatting>
  <conditionalFormatting sqref="F854">
    <cfRule type="cellIs" dxfId="111" priority="17" operator="equal">
      <formula>0</formula>
    </cfRule>
  </conditionalFormatting>
  <conditionalFormatting sqref="T6:U10 W6:W10">
    <cfRule type="expression" dxfId="110" priority="111">
      <formula>IF($T$4=$Y$19,0,1)</formula>
    </cfRule>
  </conditionalFormatting>
  <conditionalFormatting sqref="P12:Q13 S19:T20">
    <cfRule type="expression" dxfId="109" priority="112">
      <formula>IF(AND($V$4&lt;&gt;$Y$11,OR($T$4&lt;&gt;$Y$19,$T$3&lt;&gt;$Y$13)),1,0)</formula>
    </cfRule>
  </conditionalFormatting>
  <conditionalFormatting sqref="P78:V78">
    <cfRule type="expression" dxfId="108" priority="113">
      <formula>IF(AND($S$78&gt;35%,$T$4&lt;&gt;$Y$19),1,0)</formula>
    </cfRule>
  </conditionalFormatting>
  <conditionalFormatting sqref="S21:T52 P14:Q60">
    <cfRule type="expression" dxfId="107" priority="114">
      <formula>IF(AND($V$4&lt;&gt;$Y$11,OR($T$4&lt;&gt;$Y$19,$T$3&lt;&gt;$Y$13)),1,0)</formula>
    </cfRule>
  </conditionalFormatting>
  <conditionalFormatting sqref="V19:W23">
    <cfRule type="expression" dxfId="106" priority="115">
      <formula>IF(OR($T$3&lt;&gt;$Y$19,$T$4&lt;&gt;$Y$19),0,1)</formula>
    </cfRule>
  </conditionalFormatting>
  <conditionalFormatting sqref="V19:W20">
    <cfRule type="expression" dxfId="105" priority="116">
      <formula>IF(OR($T$3&lt;&gt;$Y$19,$T$4&lt;&gt;$Y$19),1,0)</formula>
    </cfRule>
  </conditionalFormatting>
  <conditionalFormatting sqref="V21:W23">
    <cfRule type="expression" dxfId="104" priority="117">
      <formula>IF(OR($T$3&lt;&gt;$Y$19,$T$4&lt;&gt;$Y$19),1,0)</formula>
    </cfRule>
  </conditionalFormatting>
  <conditionalFormatting sqref="S3:T4">
    <cfRule type="expression" dxfId="103" priority="118">
      <formula>IF(OR(AND($S$78&gt;35%,$T$4&lt;&gt;$Y$19),AND($S$77&gt;130%,$T$3&lt;&gt;$Y$13)),1,0)</formula>
    </cfRule>
  </conditionalFormatting>
  <conditionalFormatting sqref="S21:S52 P14:P60">
    <cfRule type="expression" dxfId="102" priority="119">
      <formula>IF(AND($T$5=$AA$12,$V$4&lt;&gt;$Y$11,$P$15&gt;0,OR($T$4&lt;&gt;$Y$19,$T$3&lt;&gt;$Y$13),$P$14&lt;$R$3),1,0)</formula>
    </cfRule>
  </conditionalFormatting>
  <conditionalFormatting sqref="P6 P8:P10 Q6:S7">
    <cfRule type="expression" dxfId="101" priority="120">
      <formula>IF($T$3=$Y$18,1,0)</formula>
    </cfRule>
  </conditionalFormatting>
  <conditionalFormatting sqref="S2:T2">
    <cfRule type="expression" dxfId="100" priority="121">
      <formula>IF(AND($T$3=$Y$13,$T$4&lt;&gt;$Y$19),0,1)</formula>
    </cfRule>
  </conditionalFormatting>
  <conditionalFormatting sqref="U6:U7 W6:W7 T6:T10">
    <cfRule type="expression" dxfId="99" priority="122">
      <formula>IF(OR($T$4=$Y$20,$T$4=$Y$21,$T$4=$Y$22),1,0)</formula>
    </cfRule>
  </conditionalFormatting>
  <conditionalFormatting sqref="T6:T10 U6:U7 W6:W7">
    <cfRule type="expression" dxfId="98" priority="123">
      <formula>IF(OR($T$4=$Y$23,$T$4=$Y$24),1,0)</formula>
    </cfRule>
  </conditionalFormatting>
  <conditionalFormatting sqref="T6:T10 U6:U7 W6:W7">
    <cfRule type="expression" dxfId="97" priority="124">
      <formula>IF(OR($T$4=$Y$25,$T$4=$Y$26),1,0)</formula>
    </cfRule>
  </conditionalFormatting>
  <conditionalFormatting sqref="T6:U9 W6:W9">
    <cfRule type="expression" dxfId="96" priority="125">
      <formula>IF($T$4=$Y$27,1,0)</formula>
    </cfRule>
  </conditionalFormatting>
  <conditionalFormatting sqref="T10:U10 W10">
    <cfRule type="expression" dxfId="95" priority="126">
      <formula>IF($T$4=$Y$27,1,0)</formula>
    </cfRule>
  </conditionalFormatting>
  <conditionalFormatting sqref="T6:T9 U6:U7 W6:W7">
    <cfRule type="expression" dxfId="94" priority="127">
      <formula>IF($T$4=$Y$27,1,0)</formula>
    </cfRule>
  </conditionalFormatting>
  <conditionalFormatting sqref="F839">
    <cfRule type="cellIs" dxfId="93" priority="16" operator="equal">
      <formula>0</formula>
    </cfRule>
  </conditionalFormatting>
  <conditionalFormatting sqref="V6:V10">
    <cfRule type="expression" dxfId="92" priority="9">
      <formula>IF($T$4=$Y$19,0,1)</formula>
    </cfRule>
  </conditionalFormatting>
  <conditionalFormatting sqref="V6:V7">
    <cfRule type="expression" dxfId="91" priority="10">
      <formula>IF(OR($T$4=$Y$20,$T$4=$Y$21,$T$4=$Y$22),1,0)</formula>
    </cfRule>
  </conditionalFormatting>
  <conditionalFormatting sqref="V6:V7">
    <cfRule type="expression" dxfId="90" priority="11">
      <formula>IF(OR($T$4=$Y$23,$T$4=$Y$24),1,0)</formula>
    </cfRule>
  </conditionalFormatting>
  <conditionalFormatting sqref="V6:V7">
    <cfRule type="expression" dxfId="89" priority="12">
      <formula>IF(OR($T$4=$Y$25,$T$4=$Y$26),1,0)</formula>
    </cfRule>
  </conditionalFormatting>
  <conditionalFormatting sqref="V6:V9">
    <cfRule type="expression" dxfId="88" priority="13">
      <formula>IF($T$4=$Y$27,1,0)</formula>
    </cfRule>
  </conditionalFormatting>
  <conditionalFormatting sqref="V10">
    <cfRule type="expression" dxfId="87" priority="14">
      <formula>IF($T$4=$Y$27,1,0)</formula>
    </cfRule>
  </conditionalFormatting>
  <conditionalFormatting sqref="V6:V7">
    <cfRule type="expression" dxfId="86" priority="15">
      <formula>IF($T$4=$Y$27,1,0)</formula>
    </cfRule>
  </conditionalFormatting>
  <conditionalFormatting sqref="R8:R10">
    <cfRule type="expression" dxfId="85" priority="8">
      <formula>IF($T$3=$Y$13,0,1)</formula>
    </cfRule>
  </conditionalFormatting>
  <conditionalFormatting sqref="R149:R152">
    <cfRule type="expression" dxfId="84" priority="6">
      <formula>IF($V$3=$Y$3,1,0)</formula>
    </cfRule>
  </conditionalFormatting>
  <conditionalFormatting sqref="R151 R149">
    <cfRule type="expression" dxfId="83" priority="7">
      <formula>IF($V$3=$Y$3,1,0)</formula>
    </cfRule>
  </conditionalFormatting>
  <conditionalFormatting sqref="R147:R148">
    <cfRule type="expression" dxfId="82" priority="4">
      <formula>IF($V$3=$Y$3,1,0)</formula>
    </cfRule>
  </conditionalFormatting>
  <conditionalFormatting sqref="R147:R148">
    <cfRule type="expression" dxfId="81" priority="5">
      <formula>IF($V$3=$Y$3,1,0)</formula>
    </cfRule>
  </conditionalFormatting>
  <conditionalFormatting sqref="F1039">
    <cfRule type="cellIs" dxfId="80" priority="3" operator="equal">
      <formula>0</formula>
    </cfRule>
  </conditionalFormatting>
  <conditionalFormatting sqref="P167:U167">
    <cfRule type="expression" dxfId="79" priority="2">
      <formula>IF(OR($V$3=$Y$2,$V$3=$Y$4),1,0)</formula>
    </cfRule>
  </conditionalFormatting>
  <conditionalFormatting sqref="F918">
    <cfRule type="cellIs" dxfId="78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 filterMode="1">
    <pageSetUpPr autoPageBreaks="0"/>
  </sheetPr>
  <dimension ref="A1:AJ683"/>
  <sheetViews>
    <sheetView tabSelected="1" topLeftCell="A7" workbookViewId="0">
      <selection activeCell="I326" sqref="I326"/>
    </sheetView>
  </sheetViews>
  <sheetFormatPr defaultColWidth="4.6640625" defaultRowHeight="13.2" outlineLevelRow="1" outlineLevelCol="1"/>
  <cols>
    <col min="1" max="1" width="2.6640625" style="934" customWidth="1"/>
    <col min="2" max="2" width="5.6640625" style="942" customWidth="1"/>
    <col min="3" max="3" width="8.5546875" style="1004" bestFit="1" customWidth="1"/>
    <col min="4" max="4" width="19.6640625" style="1009" customWidth="1"/>
    <col min="5" max="5" width="11.6640625" style="935" customWidth="1"/>
    <col min="6" max="6" width="12.88671875" style="935" customWidth="1"/>
    <col min="7" max="7" width="4.5546875" style="942" customWidth="1"/>
    <col min="8" max="8" width="12" style="935" customWidth="1"/>
    <col min="9" max="9" width="5.6640625" style="935" customWidth="1"/>
    <col min="10" max="10" width="11.6640625" style="1007" customWidth="1"/>
    <col min="11" max="11" width="16.44140625" style="1007" customWidth="1"/>
    <col min="12" max="12" width="11.6640625" style="935" customWidth="1"/>
    <col min="13" max="13" width="15.6640625" style="935" customWidth="1"/>
    <col min="14" max="14" width="2.6640625" style="935" hidden="1" customWidth="1"/>
    <col min="15" max="15" width="7.6640625" style="934" hidden="1" customWidth="1" outlineLevel="1"/>
    <col min="16" max="16" width="3.6640625" style="936" hidden="1" customWidth="1" outlineLevel="1"/>
    <col min="17" max="17" width="13.33203125" style="937" hidden="1" customWidth="1" outlineLevel="1"/>
    <col min="18" max="18" width="13.33203125" style="938" hidden="1" customWidth="1" outlineLevel="1"/>
    <col min="19" max="19" width="21.6640625" style="938" hidden="1" customWidth="1" outlineLevel="1"/>
    <col min="20" max="23" width="13.33203125" style="937" hidden="1" customWidth="1" outlineLevel="1"/>
    <col min="24" max="24" width="13.33203125" style="936" customWidth="1" outlineLevel="1"/>
    <col min="25" max="25" width="4.6640625" style="936"/>
    <col min="26" max="26" width="11.5546875" style="936" hidden="1" customWidth="1" outlineLevel="1"/>
    <col min="27" max="27" width="12" style="936" hidden="1" customWidth="1" outlineLevel="1"/>
    <col min="28" max="33" width="11.5546875" style="936" hidden="1" customWidth="1" outlineLevel="1"/>
    <col min="34" max="34" width="11.44140625" style="936" hidden="1" customWidth="1" outlineLevel="1"/>
    <col min="35" max="35" width="4.6640625" style="936" collapsed="1"/>
    <col min="36" max="36" width="10.33203125" style="935" bestFit="1" customWidth="1"/>
    <col min="37" max="37" width="7.33203125" style="935" bestFit="1" customWidth="1"/>
    <col min="38" max="16384" width="4.6640625" style="935"/>
  </cols>
  <sheetData>
    <row r="1" spans="1:34" ht="95.1" customHeight="1"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S1" s="939"/>
    </row>
    <row r="2" spans="1:34" ht="18" customHeight="1" thickBot="1">
      <c r="B2" s="940">
        <v>1</v>
      </c>
      <c r="C2" s="941"/>
      <c r="D2" s="1445">
        <v>44543.677499768521</v>
      </c>
      <c r="E2" s="1445"/>
      <c r="I2" s="934">
        <v>1</v>
      </c>
      <c r="J2" s="943">
        <v>1</v>
      </c>
      <c r="K2" s="943">
        <v>1</v>
      </c>
      <c r="L2" s="934">
        <v>1</v>
      </c>
      <c r="M2" s="934">
        <v>1</v>
      </c>
    </row>
    <row r="3" spans="1:34" ht="60" customHeight="1" thickBot="1">
      <c r="B3" s="944"/>
      <c r="C3" s="945"/>
      <c r="D3" s="1446" t="s">
        <v>1553</v>
      </c>
      <c r="E3" s="1446"/>
      <c r="F3" s="1446"/>
      <c r="G3" s="1446"/>
      <c r="H3" s="1446"/>
      <c r="I3" s="1446"/>
      <c r="J3" s="1446"/>
      <c r="K3" s="1446"/>
      <c r="L3" s="1446"/>
      <c r="M3" s="1447"/>
    </row>
    <row r="4" spans="1:34" ht="20.100000000000001" customHeight="1" thickBot="1">
      <c r="B4" s="1448" t="s">
        <v>388</v>
      </c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50"/>
      <c r="Q4" s="946"/>
      <c r="R4" s="947"/>
      <c r="S4" s="947"/>
      <c r="T4" s="946"/>
      <c r="U4" s="946"/>
    </row>
    <row r="5" spans="1:34" ht="36" customHeight="1">
      <c r="B5" s="948">
        <v>1</v>
      </c>
      <c r="C5" s="949"/>
      <c r="D5" s="1477" t="s">
        <v>1554</v>
      </c>
      <c r="E5" s="1477"/>
      <c r="F5" s="1477"/>
      <c r="G5" s="1477"/>
      <c r="H5" s="1477"/>
      <c r="I5" s="1477"/>
      <c r="J5" s="1477"/>
      <c r="K5" s="1477"/>
      <c r="L5" s="1477"/>
      <c r="M5" s="1478"/>
      <c r="Z5" s="1454" t="s">
        <v>449</v>
      </c>
      <c r="AA5" s="1455"/>
      <c r="AB5" s="950" t="s">
        <v>53</v>
      </c>
      <c r="AC5" s="950" t="s">
        <v>54</v>
      </c>
      <c r="AD5" s="950" t="s">
        <v>60</v>
      </c>
      <c r="AE5" s="950" t="s">
        <v>52</v>
      </c>
      <c r="AF5" s="950" t="s">
        <v>58</v>
      </c>
      <c r="AG5" s="950" t="s">
        <v>64</v>
      </c>
      <c r="AH5" s="950" t="s">
        <v>61</v>
      </c>
    </row>
    <row r="6" spans="1:34" ht="18" customHeight="1">
      <c r="B6" s="951">
        <v>2</v>
      </c>
      <c r="C6" s="952"/>
      <c r="D6" s="953" t="s">
        <v>1536</v>
      </c>
      <c r="E6" s="954"/>
      <c r="F6" s="955"/>
      <c r="G6" s="955"/>
      <c r="H6" s="955"/>
      <c r="I6" s="955"/>
      <c r="J6" s="955"/>
      <c r="K6" s="955"/>
      <c r="L6" s="955"/>
      <c r="M6" s="956"/>
      <c r="V6" s="957">
        <f ca="1">INDIRECT({"ТИП1"}&amp;"!J4")</f>
        <v>0</v>
      </c>
      <c r="W6" s="934">
        <f ca="1">INDIRECT({"ТИП2"}&amp;"!J4")</f>
        <v>0</v>
      </c>
      <c r="Z6" s="958" t="s">
        <v>443</v>
      </c>
      <c r="AA6" s="959" t="s">
        <v>447</v>
      </c>
      <c r="AB6" s="960">
        <f>SUM(J29:J30,J31:J56,J57:J128,J332:J395,J447:J463)</f>
        <v>404.97660000000002</v>
      </c>
      <c r="AC6" s="960">
        <f>SUM(J133:J155)</f>
        <v>0</v>
      </c>
      <c r="AD6" s="960">
        <f>SUM(J156:J174)</f>
        <v>0</v>
      </c>
      <c r="AE6" s="960">
        <f>SUM(J225:J228,J233,J249:J265,J277:J279,J316:J320,J419:J426,J430:J437,J495:J497)</f>
        <v>2335</v>
      </c>
      <c r="AF6" s="960">
        <f>SUM(J205:J207,J209,J213:J216,J218:J222,J305:J307,J310:J315,J444,J445:J446)</f>
        <v>0</v>
      </c>
      <c r="AG6" s="960">
        <f>SUM(J203,J212,J308)</f>
        <v>0</v>
      </c>
      <c r="AH6" s="960">
        <f>SUM(J266:J267)</f>
        <v>0</v>
      </c>
    </row>
    <row r="7" spans="1:34" ht="18" customHeight="1" thickBot="1">
      <c r="B7" s="951">
        <v>3</v>
      </c>
      <c r="C7" s="952"/>
      <c r="D7" s="953" t="s">
        <v>1557</v>
      </c>
      <c r="E7" s="961"/>
      <c r="F7" s="955"/>
      <c r="G7" s="955"/>
      <c r="H7" s="955"/>
      <c r="I7" s="955"/>
      <c r="J7" s="955"/>
      <c r="K7" s="955"/>
      <c r="L7" s="955"/>
      <c r="M7" s="956"/>
      <c r="Z7" s="958" t="s">
        <v>443</v>
      </c>
      <c r="AA7" s="959" t="s">
        <v>444</v>
      </c>
      <c r="AB7" s="962">
        <v>0</v>
      </c>
      <c r="AC7" s="962">
        <v>0</v>
      </c>
      <c r="AD7" s="962">
        <v>0</v>
      </c>
      <c r="AE7" s="962">
        <v>0</v>
      </c>
      <c r="AF7" s="960">
        <f>SUM(J16:J17)</f>
        <v>2181</v>
      </c>
      <c r="AG7" s="962">
        <v>0</v>
      </c>
      <c r="AH7" s="962">
        <v>0</v>
      </c>
    </row>
    <row r="8" spans="1:34" ht="18" customHeight="1" thickBot="1">
      <c r="B8" s="963">
        <v>4</v>
      </c>
      <c r="C8" s="964"/>
      <c r="D8" s="965" t="s">
        <v>387</v>
      </c>
      <c r="E8" s="966"/>
      <c r="F8" s="966"/>
      <c r="G8" s="966"/>
      <c r="H8" s="966"/>
      <c r="I8" s="966"/>
      <c r="J8" s="966"/>
      <c r="K8" s="966"/>
      <c r="L8" s="1475">
        <f>SUM(M13,M28,M202,M304,M546)</f>
        <v>0</v>
      </c>
      <c r="M8" s="1476"/>
      <c r="O8" s="967" t="s">
        <v>135</v>
      </c>
      <c r="Q8" s="968"/>
      <c r="R8" s="969"/>
      <c r="Z8" s="958" t="s">
        <v>443</v>
      </c>
      <c r="AA8" s="959" t="s">
        <v>445</v>
      </c>
      <c r="AB8" s="962">
        <v>0</v>
      </c>
      <c r="AC8" s="962">
        <v>0</v>
      </c>
      <c r="AD8" s="962">
        <v>0</v>
      </c>
      <c r="AE8" s="962">
        <v>0</v>
      </c>
      <c r="AF8" s="960">
        <f>SUM(J208,J210,J309)</f>
        <v>0</v>
      </c>
      <c r="AG8" s="962">
        <v>0</v>
      </c>
      <c r="AH8" s="962">
        <v>0</v>
      </c>
    </row>
    <row r="9" spans="1:34" ht="20.100000000000001" customHeight="1" thickBot="1">
      <c r="B9" s="1457" t="s">
        <v>389</v>
      </c>
      <c r="C9" s="1451" t="s">
        <v>1456</v>
      </c>
      <c r="D9" s="1460" t="s">
        <v>129</v>
      </c>
      <c r="E9" s="1461"/>
      <c r="F9" s="1461"/>
      <c r="G9" s="1461"/>
      <c r="H9" s="1462"/>
      <c r="I9" s="1469" t="s">
        <v>132</v>
      </c>
      <c r="J9" s="1440" t="s">
        <v>131</v>
      </c>
      <c r="K9" s="1441"/>
      <c r="L9" s="1469" t="s">
        <v>411</v>
      </c>
      <c r="M9" s="1472" t="s">
        <v>134</v>
      </c>
      <c r="O9" s="934">
        <v>1</v>
      </c>
      <c r="Q9" s="970"/>
      <c r="Z9" s="958" t="s">
        <v>446</v>
      </c>
      <c r="AA9" s="959" t="s">
        <v>6</v>
      </c>
      <c r="AB9" s="960">
        <f>SUM(J547:J552)</f>
        <v>3.802</v>
      </c>
      <c r="AC9" s="960">
        <f>SUM(J553:J563)</f>
        <v>0</v>
      </c>
      <c r="AD9" s="960">
        <f>SUM(J564:J570)</f>
        <v>0</v>
      </c>
      <c r="AE9" s="962">
        <v>0</v>
      </c>
      <c r="AF9" s="962">
        <v>0</v>
      </c>
      <c r="AG9" s="962">
        <v>0</v>
      </c>
      <c r="AH9" s="962">
        <v>0</v>
      </c>
    </row>
    <row r="10" spans="1:34" ht="20.100000000000001" customHeight="1">
      <c r="B10" s="1458"/>
      <c r="C10" s="1452"/>
      <c r="D10" s="1463"/>
      <c r="E10" s="1464"/>
      <c r="F10" s="1464"/>
      <c r="G10" s="1464"/>
      <c r="H10" s="1465"/>
      <c r="I10" s="1470"/>
      <c r="J10" s="1442" t="s">
        <v>465</v>
      </c>
      <c r="K10" s="1442" t="s">
        <v>1031</v>
      </c>
      <c r="L10" s="1470"/>
      <c r="M10" s="1473"/>
      <c r="O10" s="934">
        <v>1</v>
      </c>
      <c r="Q10" s="970"/>
      <c r="T10" s="946"/>
      <c r="Z10" s="958" t="s">
        <v>450</v>
      </c>
      <c r="AA10" s="959"/>
      <c r="AB10" s="960">
        <f>SUM(J581:J616)</f>
        <v>24600</v>
      </c>
      <c r="AC10" s="960">
        <f>SUM(J595:J596,J613:J616)</f>
        <v>76</v>
      </c>
      <c r="AD10" s="971">
        <v>0</v>
      </c>
      <c r="AE10" s="971">
        <v>0</v>
      </c>
      <c r="AF10" s="971">
        <v>0</v>
      </c>
      <c r="AG10" s="971">
        <v>0</v>
      </c>
      <c r="AH10" s="971">
        <v>0</v>
      </c>
    </row>
    <row r="11" spans="1:34" ht="20.100000000000001" customHeight="1" thickBot="1">
      <c r="B11" s="1459"/>
      <c r="C11" s="1453"/>
      <c r="D11" s="1466"/>
      <c r="E11" s="1467"/>
      <c r="F11" s="1467"/>
      <c r="G11" s="1467"/>
      <c r="H11" s="1468"/>
      <c r="I11" s="1471"/>
      <c r="J11" s="1443"/>
      <c r="K11" s="1443"/>
      <c r="L11" s="1471"/>
      <c r="M11" s="1474"/>
      <c r="O11" s="934">
        <v>1</v>
      </c>
    </row>
    <row r="12" spans="1:34" ht="15" customHeight="1" thickBot="1">
      <c r="B12" s="866">
        <v>1</v>
      </c>
      <c r="C12" s="867">
        <v>2</v>
      </c>
      <c r="D12" s="1434">
        <v>3</v>
      </c>
      <c r="E12" s="1435"/>
      <c r="F12" s="1435"/>
      <c r="G12" s="1435"/>
      <c r="H12" s="1436"/>
      <c r="I12" s="868">
        <v>4</v>
      </c>
      <c r="J12" s="869">
        <v>5</v>
      </c>
      <c r="K12" s="869">
        <v>6</v>
      </c>
      <c r="L12" s="868">
        <v>7</v>
      </c>
      <c r="M12" s="868">
        <v>8</v>
      </c>
      <c r="O12" s="934">
        <v>1</v>
      </c>
      <c r="Q12" s="972">
        <f ca="1">SUM(SUMIF(INDIRECT({"ТИП1";"ТИП2";"ТИП3";"ТИП4";"ТИП5";"ТИП6";"ТИП7";"ТИП8";"ТИП9";"ТИП10"}&amp;"!I13:I14"),"&lt;&gt;0"))</f>
        <v>2245</v>
      </c>
      <c r="R12" s="973">
        <f>SUM(J14:J27)</f>
        <v>2245</v>
      </c>
      <c r="S12" s="1479" t="s">
        <v>138</v>
      </c>
      <c r="T12" s="1479"/>
      <c r="U12" s="1479"/>
      <c r="V12" s="1479"/>
      <c r="W12" s="1479"/>
    </row>
    <row r="13" spans="1:34" ht="20.100000000000001" customHeight="1">
      <c r="A13" s="934">
        <v>1</v>
      </c>
      <c r="B13" s="1431">
        <v>1</v>
      </c>
      <c r="C13" s="727"/>
      <c r="D13" s="728" t="s">
        <v>138</v>
      </c>
      <c r="E13" s="729"/>
      <c r="F13" s="729"/>
      <c r="G13" s="729"/>
      <c r="H13" s="729"/>
      <c r="I13" s="730"/>
      <c r="J13" s="731"/>
      <c r="K13" s="731"/>
      <c r="L13" s="974"/>
      <c r="M13" s="975">
        <f>SUM(M14:M27)</f>
        <v>0</v>
      </c>
      <c r="O13" s="934">
        <f>IF(SUM(J14:J27)=0,0,1)</f>
        <v>1</v>
      </c>
      <c r="Q13" s="972">
        <f ca="1">SUM(SUMIF(INDIRECT({"ТИП1";"ТИП2";"ТИП3";"ТИП4";"ТИП5";"ТИП6";"ТИП7";"ТИП8";"ТИП9";"ТИП10"}&amp;"!I16:I21"),"&lt;&gt;0"))</f>
        <v>396.77659999999997</v>
      </c>
      <c r="R13" s="973">
        <f>SUM(J29:J201)</f>
        <v>396.77660000000003</v>
      </c>
      <c r="S13" s="1439" t="s">
        <v>614</v>
      </c>
      <c r="T13" s="1439"/>
      <c r="U13" s="1439"/>
      <c r="V13" s="1439"/>
      <c r="W13" s="1439"/>
      <c r="X13" s="976"/>
    </row>
    <row r="14" spans="1:34" ht="15" hidden="1" customHeight="1">
      <c r="A14" s="940"/>
      <c r="B14" s="1437"/>
      <c r="C14" s="898" t="s">
        <v>1106</v>
      </c>
      <c r="D14" s="732" t="s">
        <v>1105</v>
      </c>
      <c r="E14" s="733"/>
      <c r="F14" s="733"/>
      <c r="G14" s="733"/>
      <c r="H14" s="733"/>
      <c r="I14" s="734" t="s">
        <v>112</v>
      </c>
      <c r="J14" s="735">
        <v>0</v>
      </c>
      <c r="K14" s="977">
        <f>IFERROR(_xlfn.CEILING.MATH(J14,INDEX('СВОДНАЯ СПЕЦИФИКАЦИЯ'!$C$10:$C$408,MATCH(D14,'СВОДНАЯ СПЕЦИФИКАЦИЯ'!$D$10:$D$408,0))),"Введите кол-во")</f>
        <v>0</v>
      </c>
      <c r="L14" s="978">
        <f>INDEX('СВОДНАЯ СПЕЦИФИКАЦИЯ'!$H$10:$H$408,MATCH(D14,Таблица2[Наименование материала],0))</f>
        <v>0</v>
      </c>
      <c r="M14" s="979">
        <f t="shared" ref="M14:M77" si="0">IFERROR(K14*L14,0)</f>
        <v>0</v>
      </c>
      <c r="O14" s="934">
        <f t="shared" ref="O14:O27" si="1">IF(J14=0,0,1)</f>
        <v>0</v>
      </c>
      <c r="Q14" s="972">
        <f ca="1">SUM(SUMIF(INDIRECT({"ТИП1";"ТИП2";"ТИП3";"ТИП4";"ТИП5";"ТИП6";"ТИП7";"ТИП8";"ТИП9";"ТИП10"}&amp;"!I23:I35"),"&lt;&gt;0"))</f>
        <v>2099</v>
      </c>
      <c r="R14" s="973">
        <f>SUM(J203:J303)</f>
        <v>2099</v>
      </c>
      <c r="S14" s="1439" t="s">
        <v>615</v>
      </c>
      <c r="T14" s="1439"/>
      <c r="U14" s="1439"/>
      <c r="V14" s="1439"/>
      <c r="W14" s="1439"/>
      <c r="AB14" s="980"/>
    </row>
    <row r="15" spans="1:34" ht="15" hidden="1" customHeight="1">
      <c r="B15" s="1437"/>
      <c r="C15" s="898" t="s">
        <v>763</v>
      </c>
      <c r="D15" s="732" t="s">
        <v>803</v>
      </c>
      <c r="E15" s="733"/>
      <c r="F15" s="733"/>
      <c r="G15" s="733" t="s">
        <v>929</v>
      </c>
      <c r="H15" s="733"/>
      <c r="I15" s="737" t="s">
        <v>151</v>
      </c>
      <c r="J15" s="738">
        <v>0</v>
      </c>
      <c r="K15" s="977">
        <f>IFERROR(_xlfn.CEILING.MATH(J15,INDEX('СВОДНАЯ СПЕЦИФИКАЦИЯ'!$C$10:$C$408,MATCH(D15,'СВОДНАЯ СПЕЦИФИКАЦИЯ'!$D$10:$D$408,0))),"Введите кол-во")</f>
        <v>0</v>
      </c>
      <c r="L15" s="978">
        <f>INDEX('СВОДНАЯ СПЕЦИФИКАЦИЯ'!$H$10:$H$408,MATCH(D15,Таблица2[Наименование материала],0))</f>
        <v>0</v>
      </c>
      <c r="M15" s="979">
        <f t="shared" si="0"/>
        <v>0</v>
      </c>
      <c r="O15" s="934">
        <f t="shared" si="1"/>
        <v>0</v>
      </c>
      <c r="Q15" s="972">
        <f ca="1">SUM(SUMIF(INDIRECT({"ТИП1";"ТИП2";"ТИП3";"ТИП4";"ТИП5";"ТИП6";"ТИП7";"ТИП8";"ТИП9";"ТИП10"}&amp;"!I37:I61"),"&lt;&gt;0"))</f>
        <v>7189.97</v>
      </c>
      <c r="R15" s="973">
        <f>SUM(J305:J542)</f>
        <v>7189.97</v>
      </c>
      <c r="S15" s="1439" t="s">
        <v>616</v>
      </c>
      <c r="T15" s="1439"/>
      <c r="U15" s="1439"/>
      <c r="V15" s="1439"/>
      <c r="W15" s="1439"/>
      <c r="AB15" s="980"/>
    </row>
    <row r="16" spans="1:34" ht="15" hidden="1" customHeight="1">
      <c r="B16" s="1437"/>
      <c r="C16" s="898">
        <v>578227</v>
      </c>
      <c r="D16" s="732" t="s">
        <v>1429</v>
      </c>
      <c r="E16" s="733"/>
      <c r="F16" s="733"/>
      <c r="G16" s="733"/>
      <c r="H16" s="733"/>
      <c r="I16" s="734" t="s">
        <v>112</v>
      </c>
      <c r="J16" s="736">
        <v>0</v>
      </c>
      <c r="K16" s="977">
        <f>IFERROR(_xlfn.CEILING.MATH(J16,INDEX('СВОДНАЯ СПЕЦИФИКАЦИЯ'!$C$10:$C$408,MATCH(D16,'СВОДНАЯ СПЕЦИФИКАЦИЯ'!$D$10:$D$408,0))),"Введите кол-во")</f>
        <v>0</v>
      </c>
      <c r="L16" s="978">
        <f>INDEX('СВОДНАЯ СПЕЦИФИКАЦИЯ'!$H$10:$H$408,MATCH(D16,Таблица2[Наименование материала],0))</f>
        <v>0</v>
      </c>
      <c r="M16" s="979">
        <f t="shared" si="0"/>
        <v>0</v>
      </c>
      <c r="O16" s="934">
        <f t="shared" si="1"/>
        <v>0</v>
      </c>
      <c r="Q16" s="972">
        <f ca="1">SUM(SUMIF(INDIRECT({"ТИП1";"ТИП2";"ТИП3";"ТИП4";"ТИП5";"ТИП6";"ТИП7";"ТИП8";"ТИП9";"ТИП10"}&amp;"!I63:I69"),"&lt;&gt;0"))</f>
        <v>3.802</v>
      </c>
      <c r="R16" s="973">
        <f>SUM(J547:J578)</f>
        <v>3.802</v>
      </c>
      <c r="S16" s="1439" t="s">
        <v>617</v>
      </c>
      <c r="T16" s="1439"/>
      <c r="U16" s="1439"/>
      <c r="V16" s="1439"/>
      <c r="W16" s="1439"/>
      <c r="AB16" s="980"/>
    </row>
    <row r="17" spans="1:36" ht="15" customHeight="1">
      <c r="B17" s="1437"/>
      <c r="C17" s="898">
        <v>528103</v>
      </c>
      <c r="D17" s="732" t="s">
        <v>1430</v>
      </c>
      <c r="E17" s="733"/>
      <c r="F17" s="733"/>
      <c r="G17" s="733"/>
      <c r="H17" s="733"/>
      <c r="I17" s="734" t="s">
        <v>112</v>
      </c>
      <c r="J17" s="736">
        <v>2181</v>
      </c>
      <c r="K17" s="977">
        <f>IFERROR(_xlfn.CEILING.MATH(J17,INDEX('СВОДНАЯ СПЕЦИФИКАЦИЯ'!$C$10:$C$408,MATCH(D17,'СВОДНАЯ СПЕЦИФИКАЦИЯ'!$D$10:$D$408,0))),"Введите кол-во")</f>
        <v>2214</v>
      </c>
      <c r="L17" s="978">
        <f>INDEX('СВОДНАЯ СПЕЦИФИКАЦИЯ'!$H$10:$H$408,MATCH(D17,Таблица2[Наименование материала],0))</f>
        <v>0</v>
      </c>
      <c r="M17" s="979">
        <f t="shared" si="0"/>
        <v>0</v>
      </c>
      <c r="O17" s="934">
        <f t="shared" si="1"/>
        <v>1</v>
      </c>
      <c r="Q17" s="972">
        <f ca="1">SUM(SUMIF(INDIRECT({"ТИП1";"ТИП2";"ТИП3";"ТИП4";"ТИП5";"ТИП6";"ТИП7";"ТИП8";"ТИП9";"ТИП10"}&amp;"!I83:I100"),"&lt;&gt;0"))</f>
        <v>12300</v>
      </c>
      <c r="R17" s="973">
        <f>SUM(J579:J597)</f>
        <v>12300</v>
      </c>
      <c r="S17" s="1439" t="s">
        <v>618</v>
      </c>
      <c r="T17" s="1439"/>
      <c r="U17" s="1439"/>
      <c r="V17" s="1439"/>
      <c r="W17" s="1439"/>
      <c r="AB17" s="980"/>
    </row>
    <row r="18" spans="1:36" ht="15" hidden="1" customHeight="1">
      <c r="B18" s="1437"/>
      <c r="C18" s="898">
        <v>1790</v>
      </c>
      <c r="D18" s="732" t="s">
        <v>1431</v>
      </c>
      <c r="E18" s="733"/>
      <c r="F18" s="733"/>
      <c r="G18" s="733"/>
      <c r="H18" s="733"/>
      <c r="I18" s="734" t="s">
        <v>112</v>
      </c>
      <c r="J18" s="736">
        <v>0</v>
      </c>
      <c r="K18" s="977">
        <f>IFERROR(_xlfn.CEILING.MATH(J18,INDEX('СВОДНАЯ СПЕЦИФИКАЦИЯ'!$C$10:$C$408,MATCH(D18,'СВОДНАЯ СПЕЦИФИКАЦИЯ'!$D$10:$D$408,0))),"Введите кол-во")</f>
        <v>0</v>
      </c>
      <c r="L18" s="978">
        <f>INDEX('СВОДНАЯ СПЕЦИФИКАЦИЯ'!$H$10:$H$408,MATCH(D18,Таблица2[Наименование материала],0))</f>
        <v>0</v>
      </c>
      <c r="M18" s="979">
        <f t="shared" si="0"/>
        <v>0</v>
      </c>
      <c r="O18" s="934">
        <f t="shared" si="1"/>
        <v>0</v>
      </c>
      <c r="Q18" s="972">
        <f ca="1">SUM(SUMIF(INDIRECT({"ТИП1";"ТИП2";"ТИП3";"ТИП4";"ТИП5";"ТИП6";"ТИП7";"ТИП8";"ТИП9";"ТИП10"}&amp;"!I101:I113"),"&lt;&gt;0"))</f>
        <v>12300</v>
      </c>
      <c r="R18" s="973">
        <f>SUM(J598:J616)</f>
        <v>12300</v>
      </c>
      <c r="S18" s="1439" t="s">
        <v>619</v>
      </c>
      <c r="T18" s="1439"/>
      <c r="U18" s="1439"/>
      <c r="V18" s="1439"/>
      <c r="W18" s="1439"/>
      <c r="AB18" s="980"/>
    </row>
    <row r="19" spans="1:36" ht="15" hidden="1" customHeight="1">
      <c r="B19" s="1437"/>
      <c r="C19" s="898" t="s">
        <v>1037</v>
      </c>
      <c r="D19" s="732" t="s">
        <v>813</v>
      </c>
      <c r="E19" s="733"/>
      <c r="F19" s="733"/>
      <c r="G19" s="733"/>
      <c r="H19" s="733"/>
      <c r="I19" s="734" t="s">
        <v>112</v>
      </c>
      <c r="J19" s="736">
        <v>0</v>
      </c>
      <c r="K19" s="977">
        <f>IFERROR(_xlfn.CEILING.MATH(J19,INDEX('СВОДНАЯ СПЕЦИФИКАЦИЯ'!$C$10:$C$408,MATCH(D19,'СВОДНАЯ СПЕЦИФИКАЦИЯ'!$D$10:$D$408,0))),"Введите кол-во")</f>
        <v>0</v>
      </c>
      <c r="L19" s="978">
        <f>INDEX('СВОДНАЯ СПЕЦИФИКАЦИЯ'!$H$10:$H$408,MATCH(D19,Таблица2[Наименование материала],0))</f>
        <v>0</v>
      </c>
      <c r="M19" s="979">
        <f t="shared" si="0"/>
        <v>0</v>
      </c>
      <c r="O19" s="934">
        <f t="shared" si="1"/>
        <v>0</v>
      </c>
      <c r="Q19" s="972">
        <f ca="1">SUM(SUMIF(INDIRECT({"ТИП1";"ТИП2";"ТИП3";"ТИП4";"ТИП5";"ТИП6";"ТИП7";"ТИП8";"ТИП9";"ТИП10"}&amp;"!I115"),"&lt;&gt;0"))</f>
        <v>298</v>
      </c>
      <c r="R19" s="973">
        <f>SUM(J617)</f>
        <v>298</v>
      </c>
      <c r="S19" s="1439" t="s">
        <v>620</v>
      </c>
      <c r="T19" s="1439"/>
      <c r="U19" s="1439"/>
      <c r="V19" s="1439"/>
      <c r="W19" s="1439"/>
      <c r="AB19" s="980"/>
    </row>
    <row r="20" spans="1:36" ht="15" hidden="1" customHeight="1">
      <c r="B20" s="1437"/>
      <c r="C20" s="898" t="s">
        <v>1037</v>
      </c>
      <c r="D20" s="732" t="s">
        <v>813</v>
      </c>
      <c r="E20" s="733"/>
      <c r="F20" s="733"/>
      <c r="G20" s="733"/>
      <c r="H20" s="733"/>
      <c r="I20" s="734" t="s">
        <v>112</v>
      </c>
      <c r="J20" s="736">
        <v>0</v>
      </c>
      <c r="K20" s="977">
        <f>IFERROR(_xlfn.CEILING.MATH(J20,INDEX('СВОДНАЯ СПЕЦИФИКАЦИЯ'!$C$10:$C$408,MATCH(D20,'СВОДНАЯ СПЕЦИФИКАЦИЯ'!$D$10:$D$408,0))),"Введите кол-во")</f>
        <v>0</v>
      </c>
      <c r="L20" s="978">
        <f>INDEX('СВОДНАЯ СПЕЦИФИКАЦИЯ'!$H$10:$H$408,MATCH(D20,Таблица2[Наименование материала],0))</f>
        <v>0</v>
      </c>
      <c r="M20" s="979">
        <f t="shared" si="0"/>
        <v>0</v>
      </c>
      <c r="O20" s="934">
        <f t="shared" si="1"/>
        <v>0</v>
      </c>
      <c r="R20" s="957"/>
      <c r="S20" s="957"/>
      <c r="AB20" s="980"/>
    </row>
    <row r="21" spans="1:36" ht="15" hidden="1" customHeight="1">
      <c r="B21" s="1437"/>
      <c r="C21" s="898">
        <v>38</v>
      </c>
      <c r="D21" s="732" t="s">
        <v>1433</v>
      </c>
      <c r="E21" s="733"/>
      <c r="F21" s="733"/>
      <c r="G21" s="733"/>
      <c r="H21" s="733"/>
      <c r="I21" s="734" t="s">
        <v>112</v>
      </c>
      <c r="J21" s="736">
        <v>0</v>
      </c>
      <c r="K21" s="977">
        <f>IFERROR(_xlfn.CEILING.MATH(J21,INDEX('СВОДНАЯ СПЕЦИФИКАЦИЯ'!$C$10:$C$408,MATCH(D21,'СВОДНАЯ СПЕЦИФИКАЦИЯ'!$D$10:$D$408,0))),"Введите кол-во")</f>
        <v>0</v>
      </c>
      <c r="L21" s="978">
        <f>INDEX('СВОДНАЯ СПЕЦИФИКАЦИЯ'!$H$10:$H$408,MATCH(D21,Таблица2[Наименование материала],0))</f>
        <v>0</v>
      </c>
      <c r="M21" s="979">
        <f t="shared" si="0"/>
        <v>0</v>
      </c>
      <c r="O21" s="934">
        <f t="shared" si="1"/>
        <v>0</v>
      </c>
      <c r="S21" s="947"/>
      <c r="AB21" s="980"/>
    </row>
    <row r="22" spans="1:36" ht="15" hidden="1" customHeight="1">
      <c r="B22" s="1437"/>
      <c r="C22" s="898" t="s">
        <v>1067</v>
      </c>
      <c r="D22" s="732" t="s">
        <v>1434</v>
      </c>
      <c r="E22" s="733"/>
      <c r="F22" s="733"/>
      <c r="G22" s="733"/>
      <c r="H22" s="733"/>
      <c r="I22" s="734" t="s">
        <v>112</v>
      </c>
      <c r="J22" s="736">
        <v>0</v>
      </c>
      <c r="K22" s="977">
        <f>IFERROR(_xlfn.CEILING.MATH(J22,INDEX('СВОДНАЯ СПЕЦИФИКАЦИЯ'!$C$10:$C$408,MATCH(D22,'СВОДНАЯ СПЕЦИФИКАЦИЯ'!$D$10:$D$408,0))),"Введите кол-во")</f>
        <v>0</v>
      </c>
      <c r="L22" s="978">
        <f>INDEX('СВОДНАЯ СПЕЦИФИКАЦИЯ'!$H$10:$H$408,MATCH(D22,Таблица2[Наименование материала],0))</f>
        <v>0</v>
      </c>
      <c r="M22" s="979">
        <f t="shared" si="0"/>
        <v>0</v>
      </c>
      <c r="O22" s="934">
        <f t="shared" si="1"/>
        <v>0</v>
      </c>
      <c r="S22" s="981"/>
      <c r="AB22" s="980"/>
    </row>
    <row r="23" spans="1:36" ht="15" hidden="1" customHeight="1">
      <c r="B23" s="1437"/>
      <c r="C23" s="898">
        <v>1768</v>
      </c>
      <c r="D23" s="732" t="s">
        <v>1435</v>
      </c>
      <c r="E23" s="733"/>
      <c r="F23" s="733"/>
      <c r="G23" s="733"/>
      <c r="H23" s="733"/>
      <c r="I23" s="739" t="s">
        <v>112</v>
      </c>
      <c r="J23" s="736">
        <v>0</v>
      </c>
      <c r="K23" s="977">
        <f>IFERROR(_xlfn.CEILING.MATH(J23,INDEX('СВОДНАЯ СПЕЦИФИКАЦИЯ'!$C$10:$C$408,MATCH(D23,'СВОДНАЯ СПЕЦИФИКАЦИЯ'!$D$10:$D$408,0))),"Введите кол-во")</f>
        <v>0</v>
      </c>
      <c r="L23" s="978">
        <f>INDEX('СВОДНАЯ СПЕЦИФИКАЦИЯ'!$H$10:$H$408,MATCH(D23,Таблица2[Наименование материала],0))</f>
        <v>0</v>
      </c>
      <c r="M23" s="979">
        <f t="shared" si="0"/>
        <v>0</v>
      </c>
      <c r="O23" s="934">
        <f t="shared" si="1"/>
        <v>0</v>
      </c>
      <c r="AB23" s="980"/>
    </row>
    <row r="24" spans="1:36" ht="15" customHeight="1" thickBot="1">
      <c r="B24" s="1437"/>
      <c r="C24" s="898" t="s">
        <v>999</v>
      </c>
      <c r="D24" s="732" t="s">
        <v>1436</v>
      </c>
      <c r="E24" s="733"/>
      <c r="F24" s="733"/>
      <c r="G24" s="733"/>
      <c r="H24" s="733"/>
      <c r="I24" s="739" t="s">
        <v>112</v>
      </c>
      <c r="J24" s="736">
        <v>64</v>
      </c>
      <c r="K24" s="977">
        <f>IFERROR(_xlfn.CEILING.MATH(J24,INDEX('СВОДНАЯ СПЕЦИФИКАЦИЯ'!$C$10:$C$408,MATCH(D24,'СВОДНАЯ СПЕЦИФИКАЦИЯ'!$D$10:$D$408,0))),"Введите кол-во")</f>
        <v>70</v>
      </c>
      <c r="L24" s="978">
        <f>INDEX('СВОДНАЯ СПЕЦИФИКАЦИЯ'!$H$10:$H$408,MATCH(D24,Таблица2[Наименование материала],0))</f>
        <v>0</v>
      </c>
      <c r="M24" s="979">
        <f t="shared" si="0"/>
        <v>0</v>
      </c>
      <c r="O24" s="934">
        <f t="shared" si="1"/>
        <v>1</v>
      </c>
      <c r="AB24" s="980"/>
    </row>
    <row r="25" spans="1:36" ht="15" hidden="1" customHeight="1">
      <c r="B25" s="1437"/>
      <c r="C25" s="898" t="s">
        <v>761</v>
      </c>
      <c r="D25" s="732" t="s">
        <v>182</v>
      </c>
      <c r="E25" s="733"/>
      <c r="F25" s="733"/>
      <c r="G25" s="733"/>
      <c r="H25" s="733"/>
      <c r="I25" s="739" t="s">
        <v>183</v>
      </c>
      <c r="J25" s="736">
        <v>0</v>
      </c>
      <c r="K25" s="977">
        <f>IFERROR(_xlfn.CEILING.MATH(J25,INDEX('СВОДНАЯ СПЕЦИФИКАЦИЯ'!$C$10:$C$408,MATCH(D25,'СВОДНАЯ СПЕЦИФИКАЦИЯ'!$D$10:$D$408,0))),"Введите кол-во")</f>
        <v>0</v>
      </c>
      <c r="L25" s="978">
        <f>INDEX('СВОДНАЯ СПЕЦИФИКАЦИЯ'!$H$10:$H$408,MATCH(D25,Таблица2[Наименование материала],0))</f>
        <v>0</v>
      </c>
      <c r="M25" s="979">
        <f t="shared" si="0"/>
        <v>0</v>
      </c>
      <c r="O25" s="934">
        <f t="shared" si="1"/>
        <v>0</v>
      </c>
      <c r="AB25" s="980"/>
    </row>
    <row r="26" spans="1:36" ht="15" hidden="1" customHeight="1">
      <c r="B26" s="1437"/>
      <c r="C26" s="898" t="s">
        <v>1107</v>
      </c>
      <c r="D26" s="732" t="s">
        <v>1104</v>
      </c>
      <c r="E26" s="733"/>
      <c r="F26" s="733"/>
      <c r="G26" s="733"/>
      <c r="H26" s="733"/>
      <c r="I26" s="734" t="s">
        <v>112</v>
      </c>
      <c r="J26" s="735">
        <v>0</v>
      </c>
      <c r="K26" s="977">
        <f>IFERROR(_xlfn.CEILING.MATH(J26,INDEX('СВОДНАЯ СПЕЦИФИКАЦИЯ'!$C$10:$C$408,MATCH(D26,'СВОДНАЯ СПЕЦИФИКАЦИЯ'!$D$10:$D$408,0))),"Введите кол-во")</f>
        <v>0</v>
      </c>
      <c r="L26" s="978">
        <f>INDEX('СВОДНАЯ СПЕЦИФИКАЦИЯ'!$H$10:$H$408,MATCH(D26,Таблица2[Наименование материала],0))</f>
        <v>200</v>
      </c>
      <c r="M26" s="979">
        <f t="shared" si="0"/>
        <v>0</v>
      </c>
      <c r="O26" s="934">
        <f t="shared" si="1"/>
        <v>0</v>
      </c>
      <c r="AB26" s="980"/>
    </row>
    <row r="27" spans="1:36" ht="15" hidden="1" customHeight="1" thickBot="1">
      <c r="B27" s="1438"/>
      <c r="C27" s="740"/>
      <c r="D27" s="741"/>
      <c r="E27" s="742"/>
      <c r="F27" s="742"/>
      <c r="G27" s="742"/>
      <c r="H27" s="742"/>
      <c r="I27" s="743"/>
      <c r="J27" s="744"/>
      <c r="K27" s="982"/>
      <c r="L27" s="983"/>
      <c r="M27" s="979">
        <f t="shared" si="0"/>
        <v>0</v>
      </c>
      <c r="O27" s="934">
        <f t="shared" si="1"/>
        <v>0</v>
      </c>
      <c r="AB27" s="980"/>
    </row>
    <row r="28" spans="1:36" ht="20.100000000000001" customHeight="1">
      <c r="A28" s="934">
        <v>2</v>
      </c>
      <c r="B28" s="1431">
        <v>2</v>
      </c>
      <c r="C28" s="745"/>
      <c r="D28" s="746" t="s">
        <v>139</v>
      </c>
      <c r="E28" s="729"/>
      <c r="F28" s="729"/>
      <c r="G28" s="729"/>
      <c r="H28" s="729"/>
      <c r="I28" s="730"/>
      <c r="J28" s="731"/>
      <c r="K28" s="731"/>
      <c r="L28" s="974"/>
      <c r="M28" s="975">
        <f>SUM(M29:M201)</f>
        <v>0</v>
      </c>
      <c r="O28" s="934">
        <f>IF(SUM(J29:J201)=0,0,1)</f>
        <v>1</v>
      </c>
      <c r="AB28" s="980"/>
    </row>
    <row r="29" spans="1:36" ht="15" hidden="1" customHeight="1">
      <c r="B29" s="1432"/>
      <c r="C29" s="898">
        <v>226170</v>
      </c>
      <c r="D29" s="732" t="s">
        <v>1160</v>
      </c>
      <c r="E29" s="733"/>
      <c r="F29" s="733"/>
      <c r="G29" s="733"/>
      <c r="H29" s="733"/>
      <c r="I29" s="734" t="s">
        <v>178</v>
      </c>
      <c r="J29" s="755">
        <v>0</v>
      </c>
      <c r="K29" s="977">
        <f>IFERROR(_xlfn.CEILING.MATH(J29,INDEX('СВОДНАЯ СПЕЦИФИКАЦИЯ'!$C$10:$C$408,MATCH(D29,'СВОДНАЯ СПЕЦИФИКАЦИЯ'!$D$10:$D$408,0))),"Введите кол-во")</f>
        <v>0</v>
      </c>
      <c r="L29" s="978">
        <f>INDEX('СВОДНАЯ СПЕЦИФИКАЦИЯ'!$H$10:$H$408,MATCH(D29,Таблица2[Наименование материала],0))</f>
        <v>0</v>
      </c>
      <c r="M29" s="979">
        <f t="shared" si="0"/>
        <v>0</v>
      </c>
      <c r="O29" s="934">
        <f t="shared" ref="O29:O92" si="2">IF(J29=0,0,1)</f>
        <v>0</v>
      </c>
      <c r="Q29" s="984" t="s">
        <v>315</v>
      </c>
      <c r="R29" s="985"/>
      <c r="S29" s="985"/>
      <c r="T29" s="986">
        <v>40</v>
      </c>
      <c r="U29" s="985" t="s">
        <v>150</v>
      </c>
      <c r="V29" s="957"/>
      <c r="W29" s="957"/>
      <c r="X29" s="934"/>
      <c r="Y29" s="934"/>
      <c r="Z29" s="934"/>
      <c r="AA29" s="934"/>
      <c r="AB29" s="987"/>
      <c r="AC29" s="934"/>
      <c r="AD29" s="934"/>
      <c r="AE29" s="934"/>
      <c r="AF29" s="934"/>
      <c r="AG29" s="934"/>
      <c r="AH29" s="934"/>
      <c r="AI29" s="934"/>
      <c r="AJ29" s="934"/>
    </row>
    <row r="30" spans="1:36" ht="15" hidden="1" customHeight="1">
      <c r="B30" s="1432"/>
      <c r="C30" s="898">
        <v>368376</v>
      </c>
      <c r="D30" s="732" t="s">
        <v>1161</v>
      </c>
      <c r="E30" s="733"/>
      <c r="F30" s="733"/>
      <c r="G30" s="733"/>
      <c r="H30" s="733"/>
      <c r="I30" s="734" t="s">
        <v>178</v>
      </c>
      <c r="J30" s="755">
        <v>0</v>
      </c>
      <c r="K30" s="977">
        <f>IFERROR(_xlfn.CEILING.MATH(J30,INDEX('СВОДНАЯ СПЕЦИФИКАЦИЯ'!$C$10:$C$408,MATCH(D30,'СВОДНАЯ СПЕЦИФИКАЦИЯ'!$D$10:$D$408,0))),"Введите кол-во")</f>
        <v>0</v>
      </c>
      <c r="L30" s="978">
        <f>INDEX('СВОДНАЯ СПЕЦИФИКАЦИЯ'!$H$10:$H$408,MATCH(D30,Таблица2[Наименование материала],0))</f>
        <v>0</v>
      </c>
      <c r="M30" s="979">
        <f t="shared" si="0"/>
        <v>0</v>
      </c>
      <c r="O30" s="934">
        <f t="shared" si="2"/>
        <v>0</v>
      </c>
      <c r="Q30" s="984" t="s">
        <v>315</v>
      </c>
      <c r="R30" s="985"/>
      <c r="S30" s="985"/>
      <c r="T30" s="986">
        <v>50</v>
      </c>
      <c r="U30" s="985" t="s">
        <v>150</v>
      </c>
      <c r="V30" s="957"/>
      <c r="W30" s="957"/>
      <c r="X30" s="934"/>
      <c r="Y30" s="934"/>
      <c r="Z30" s="934"/>
      <c r="AA30" s="934"/>
      <c r="AB30" s="987"/>
      <c r="AC30" s="934"/>
      <c r="AD30" s="934"/>
      <c r="AE30" s="934"/>
      <c r="AF30" s="934"/>
      <c r="AG30" s="934"/>
      <c r="AH30" s="934"/>
      <c r="AI30" s="934"/>
      <c r="AJ30" s="934"/>
    </row>
    <row r="31" spans="1:36" ht="15" hidden="1" customHeight="1">
      <c r="B31" s="1432"/>
      <c r="C31" s="898">
        <v>28579</v>
      </c>
      <c r="D31" s="732" t="s">
        <v>1162</v>
      </c>
      <c r="E31" s="733"/>
      <c r="F31" s="733"/>
      <c r="G31" s="733"/>
      <c r="H31" s="733"/>
      <c r="I31" s="734" t="s">
        <v>178</v>
      </c>
      <c r="J31" s="755">
        <v>0</v>
      </c>
      <c r="K31" s="977">
        <f>IFERROR(_xlfn.CEILING.MATH(J31,INDEX('СВОДНАЯ СПЕЦИФИКАЦИЯ'!$C$10:$C$408,MATCH(D31,'СВОДНАЯ СПЕЦИФИКАЦИЯ'!$D$10:$D$408,0))),"Введите кол-во")</f>
        <v>0</v>
      </c>
      <c r="L31" s="978">
        <f>INDEX('СВОДНАЯ СПЕЦИФИКАЦИЯ'!$H$10:$H$408,MATCH(D31,Таблица2[Наименование материала],0))</f>
        <v>0</v>
      </c>
      <c r="M31" s="979">
        <f t="shared" si="0"/>
        <v>0</v>
      </c>
      <c r="O31" s="934">
        <f t="shared" si="2"/>
        <v>0</v>
      </c>
      <c r="Q31" s="984" t="s">
        <v>316</v>
      </c>
      <c r="R31" s="985"/>
      <c r="S31" s="985"/>
      <c r="T31" s="986">
        <v>50</v>
      </c>
      <c r="U31" s="985" t="s">
        <v>150</v>
      </c>
      <c r="V31" s="957"/>
      <c r="W31" s="957"/>
      <c r="X31" s="934"/>
      <c r="Y31" s="934"/>
      <c r="Z31" s="934"/>
      <c r="AA31" s="934"/>
      <c r="AB31" s="987"/>
      <c r="AC31" s="934"/>
      <c r="AD31" s="934"/>
      <c r="AE31" s="934"/>
      <c r="AF31" s="934"/>
      <c r="AG31" s="934"/>
      <c r="AH31" s="934"/>
      <c r="AI31" s="934"/>
      <c r="AJ31" s="934"/>
    </row>
    <row r="32" spans="1:36" ht="15" hidden="1" customHeight="1">
      <c r="B32" s="1432"/>
      <c r="C32" s="898">
        <v>28528</v>
      </c>
      <c r="D32" s="732" t="s">
        <v>1163</v>
      </c>
      <c r="E32" s="733"/>
      <c r="F32" s="733"/>
      <c r="G32" s="733"/>
      <c r="H32" s="733"/>
      <c r="I32" s="734" t="s">
        <v>178</v>
      </c>
      <c r="J32" s="755">
        <v>0</v>
      </c>
      <c r="K32" s="977">
        <f>IFERROR(_xlfn.CEILING.MATH(J32,INDEX('СВОДНАЯ СПЕЦИФИКАЦИЯ'!$C$10:$C$408,MATCH(D32,'СВОДНАЯ СПЕЦИФИКАЦИЯ'!$D$10:$D$408,0))),"Введите кол-во")</f>
        <v>0</v>
      </c>
      <c r="L32" s="978">
        <f>INDEX('СВОДНАЯ СПЕЦИФИКАЦИЯ'!$H$10:$H$408,MATCH(D32,Таблица2[Наименование материала],0))</f>
        <v>0</v>
      </c>
      <c r="M32" s="979">
        <f t="shared" si="0"/>
        <v>0</v>
      </c>
      <c r="O32" s="934">
        <f t="shared" si="2"/>
        <v>0</v>
      </c>
      <c r="Q32" s="984" t="s">
        <v>316</v>
      </c>
      <c r="R32" s="985"/>
      <c r="S32" s="985"/>
      <c r="T32" s="986">
        <v>60</v>
      </c>
      <c r="U32" s="985" t="s">
        <v>150</v>
      </c>
      <c r="V32" s="957"/>
      <c r="W32" s="957"/>
      <c r="X32" s="934"/>
      <c r="Y32" s="934"/>
      <c r="Z32" s="934"/>
      <c r="AA32" s="934"/>
      <c r="AB32" s="987"/>
      <c r="AC32" s="934"/>
      <c r="AD32" s="934"/>
      <c r="AE32" s="934"/>
      <c r="AF32" s="934"/>
      <c r="AG32" s="934"/>
      <c r="AH32" s="934"/>
      <c r="AI32" s="934"/>
      <c r="AJ32" s="934"/>
    </row>
    <row r="33" spans="2:36" ht="15" hidden="1" customHeight="1">
      <c r="B33" s="1432"/>
      <c r="C33" s="898">
        <v>12469</v>
      </c>
      <c r="D33" s="732" t="s">
        <v>1164</v>
      </c>
      <c r="E33" s="733"/>
      <c r="F33" s="733"/>
      <c r="G33" s="733"/>
      <c r="H33" s="733"/>
      <c r="I33" s="734" t="s">
        <v>178</v>
      </c>
      <c r="J33" s="755">
        <v>0</v>
      </c>
      <c r="K33" s="977">
        <f>IFERROR(_xlfn.CEILING.MATH(J33,INDEX('СВОДНАЯ СПЕЦИФИКАЦИЯ'!$C$10:$C$408,MATCH(D33,'СВОДНАЯ СПЕЦИФИКАЦИЯ'!$D$10:$D$408,0))),"Введите кол-во")</f>
        <v>0</v>
      </c>
      <c r="L33" s="978">
        <f>INDEX('СВОДНАЯ СПЕЦИФИКАЦИЯ'!$H$10:$H$408,MATCH(D33,Таблица2[Наименование материала],0))</f>
        <v>0</v>
      </c>
      <c r="M33" s="979">
        <f t="shared" si="0"/>
        <v>0</v>
      </c>
      <c r="O33" s="934">
        <f t="shared" si="2"/>
        <v>0</v>
      </c>
      <c r="Q33" s="984" t="s">
        <v>316</v>
      </c>
      <c r="R33" s="985"/>
      <c r="S33" s="985"/>
      <c r="T33" s="986">
        <v>70</v>
      </c>
      <c r="U33" s="985" t="s">
        <v>150</v>
      </c>
      <c r="V33" s="957"/>
      <c r="W33" s="957"/>
      <c r="X33" s="934"/>
      <c r="Y33" s="934"/>
      <c r="Z33" s="934"/>
      <c r="AA33" s="934"/>
      <c r="AB33" s="987"/>
      <c r="AC33" s="934"/>
      <c r="AD33" s="934"/>
      <c r="AE33" s="934"/>
      <c r="AF33" s="934"/>
      <c r="AG33" s="934"/>
      <c r="AH33" s="934"/>
      <c r="AI33" s="934"/>
      <c r="AJ33" s="934"/>
    </row>
    <row r="34" spans="2:36" ht="15" hidden="1" customHeight="1">
      <c r="B34" s="1432"/>
      <c r="C34" s="898">
        <v>28369</v>
      </c>
      <c r="D34" s="732" t="s">
        <v>1165</v>
      </c>
      <c r="E34" s="733"/>
      <c r="F34" s="733"/>
      <c r="G34" s="733"/>
      <c r="H34" s="733"/>
      <c r="I34" s="734" t="s">
        <v>178</v>
      </c>
      <c r="J34" s="755">
        <v>0</v>
      </c>
      <c r="K34" s="977">
        <f>IFERROR(_xlfn.CEILING.MATH(J34,INDEX('СВОДНАЯ СПЕЦИФИКАЦИЯ'!$C$10:$C$408,MATCH(D34,'СВОДНАЯ СПЕЦИФИКАЦИЯ'!$D$10:$D$408,0))),"Введите кол-во")</f>
        <v>0</v>
      </c>
      <c r="L34" s="978">
        <f>INDEX('СВОДНАЯ СПЕЦИФИКАЦИЯ'!$H$10:$H$408,MATCH(D34,Таблица2[Наименование материала],0))</f>
        <v>0</v>
      </c>
      <c r="M34" s="979">
        <f t="shared" si="0"/>
        <v>0</v>
      </c>
      <c r="O34" s="934">
        <f t="shared" si="2"/>
        <v>0</v>
      </c>
      <c r="Q34" s="984" t="s">
        <v>316</v>
      </c>
      <c r="R34" s="985"/>
      <c r="S34" s="985"/>
      <c r="T34" s="986">
        <v>80</v>
      </c>
      <c r="U34" s="985" t="s">
        <v>150</v>
      </c>
      <c r="V34" s="957"/>
      <c r="W34" s="957"/>
      <c r="X34" s="934"/>
      <c r="Y34" s="934"/>
      <c r="Z34" s="934"/>
      <c r="AA34" s="934"/>
      <c r="AB34" s="987"/>
      <c r="AC34" s="934"/>
      <c r="AD34" s="934"/>
      <c r="AE34" s="934"/>
      <c r="AF34" s="934"/>
      <c r="AG34" s="934"/>
      <c r="AH34" s="934"/>
      <c r="AI34" s="934"/>
      <c r="AJ34" s="934"/>
    </row>
    <row r="35" spans="2:36" ht="15" hidden="1" customHeight="1">
      <c r="B35" s="1432"/>
      <c r="C35" s="898">
        <v>29639</v>
      </c>
      <c r="D35" s="732" t="s">
        <v>1166</v>
      </c>
      <c r="E35" s="733"/>
      <c r="F35" s="733"/>
      <c r="G35" s="733"/>
      <c r="H35" s="733"/>
      <c r="I35" s="734" t="s">
        <v>178</v>
      </c>
      <c r="J35" s="755">
        <v>0</v>
      </c>
      <c r="K35" s="977">
        <f>IFERROR(_xlfn.CEILING.MATH(J35,INDEX('СВОДНАЯ СПЕЦИФИКАЦИЯ'!$C$10:$C$408,MATCH(D35,'СВОДНАЯ СПЕЦИФИКАЦИЯ'!$D$10:$D$408,0))),"Введите кол-во")</f>
        <v>0</v>
      </c>
      <c r="L35" s="978">
        <f>INDEX('СВОДНАЯ СПЕЦИФИКАЦИЯ'!$H$10:$H$408,MATCH(D35,Таблица2[Наименование материала],0))</f>
        <v>0</v>
      </c>
      <c r="M35" s="979">
        <f t="shared" si="0"/>
        <v>0</v>
      </c>
      <c r="O35" s="934">
        <f t="shared" si="2"/>
        <v>0</v>
      </c>
      <c r="Q35" s="984" t="s">
        <v>316</v>
      </c>
      <c r="R35" s="985"/>
      <c r="S35" s="985"/>
      <c r="T35" s="986">
        <v>90</v>
      </c>
      <c r="U35" s="985" t="s">
        <v>150</v>
      </c>
      <c r="V35" s="957"/>
      <c r="W35" s="957"/>
      <c r="X35" s="934"/>
      <c r="Y35" s="934"/>
      <c r="Z35" s="934"/>
      <c r="AA35" s="934"/>
      <c r="AB35" s="987"/>
      <c r="AC35" s="934"/>
      <c r="AD35" s="934"/>
      <c r="AE35" s="934"/>
      <c r="AF35" s="934"/>
      <c r="AG35" s="934"/>
      <c r="AH35" s="934"/>
      <c r="AI35" s="934"/>
      <c r="AJ35" s="934"/>
    </row>
    <row r="36" spans="2:36" ht="15" hidden="1" customHeight="1">
      <c r="B36" s="1432"/>
      <c r="C36" s="898">
        <v>78389</v>
      </c>
      <c r="D36" s="732" t="s">
        <v>1167</v>
      </c>
      <c r="E36" s="733"/>
      <c r="F36" s="733"/>
      <c r="G36" s="733"/>
      <c r="H36" s="733"/>
      <c r="I36" s="734" t="s">
        <v>178</v>
      </c>
      <c r="J36" s="755">
        <v>0</v>
      </c>
      <c r="K36" s="977">
        <f>IFERROR(_xlfn.CEILING.MATH(J36,INDEX('СВОДНАЯ СПЕЦИФИКАЦИЯ'!$C$10:$C$408,MATCH(D36,'СВОДНАЯ СПЕЦИФИКАЦИЯ'!$D$10:$D$408,0))),"Введите кол-во")</f>
        <v>0</v>
      </c>
      <c r="L36" s="978">
        <f>INDEX('СВОДНАЯ СПЕЦИФИКАЦИЯ'!$H$10:$H$408,MATCH(D36,Таблица2[Наименование материала],0))</f>
        <v>0</v>
      </c>
      <c r="M36" s="979">
        <f t="shared" si="0"/>
        <v>0</v>
      </c>
      <c r="O36" s="934">
        <f t="shared" si="2"/>
        <v>0</v>
      </c>
      <c r="Q36" s="984" t="s">
        <v>316</v>
      </c>
      <c r="R36" s="985"/>
      <c r="S36" s="985"/>
      <c r="T36" s="986">
        <v>100</v>
      </c>
      <c r="U36" s="985" t="s">
        <v>150</v>
      </c>
      <c r="V36" s="957"/>
      <c r="W36" s="957"/>
      <c r="X36" s="934"/>
      <c r="Y36" s="934"/>
      <c r="Z36" s="934"/>
      <c r="AA36" s="934"/>
      <c r="AB36" s="987"/>
      <c r="AC36" s="934"/>
      <c r="AD36" s="934"/>
      <c r="AE36" s="934"/>
      <c r="AF36" s="934"/>
      <c r="AG36" s="934"/>
      <c r="AH36" s="934"/>
      <c r="AI36" s="934"/>
      <c r="AJ36" s="934"/>
    </row>
    <row r="37" spans="2:36" ht="15" hidden="1" customHeight="1">
      <c r="B37" s="1432"/>
      <c r="C37" s="898">
        <v>25304</v>
      </c>
      <c r="D37" s="732" t="s">
        <v>1168</v>
      </c>
      <c r="E37" s="733"/>
      <c r="F37" s="733"/>
      <c r="G37" s="733"/>
      <c r="H37" s="733"/>
      <c r="I37" s="734" t="s">
        <v>178</v>
      </c>
      <c r="J37" s="755">
        <v>0</v>
      </c>
      <c r="K37" s="977">
        <f>IFERROR(_xlfn.CEILING.MATH(J37,INDEX('СВОДНАЯ СПЕЦИФИКАЦИЯ'!$C$10:$C$408,MATCH(D37,'СВОДНАЯ СПЕЦИФИКАЦИЯ'!$D$10:$D$408,0))),"Введите кол-во")</f>
        <v>0</v>
      </c>
      <c r="L37" s="978">
        <f>INDEX('СВОДНАЯ СПЕЦИФИКАЦИЯ'!$H$10:$H$408,MATCH(D37,Таблица2[Наименование материала],0))</f>
        <v>0</v>
      </c>
      <c r="M37" s="979">
        <f t="shared" si="0"/>
        <v>0</v>
      </c>
      <c r="O37" s="934">
        <f t="shared" si="2"/>
        <v>0</v>
      </c>
      <c r="Q37" s="984" t="s">
        <v>316</v>
      </c>
      <c r="R37" s="985"/>
      <c r="S37" s="985"/>
      <c r="T37" s="986">
        <v>110</v>
      </c>
      <c r="U37" s="985" t="s">
        <v>150</v>
      </c>
      <c r="V37" s="957"/>
      <c r="W37" s="957"/>
      <c r="X37" s="934"/>
      <c r="Y37" s="934"/>
      <c r="Z37" s="934"/>
      <c r="AA37" s="934"/>
      <c r="AB37" s="987"/>
      <c r="AC37" s="934"/>
      <c r="AD37" s="934"/>
      <c r="AE37" s="934"/>
      <c r="AF37" s="934"/>
      <c r="AG37" s="934"/>
      <c r="AH37" s="934"/>
      <c r="AI37" s="934"/>
      <c r="AJ37" s="934"/>
    </row>
    <row r="38" spans="2:36" ht="15" hidden="1" customHeight="1">
      <c r="B38" s="1432"/>
      <c r="C38" s="898">
        <v>28737</v>
      </c>
      <c r="D38" s="732" t="s">
        <v>1169</v>
      </c>
      <c r="E38" s="733"/>
      <c r="F38" s="733"/>
      <c r="G38" s="733"/>
      <c r="H38" s="733"/>
      <c r="I38" s="734" t="s">
        <v>178</v>
      </c>
      <c r="J38" s="755">
        <v>0</v>
      </c>
      <c r="K38" s="977">
        <f>IFERROR(_xlfn.CEILING.MATH(J38,INDEX('СВОДНАЯ СПЕЦИФИКАЦИЯ'!$C$10:$C$408,MATCH(D38,'СВОДНАЯ СПЕЦИФИКАЦИЯ'!$D$10:$D$408,0))),"Введите кол-во")</f>
        <v>0</v>
      </c>
      <c r="L38" s="978">
        <f>INDEX('СВОДНАЯ СПЕЦИФИКАЦИЯ'!$H$10:$H$408,MATCH(D38,Таблица2[Наименование материала],0))</f>
        <v>0</v>
      </c>
      <c r="M38" s="979">
        <f t="shared" si="0"/>
        <v>0</v>
      </c>
      <c r="O38" s="934">
        <f t="shared" si="2"/>
        <v>0</v>
      </c>
      <c r="Q38" s="984" t="s">
        <v>316</v>
      </c>
      <c r="R38" s="985"/>
      <c r="S38" s="985"/>
      <c r="T38" s="986">
        <v>120</v>
      </c>
      <c r="U38" s="985" t="s">
        <v>150</v>
      </c>
      <c r="V38" s="957"/>
      <c r="W38" s="957"/>
      <c r="X38" s="934"/>
      <c r="Y38" s="934"/>
      <c r="Z38" s="934"/>
      <c r="AA38" s="934"/>
      <c r="AB38" s="987"/>
      <c r="AC38" s="934"/>
      <c r="AD38" s="934"/>
      <c r="AE38" s="934"/>
      <c r="AF38" s="934"/>
      <c r="AG38" s="934"/>
      <c r="AH38" s="934"/>
      <c r="AI38" s="934"/>
      <c r="AJ38" s="934"/>
    </row>
    <row r="39" spans="2:36" ht="15" hidden="1" customHeight="1">
      <c r="B39" s="1432"/>
      <c r="C39" s="898">
        <v>31625</v>
      </c>
      <c r="D39" s="732" t="s">
        <v>1170</v>
      </c>
      <c r="E39" s="733"/>
      <c r="F39" s="733"/>
      <c r="G39" s="733"/>
      <c r="H39" s="733"/>
      <c r="I39" s="734" t="s">
        <v>178</v>
      </c>
      <c r="J39" s="755">
        <v>0</v>
      </c>
      <c r="K39" s="977">
        <f>IFERROR(_xlfn.CEILING.MATH(J39,INDEX('СВОДНАЯ СПЕЦИФИКАЦИЯ'!$C$10:$C$408,MATCH(D39,'СВОДНАЯ СПЕЦИФИКАЦИЯ'!$D$10:$D$408,0))),"Введите кол-во")</f>
        <v>0</v>
      </c>
      <c r="L39" s="978">
        <f>INDEX('СВОДНАЯ СПЕЦИФИКАЦИЯ'!$H$10:$H$408,MATCH(D39,Таблица2[Наименование материала],0))</f>
        <v>0</v>
      </c>
      <c r="M39" s="979">
        <f t="shared" si="0"/>
        <v>0</v>
      </c>
      <c r="O39" s="934">
        <f t="shared" si="2"/>
        <v>0</v>
      </c>
      <c r="Q39" s="984" t="s">
        <v>316</v>
      </c>
      <c r="R39" s="985"/>
      <c r="S39" s="985"/>
      <c r="T39" s="986">
        <v>130</v>
      </c>
      <c r="U39" s="985" t="s">
        <v>150</v>
      </c>
      <c r="V39" s="957"/>
      <c r="W39" s="957"/>
      <c r="X39" s="934"/>
      <c r="Y39" s="934"/>
      <c r="Z39" s="934"/>
      <c r="AA39" s="934"/>
      <c r="AB39" s="987"/>
      <c r="AC39" s="934"/>
      <c r="AD39" s="934"/>
      <c r="AE39" s="934"/>
      <c r="AF39" s="934"/>
      <c r="AG39" s="934"/>
      <c r="AH39" s="934"/>
      <c r="AI39" s="934"/>
      <c r="AJ39" s="934"/>
    </row>
    <row r="40" spans="2:36" ht="15" hidden="1" customHeight="1">
      <c r="B40" s="1432"/>
      <c r="C40" s="898">
        <v>12468</v>
      </c>
      <c r="D40" s="732" t="s">
        <v>1171</v>
      </c>
      <c r="E40" s="733"/>
      <c r="F40" s="733"/>
      <c r="G40" s="733"/>
      <c r="H40" s="733"/>
      <c r="I40" s="734" t="s">
        <v>178</v>
      </c>
      <c r="J40" s="755">
        <v>0</v>
      </c>
      <c r="K40" s="977">
        <f>IFERROR(_xlfn.CEILING.MATH(J40,INDEX('СВОДНАЯ СПЕЦИФИКАЦИЯ'!$C$10:$C$408,MATCH(D40,'СВОДНАЯ СПЕЦИФИКАЦИЯ'!$D$10:$D$408,0))),"Введите кол-во")</f>
        <v>0</v>
      </c>
      <c r="L40" s="978">
        <f>INDEX('СВОДНАЯ СПЕЦИФИКАЦИЯ'!$H$10:$H$408,MATCH(D40,Таблица2[Наименование материала],0))</f>
        <v>0</v>
      </c>
      <c r="M40" s="979">
        <f t="shared" si="0"/>
        <v>0</v>
      </c>
      <c r="O40" s="934">
        <f t="shared" si="2"/>
        <v>0</v>
      </c>
      <c r="Q40" s="984" t="s">
        <v>316</v>
      </c>
      <c r="R40" s="985"/>
      <c r="S40" s="985"/>
      <c r="T40" s="986">
        <v>140</v>
      </c>
      <c r="U40" s="985" t="s">
        <v>150</v>
      </c>
      <c r="V40" s="957"/>
      <c r="W40" s="957"/>
      <c r="X40" s="934"/>
      <c r="Y40" s="934"/>
      <c r="Z40" s="934"/>
      <c r="AA40" s="934"/>
      <c r="AB40" s="987"/>
      <c r="AC40" s="934"/>
      <c r="AD40" s="934"/>
      <c r="AE40" s="934"/>
      <c r="AF40" s="934"/>
      <c r="AG40" s="934"/>
      <c r="AH40" s="934"/>
      <c r="AI40" s="934"/>
      <c r="AJ40" s="934"/>
    </row>
    <row r="41" spans="2:36" ht="15" hidden="1" customHeight="1">
      <c r="B41" s="1432"/>
      <c r="C41" s="898">
        <v>37612</v>
      </c>
      <c r="D41" s="732" t="s">
        <v>1172</v>
      </c>
      <c r="E41" s="733"/>
      <c r="F41" s="733"/>
      <c r="G41" s="733"/>
      <c r="H41" s="733"/>
      <c r="I41" s="734" t="s">
        <v>178</v>
      </c>
      <c r="J41" s="755">
        <v>0</v>
      </c>
      <c r="K41" s="977">
        <f>IFERROR(_xlfn.CEILING.MATH(J41,INDEX('СВОДНАЯ СПЕЦИФИКАЦИЯ'!$C$10:$C$408,MATCH(D41,'СВОДНАЯ СПЕЦИФИКАЦИЯ'!$D$10:$D$408,0))),"Введите кол-во")</f>
        <v>0</v>
      </c>
      <c r="L41" s="978">
        <f>INDEX('СВОДНАЯ СПЕЦИФИКАЦИЯ'!$H$10:$H$408,MATCH(D41,Таблица2[Наименование материала],0))</f>
        <v>0</v>
      </c>
      <c r="M41" s="979">
        <f t="shared" si="0"/>
        <v>0</v>
      </c>
      <c r="O41" s="934">
        <f t="shared" si="2"/>
        <v>0</v>
      </c>
      <c r="Q41" s="984" t="s">
        <v>316</v>
      </c>
      <c r="R41" s="985"/>
      <c r="S41" s="985"/>
      <c r="T41" s="986">
        <v>150</v>
      </c>
      <c r="U41" s="985" t="s">
        <v>150</v>
      </c>
      <c r="V41" s="957"/>
      <c r="W41" s="957"/>
      <c r="X41" s="934"/>
      <c r="Y41" s="934"/>
      <c r="Z41" s="934"/>
      <c r="AA41" s="934"/>
      <c r="AB41" s="987"/>
      <c r="AC41" s="934"/>
      <c r="AD41" s="934"/>
      <c r="AE41" s="934"/>
      <c r="AF41" s="934"/>
      <c r="AG41" s="934"/>
      <c r="AH41" s="934"/>
      <c r="AI41" s="934"/>
      <c r="AJ41" s="934"/>
    </row>
    <row r="42" spans="2:36" ht="15" hidden="1" customHeight="1">
      <c r="B42" s="1432"/>
      <c r="C42" s="898">
        <v>36476</v>
      </c>
      <c r="D42" s="732" t="s">
        <v>1173</v>
      </c>
      <c r="E42" s="733"/>
      <c r="F42" s="733"/>
      <c r="G42" s="733"/>
      <c r="H42" s="733"/>
      <c r="I42" s="734" t="s">
        <v>178</v>
      </c>
      <c r="J42" s="755">
        <v>0</v>
      </c>
      <c r="K42" s="977">
        <f>IFERROR(_xlfn.CEILING.MATH(J42,INDEX('СВОДНАЯ СПЕЦИФИКАЦИЯ'!$C$10:$C$408,MATCH(D42,'СВОДНАЯ СПЕЦИФИКАЦИЯ'!$D$10:$D$408,0))),"Введите кол-во")</f>
        <v>0</v>
      </c>
      <c r="L42" s="978">
        <f>INDEX('СВОДНАЯ СПЕЦИФИКАЦИЯ'!$H$10:$H$408,MATCH(D42,Таблица2[Наименование материала],0))</f>
        <v>0</v>
      </c>
      <c r="M42" s="979">
        <f t="shared" si="0"/>
        <v>0</v>
      </c>
      <c r="O42" s="934">
        <f t="shared" si="2"/>
        <v>0</v>
      </c>
      <c r="Q42" s="984" t="s">
        <v>316</v>
      </c>
      <c r="R42" s="985"/>
      <c r="S42" s="985"/>
      <c r="T42" s="986">
        <v>160</v>
      </c>
      <c r="U42" s="985" t="s">
        <v>150</v>
      </c>
      <c r="V42" s="957"/>
      <c r="W42" s="957"/>
      <c r="X42" s="934"/>
      <c r="Y42" s="934"/>
      <c r="Z42" s="934"/>
      <c r="AA42" s="934"/>
      <c r="AB42" s="987"/>
      <c r="AC42" s="934"/>
      <c r="AD42" s="934"/>
      <c r="AE42" s="934"/>
      <c r="AF42" s="934"/>
      <c r="AG42" s="934"/>
      <c r="AH42" s="934"/>
      <c r="AI42" s="934"/>
      <c r="AJ42" s="934"/>
    </row>
    <row r="43" spans="2:36" ht="15" hidden="1" customHeight="1">
      <c r="B43" s="1432"/>
      <c r="C43" s="898">
        <v>210571</v>
      </c>
      <c r="D43" s="732" t="s">
        <v>1174</v>
      </c>
      <c r="E43" s="733"/>
      <c r="F43" s="733"/>
      <c r="G43" s="733"/>
      <c r="H43" s="733"/>
      <c r="I43" s="734" t="s">
        <v>178</v>
      </c>
      <c r="J43" s="755">
        <v>0</v>
      </c>
      <c r="K43" s="977">
        <f>IFERROR(_xlfn.CEILING.MATH(J43,INDEX('СВОДНАЯ СПЕЦИФИКАЦИЯ'!$C$10:$C$408,MATCH(D43,'СВОДНАЯ СПЕЦИФИКАЦИЯ'!$D$10:$D$408,0))),"Введите кол-во")</f>
        <v>0</v>
      </c>
      <c r="L43" s="978">
        <f>INDEX('СВОДНАЯ СПЕЦИФИКАЦИЯ'!$H$10:$H$408,MATCH(D43,Таблица2[Наименование материала],0))</f>
        <v>0</v>
      </c>
      <c r="M43" s="979">
        <f t="shared" si="0"/>
        <v>0</v>
      </c>
      <c r="O43" s="934">
        <f t="shared" si="2"/>
        <v>0</v>
      </c>
      <c r="Q43" s="984" t="s">
        <v>316</v>
      </c>
      <c r="R43" s="985"/>
      <c r="S43" s="985"/>
      <c r="T43" s="986">
        <v>170</v>
      </c>
      <c r="U43" s="985" t="s">
        <v>150</v>
      </c>
      <c r="V43" s="957"/>
      <c r="W43" s="957"/>
      <c r="X43" s="934"/>
      <c r="Y43" s="934"/>
      <c r="Z43" s="934"/>
      <c r="AA43" s="934"/>
      <c r="AB43" s="987"/>
      <c r="AC43" s="934"/>
      <c r="AD43" s="934"/>
      <c r="AE43" s="934"/>
      <c r="AF43" s="934"/>
      <c r="AG43" s="934"/>
      <c r="AH43" s="934"/>
      <c r="AI43" s="934"/>
      <c r="AJ43" s="934"/>
    </row>
    <row r="44" spans="2:36" ht="15" hidden="1" customHeight="1">
      <c r="B44" s="1432"/>
      <c r="C44" s="898">
        <v>345526</v>
      </c>
      <c r="D44" s="732" t="s">
        <v>1175</v>
      </c>
      <c r="E44" s="733"/>
      <c r="F44" s="733"/>
      <c r="G44" s="733"/>
      <c r="H44" s="733"/>
      <c r="I44" s="734" t="s">
        <v>178</v>
      </c>
      <c r="J44" s="755">
        <v>0</v>
      </c>
      <c r="K44" s="977">
        <f>IFERROR(_xlfn.CEILING.MATH(J44,INDEX('СВОДНАЯ СПЕЦИФИКАЦИЯ'!$C$10:$C$408,MATCH(D44,'СВОДНАЯ СПЕЦИФИКАЦИЯ'!$D$10:$D$408,0))),"Введите кол-во")</f>
        <v>0</v>
      </c>
      <c r="L44" s="978">
        <f>INDEX('СВОДНАЯ СПЕЦИФИКАЦИЯ'!$H$10:$H$408,MATCH(D44,Таблица2[Наименование материала],0))</f>
        <v>0</v>
      </c>
      <c r="M44" s="979">
        <f t="shared" si="0"/>
        <v>0</v>
      </c>
      <c r="O44" s="934">
        <f t="shared" si="2"/>
        <v>0</v>
      </c>
      <c r="Q44" s="984" t="s">
        <v>316</v>
      </c>
      <c r="R44" s="985"/>
      <c r="S44" s="985"/>
      <c r="T44" s="986">
        <v>180</v>
      </c>
      <c r="U44" s="985" t="s">
        <v>150</v>
      </c>
      <c r="V44" s="957"/>
      <c r="W44" s="957"/>
      <c r="X44" s="934"/>
      <c r="Y44" s="934"/>
      <c r="Z44" s="934"/>
      <c r="AA44" s="934"/>
      <c r="AB44" s="987"/>
      <c r="AC44" s="934"/>
      <c r="AD44" s="934"/>
      <c r="AE44" s="934"/>
      <c r="AF44" s="934"/>
      <c r="AG44" s="934"/>
      <c r="AH44" s="934"/>
      <c r="AI44" s="934"/>
      <c r="AJ44" s="934"/>
    </row>
    <row r="45" spans="2:36" ht="15" hidden="1" customHeight="1">
      <c r="B45" s="1432"/>
      <c r="C45" s="898">
        <v>365338</v>
      </c>
      <c r="D45" s="732" t="s">
        <v>1176</v>
      </c>
      <c r="E45" s="733"/>
      <c r="F45" s="733"/>
      <c r="G45" s="733"/>
      <c r="H45" s="733"/>
      <c r="I45" s="734" t="s">
        <v>178</v>
      </c>
      <c r="J45" s="755">
        <v>0</v>
      </c>
      <c r="K45" s="977">
        <f>IFERROR(_xlfn.CEILING.MATH(J45,INDEX('СВОДНАЯ СПЕЦИФИКАЦИЯ'!$C$10:$C$408,MATCH(D45,'СВОДНАЯ СПЕЦИФИКАЦИЯ'!$D$10:$D$408,0))),"Введите кол-во")</f>
        <v>0</v>
      </c>
      <c r="L45" s="978">
        <f>INDEX('СВОДНАЯ СПЕЦИФИКАЦИЯ'!$H$10:$H$408,MATCH(D45,Таблица2[Наименование материала],0))</f>
        <v>0</v>
      </c>
      <c r="M45" s="979">
        <f t="shared" si="0"/>
        <v>0</v>
      </c>
      <c r="O45" s="934">
        <f t="shared" si="2"/>
        <v>0</v>
      </c>
      <c r="Q45" s="984" t="s">
        <v>319</v>
      </c>
      <c r="R45" s="985"/>
      <c r="S45" s="985"/>
      <c r="T45" s="986">
        <v>50</v>
      </c>
      <c r="U45" s="985" t="s">
        <v>150</v>
      </c>
      <c r="V45" s="957"/>
      <c r="W45" s="957"/>
      <c r="X45" s="934"/>
      <c r="Y45" s="934"/>
      <c r="Z45" s="934"/>
      <c r="AA45" s="934"/>
      <c r="AB45" s="987"/>
      <c r="AC45" s="934"/>
      <c r="AD45" s="934"/>
      <c r="AE45" s="934"/>
      <c r="AF45" s="934"/>
      <c r="AG45" s="934"/>
      <c r="AH45" s="934"/>
      <c r="AI45" s="934"/>
      <c r="AJ45" s="934"/>
    </row>
    <row r="46" spans="2:36" ht="15" hidden="1" customHeight="1">
      <c r="B46" s="1432"/>
      <c r="C46" s="898">
        <v>13652</v>
      </c>
      <c r="D46" s="732" t="s">
        <v>1177</v>
      </c>
      <c r="E46" s="733"/>
      <c r="F46" s="733"/>
      <c r="G46" s="733"/>
      <c r="H46" s="733"/>
      <c r="I46" s="734" t="s">
        <v>178</v>
      </c>
      <c r="J46" s="755">
        <v>0</v>
      </c>
      <c r="K46" s="977">
        <f>IFERROR(_xlfn.CEILING.MATH(J46,INDEX('СВОДНАЯ СПЕЦИФИКАЦИЯ'!$C$10:$C$408,MATCH(D46,'СВОДНАЯ СПЕЦИФИКАЦИЯ'!$D$10:$D$408,0))),"Введите кол-во")</f>
        <v>0</v>
      </c>
      <c r="L46" s="978">
        <f>INDEX('СВОДНАЯ СПЕЦИФИКАЦИЯ'!$H$10:$H$408,MATCH(D46,Таблица2[Наименование материала],0))</f>
        <v>0</v>
      </c>
      <c r="M46" s="979">
        <f t="shared" si="0"/>
        <v>0</v>
      </c>
      <c r="O46" s="934">
        <f t="shared" si="2"/>
        <v>0</v>
      </c>
      <c r="Q46" s="984" t="s">
        <v>319</v>
      </c>
      <c r="R46" s="985"/>
      <c r="S46" s="985"/>
      <c r="T46" s="986">
        <v>60</v>
      </c>
      <c r="U46" s="985" t="s">
        <v>150</v>
      </c>
      <c r="V46" s="957"/>
      <c r="W46" s="957"/>
      <c r="X46" s="934"/>
      <c r="Y46" s="934"/>
      <c r="Z46" s="934"/>
      <c r="AA46" s="934"/>
      <c r="AB46" s="987"/>
      <c r="AC46" s="934"/>
      <c r="AD46" s="934"/>
      <c r="AE46" s="934"/>
      <c r="AF46" s="934"/>
      <c r="AG46" s="934"/>
      <c r="AH46" s="934"/>
      <c r="AI46" s="934"/>
      <c r="AJ46" s="934"/>
    </row>
    <row r="47" spans="2:36" ht="15" hidden="1" customHeight="1">
      <c r="B47" s="1432"/>
      <c r="C47" s="898">
        <v>21317</v>
      </c>
      <c r="D47" s="732" t="s">
        <v>1178</v>
      </c>
      <c r="E47" s="733"/>
      <c r="F47" s="733"/>
      <c r="G47" s="733"/>
      <c r="H47" s="733"/>
      <c r="I47" s="734" t="s">
        <v>178</v>
      </c>
      <c r="J47" s="755">
        <v>0</v>
      </c>
      <c r="K47" s="977">
        <f>IFERROR(_xlfn.CEILING.MATH(J47,INDEX('СВОДНАЯ СПЕЦИФИКАЦИЯ'!$C$10:$C$408,MATCH(D47,'СВОДНАЯ СПЕЦИФИКАЦИЯ'!$D$10:$D$408,0))),"Введите кол-во")</f>
        <v>0</v>
      </c>
      <c r="L47" s="978">
        <f>INDEX('СВОДНАЯ СПЕЦИФИКАЦИЯ'!$H$10:$H$408,MATCH(D47,Таблица2[Наименование материала],0))</f>
        <v>0</v>
      </c>
      <c r="M47" s="979">
        <f t="shared" si="0"/>
        <v>0</v>
      </c>
      <c r="O47" s="934">
        <f t="shared" si="2"/>
        <v>0</v>
      </c>
      <c r="Q47" s="984" t="s">
        <v>319</v>
      </c>
      <c r="R47" s="985"/>
      <c r="S47" s="985"/>
      <c r="T47" s="986">
        <v>70</v>
      </c>
      <c r="U47" s="985" t="s">
        <v>150</v>
      </c>
      <c r="V47" s="957"/>
      <c r="W47" s="957"/>
      <c r="X47" s="934"/>
      <c r="Y47" s="934"/>
      <c r="Z47" s="934"/>
      <c r="AA47" s="934"/>
      <c r="AB47" s="987"/>
      <c r="AC47" s="934"/>
      <c r="AD47" s="934"/>
      <c r="AE47" s="934"/>
      <c r="AF47" s="934"/>
      <c r="AG47" s="934"/>
      <c r="AH47" s="934"/>
      <c r="AI47" s="934"/>
      <c r="AJ47" s="934"/>
    </row>
    <row r="48" spans="2:36" ht="15" hidden="1" customHeight="1">
      <c r="B48" s="1432"/>
      <c r="C48" s="898">
        <v>22901</v>
      </c>
      <c r="D48" s="732" t="s">
        <v>1179</v>
      </c>
      <c r="E48" s="733"/>
      <c r="F48" s="733"/>
      <c r="G48" s="733"/>
      <c r="H48" s="733"/>
      <c r="I48" s="734" t="s">
        <v>178</v>
      </c>
      <c r="J48" s="755">
        <v>0</v>
      </c>
      <c r="K48" s="977">
        <f>IFERROR(_xlfn.CEILING.MATH(J48,INDEX('СВОДНАЯ СПЕЦИФИКАЦИЯ'!$C$10:$C$408,MATCH(D48,'СВОДНАЯ СПЕЦИФИКАЦИЯ'!$D$10:$D$408,0))),"Введите кол-во")</f>
        <v>0</v>
      </c>
      <c r="L48" s="978">
        <f>INDEX('СВОДНАЯ СПЕЦИФИКАЦИЯ'!$H$10:$H$408,MATCH(D48,Таблица2[Наименование материала],0))</f>
        <v>0</v>
      </c>
      <c r="M48" s="979">
        <f t="shared" si="0"/>
        <v>0</v>
      </c>
      <c r="O48" s="934">
        <f t="shared" si="2"/>
        <v>0</v>
      </c>
      <c r="Q48" s="984" t="s">
        <v>319</v>
      </c>
      <c r="R48" s="985"/>
      <c r="S48" s="985"/>
      <c r="T48" s="986">
        <v>80</v>
      </c>
      <c r="U48" s="985" t="s">
        <v>150</v>
      </c>
      <c r="V48" s="957"/>
      <c r="W48" s="957"/>
      <c r="X48" s="934"/>
      <c r="Y48" s="934"/>
      <c r="Z48" s="934"/>
      <c r="AA48" s="934"/>
      <c r="AB48" s="987"/>
      <c r="AC48" s="934"/>
      <c r="AD48" s="934"/>
      <c r="AE48" s="934"/>
      <c r="AF48" s="934"/>
      <c r="AG48" s="934"/>
      <c r="AH48" s="934"/>
      <c r="AI48" s="934"/>
      <c r="AJ48" s="934"/>
    </row>
    <row r="49" spans="2:36" ht="15" hidden="1" customHeight="1">
      <c r="B49" s="1432"/>
      <c r="C49" s="898">
        <v>368366</v>
      </c>
      <c r="D49" s="732" t="s">
        <v>1180</v>
      </c>
      <c r="E49" s="733"/>
      <c r="F49" s="733"/>
      <c r="G49" s="733"/>
      <c r="H49" s="733"/>
      <c r="I49" s="734" t="s">
        <v>178</v>
      </c>
      <c r="J49" s="755">
        <v>0</v>
      </c>
      <c r="K49" s="977">
        <f>IFERROR(_xlfn.CEILING.MATH(J49,INDEX('СВОДНАЯ СПЕЦИФИКАЦИЯ'!$C$10:$C$408,MATCH(D49,'СВОДНАЯ СПЕЦИФИКАЦИЯ'!$D$10:$D$408,0))),"Введите кол-во")</f>
        <v>0</v>
      </c>
      <c r="L49" s="978">
        <f>INDEX('СВОДНАЯ СПЕЦИФИКАЦИЯ'!$H$10:$H$408,MATCH(D49,Таблица2[Наименование материала],0))</f>
        <v>0</v>
      </c>
      <c r="M49" s="979">
        <f t="shared" si="0"/>
        <v>0</v>
      </c>
      <c r="O49" s="934">
        <f t="shared" si="2"/>
        <v>0</v>
      </c>
      <c r="Q49" s="984" t="s">
        <v>319</v>
      </c>
      <c r="R49" s="985"/>
      <c r="S49" s="985"/>
      <c r="T49" s="986">
        <v>90</v>
      </c>
      <c r="U49" s="985" t="s">
        <v>150</v>
      </c>
      <c r="V49" s="957"/>
      <c r="W49" s="957"/>
      <c r="X49" s="934"/>
      <c r="Y49" s="934"/>
      <c r="Z49" s="934"/>
      <c r="AA49" s="934"/>
      <c r="AB49" s="987"/>
      <c r="AC49" s="934"/>
      <c r="AD49" s="934"/>
      <c r="AE49" s="934"/>
      <c r="AF49" s="934"/>
      <c r="AG49" s="934"/>
      <c r="AH49" s="934"/>
      <c r="AI49" s="934"/>
      <c r="AJ49" s="934"/>
    </row>
    <row r="50" spans="2:36" ht="15" hidden="1" customHeight="1">
      <c r="B50" s="1432"/>
      <c r="C50" s="898">
        <v>12912</v>
      </c>
      <c r="D50" s="732" t="s">
        <v>1181</v>
      </c>
      <c r="E50" s="733"/>
      <c r="F50" s="733"/>
      <c r="G50" s="733"/>
      <c r="H50" s="733"/>
      <c r="I50" s="734" t="s">
        <v>178</v>
      </c>
      <c r="J50" s="755">
        <v>0</v>
      </c>
      <c r="K50" s="977">
        <f>IFERROR(_xlfn.CEILING.MATH(J50,INDEX('СВОДНАЯ СПЕЦИФИКАЦИЯ'!$C$10:$C$408,MATCH(D50,'СВОДНАЯ СПЕЦИФИКАЦИЯ'!$D$10:$D$408,0))),"Введите кол-во")</f>
        <v>0</v>
      </c>
      <c r="L50" s="978">
        <f>INDEX('СВОДНАЯ СПЕЦИФИКАЦИЯ'!$H$10:$H$408,MATCH(D50,Таблица2[Наименование материала],0))</f>
        <v>0</v>
      </c>
      <c r="M50" s="979">
        <f t="shared" si="0"/>
        <v>0</v>
      </c>
      <c r="O50" s="934">
        <f t="shared" si="2"/>
        <v>0</v>
      </c>
      <c r="Q50" s="984" t="s">
        <v>319</v>
      </c>
      <c r="R50" s="985"/>
      <c r="S50" s="985"/>
      <c r="T50" s="986">
        <v>100</v>
      </c>
      <c r="U50" s="985" t="s">
        <v>150</v>
      </c>
      <c r="V50" s="957"/>
      <c r="W50" s="957"/>
      <c r="X50" s="934"/>
      <c r="Y50" s="934"/>
      <c r="Z50" s="934"/>
      <c r="AA50" s="934"/>
      <c r="AB50" s="987"/>
      <c r="AC50" s="934"/>
      <c r="AD50" s="934"/>
      <c r="AE50" s="934"/>
      <c r="AF50" s="934"/>
      <c r="AG50" s="934"/>
      <c r="AH50" s="934"/>
      <c r="AI50" s="934"/>
      <c r="AJ50" s="934"/>
    </row>
    <row r="51" spans="2:36" ht="15" hidden="1" customHeight="1">
      <c r="B51" s="1432"/>
      <c r="C51" s="898">
        <v>368367</v>
      </c>
      <c r="D51" s="732" t="s">
        <v>1182</v>
      </c>
      <c r="E51" s="733"/>
      <c r="F51" s="733"/>
      <c r="G51" s="733"/>
      <c r="H51" s="733"/>
      <c r="I51" s="734" t="s">
        <v>178</v>
      </c>
      <c r="J51" s="755">
        <v>0</v>
      </c>
      <c r="K51" s="977">
        <f>IFERROR(_xlfn.CEILING.MATH(J51,INDEX('СВОДНАЯ СПЕЦИФИКАЦИЯ'!$C$10:$C$408,MATCH(D51,'СВОДНАЯ СПЕЦИФИКАЦИЯ'!$D$10:$D$408,0))),"Введите кол-во")</f>
        <v>0</v>
      </c>
      <c r="L51" s="978">
        <f>INDEX('СВОДНАЯ СПЕЦИФИКАЦИЯ'!$H$10:$H$408,MATCH(D51,Таблица2[Наименование материала],0))</f>
        <v>0</v>
      </c>
      <c r="M51" s="979">
        <f t="shared" si="0"/>
        <v>0</v>
      </c>
      <c r="O51" s="934">
        <f t="shared" si="2"/>
        <v>0</v>
      </c>
      <c r="Q51" s="984" t="s">
        <v>319</v>
      </c>
      <c r="R51" s="985"/>
      <c r="S51" s="985"/>
      <c r="T51" s="986">
        <v>110</v>
      </c>
      <c r="U51" s="985" t="s">
        <v>150</v>
      </c>
      <c r="V51" s="957"/>
      <c r="W51" s="957"/>
      <c r="X51" s="934"/>
      <c r="Y51" s="934"/>
      <c r="Z51" s="934"/>
      <c r="AA51" s="934"/>
      <c r="AB51" s="987"/>
      <c r="AC51" s="934"/>
      <c r="AD51" s="934"/>
      <c r="AE51" s="934"/>
      <c r="AF51" s="934"/>
      <c r="AG51" s="934"/>
      <c r="AH51" s="934"/>
      <c r="AI51" s="934"/>
      <c r="AJ51" s="934"/>
    </row>
    <row r="52" spans="2:36" ht="15" hidden="1" customHeight="1">
      <c r="B52" s="1432"/>
      <c r="C52" s="898">
        <v>14922</v>
      </c>
      <c r="D52" s="732" t="s">
        <v>1183</v>
      </c>
      <c r="E52" s="733"/>
      <c r="F52" s="733"/>
      <c r="G52" s="733"/>
      <c r="H52" s="733"/>
      <c r="I52" s="734" t="s">
        <v>178</v>
      </c>
      <c r="J52" s="755">
        <v>0</v>
      </c>
      <c r="K52" s="977">
        <f>IFERROR(_xlfn.CEILING.MATH(J52,INDEX('СВОДНАЯ СПЕЦИФИКАЦИЯ'!$C$10:$C$408,MATCH(D52,'СВОДНАЯ СПЕЦИФИКАЦИЯ'!$D$10:$D$408,0))),"Введите кол-во")</f>
        <v>0</v>
      </c>
      <c r="L52" s="978">
        <f>INDEX('СВОДНАЯ СПЕЦИФИКАЦИЯ'!$H$10:$H$408,MATCH(D52,Таблица2[Наименование материала],0))</f>
        <v>0</v>
      </c>
      <c r="M52" s="979">
        <f t="shared" si="0"/>
        <v>0</v>
      </c>
      <c r="O52" s="934">
        <f t="shared" si="2"/>
        <v>0</v>
      </c>
      <c r="Q52" s="984" t="s">
        <v>319</v>
      </c>
      <c r="R52" s="985"/>
      <c r="S52" s="985"/>
      <c r="T52" s="986">
        <v>120</v>
      </c>
      <c r="U52" s="985" t="s">
        <v>150</v>
      </c>
      <c r="V52" s="957"/>
      <c r="W52" s="957"/>
      <c r="X52" s="934"/>
      <c r="Y52" s="934"/>
      <c r="Z52" s="934"/>
      <c r="AA52" s="934"/>
      <c r="AB52" s="987"/>
      <c r="AC52" s="934"/>
      <c r="AD52" s="934"/>
      <c r="AE52" s="934"/>
      <c r="AF52" s="934"/>
      <c r="AG52" s="934"/>
      <c r="AH52" s="934"/>
      <c r="AI52" s="934"/>
      <c r="AJ52" s="934"/>
    </row>
    <row r="53" spans="2:36" ht="15" hidden="1" customHeight="1">
      <c r="B53" s="1432"/>
      <c r="C53" s="898">
        <v>218308</v>
      </c>
      <c r="D53" s="732" t="s">
        <v>1184</v>
      </c>
      <c r="E53" s="733"/>
      <c r="F53" s="733"/>
      <c r="G53" s="733"/>
      <c r="H53" s="733"/>
      <c r="I53" s="734" t="s">
        <v>178</v>
      </c>
      <c r="J53" s="755">
        <v>0</v>
      </c>
      <c r="K53" s="977">
        <f>IFERROR(_xlfn.CEILING.MATH(J53,INDEX('СВОДНАЯ СПЕЦИФИКАЦИЯ'!$C$10:$C$408,MATCH(D53,'СВОДНАЯ СПЕЦИФИКАЦИЯ'!$D$10:$D$408,0))),"Введите кол-во")</f>
        <v>0</v>
      </c>
      <c r="L53" s="978">
        <f>INDEX('СВОДНАЯ СПЕЦИФИКАЦИЯ'!$H$10:$H$408,MATCH(D53,Таблица2[Наименование материала],0))</f>
        <v>0</v>
      </c>
      <c r="M53" s="979">
        <f t="shared" si="0"/>
        <v>0</v>
      </c>
      <c r="O53" s="934">
        <f t="shared" si="2"/>
        <v>0</v>
      </c>
      <c r="Q53" s="984" t="s">
        <v>319</v>
      </c>
      <c r="R53" s="985"/>
      <c r="S53" s="985"/>
      <c r="T53" s="986">
        <v>130</v>
      </c>
      <c r="U53" s="985" t="s">
        <v>150</v>
      </c>
      <c r="V53" s="957"/>
      <c r="W53" s="957"/>
      <c r="X53" s="934"/>
      <c r="Y53" s="934"/>
      <c r="Z53" s="934"/>
      <c r="AA53" s="934"/>
      <c r="AB53" s="987"/>
      <c r="AC53" s="934"/>
      <c r="AD53" s="934"/>
      <c r="AE53" s="934"/>
      <c r="AF53" s="934"/>
      <c r="AG53" s="934"/>
      <c r="AH53" s="934"/>
      <c r="AI53" s="934"/>
      <c r="AJ53" s="934"/>
    </row>
    <row r="54" spans="2:36" ht="15" hidden="1" customHeight="1">
      <c r="B54" s="1432"/>
      <c r="C54" s="898">
        <v>14923</v>
      </c>
      <c r="D54" s="732" t="s">
        <v>1185</v>
      </c>
      <c r="E54" s="733"/>
      <c r="F54" s="733"/>
      <c r="G54" s="733"/>
      <c r="H54" s="733"/>
      <c r="I54" s="734" t="s">
        <v>178</v>
      </c>
      <c r="J54" s="755">
        <v>0</v>
      </c>
      <c r="K54" s="977">
        <f>IFERROR(_xlfn.CEILING.MATH(J54,INDEX('СВОДНАЯ СПЕЦИФИКАЦИЯ'!$C$10:$C$408,MATCH(D54,'СВОДНАЯ СПЕЦИФИКАЦИЯ'!$D$10:$D$408,0))),"Введите кол-во")</f>
        <v>0</v>
      </c>
      <c r="L54" s="978">
        <f>INDEX('СВОДНАЯ СПЕЦИФИКАЦИЯ'!$H$10:$H$408,MATCH(D54,Таблица2[Наименование материала],0))</f>
        <v>0</v>
      </c>
      <c r="M54" s="979">
        <f t="shared" si="0"/>
        <v>0</v>
      </c>
      <c r="O54" s="934">
        <f t="shared" si="2"/>
        <v>0</v>
      </c>
      <c r="Q54" s="984" t="s">
        <v>319</v>
      </c>
      <c r="R54" s="985"/>
      <c r="S54" s="985"/>
      <c r="T54" s="986">
        <v>140</v>
      </c>
      <c r="U54" s="985" t="s">
        <v>150</v>
      </c>
      <c r="V54" s="957"/>
      <c r="W54" s="957"/>
      <c r="X54" s="934"/>
      <c r="Y54" s="934"/>
      <c r="Z54" s="934"/>
      <c r="AA54" s="934"/>
      <c r="AB54" s="987"/>
      <c r="AC54" s="934"/>
      <c r="AD54" s="934"/>
      <c r="AE54" s="934"/>
      <c r="AF54" s="934"/>
      <c r="AG54" s="934"/>
      <c r="AH54" s="934"/>
      <c r="AI54" s="934"/>
      <c r="AJ54" s="934"/>
    </row>
    <row r="55" spans="2:36" ht="15" hidden="1" customHeight="1">
      <c r="B55" s="1432"/>
      <c r="C55" s="898">
        <v>326861</v>
      </c>
      <c r="D55" s="732" t="s">
        <v>1186</v>
      </c>
      <c r="E55" s="733"/>
      <c r="F55" s="733"/>
      <c r="G55" s="733"/>
      <c r="H55" s="733"/>
      <c r="I55" s="734" t="s">
        <v>178</v>
      </c>
      <c r="J55" s="755">
        <v>0</v>
      </c>
      <c r="K55" s="977">
        <f>IFERROR(_xlfn.CEILING.MATH(J55,INDEX('СВОДНАЯ СПЕЦИФИКАЦИЯ'!$C$10:$C$408,MATCH(D55,'СВОДНАЯ СПЕЦИФИКАЦИЯ'!$D$10:$D$408,0))),"Введите кол-во")</f>
        <v>0</v>
      </c>
      <c r="L55" s="978">
        <f>INDEX('СВОДНАЯ СПЕЦИФИКАЦИЯ'!$H$10:$H$408,MATCH(D55,Таблица2[Наименование материала],0))</f>
        <v>0</v>
      </c>
      <c r="M55" s="979">
        <f t="shared" si="0"/>
        <v>0</v>
      </c>
      <c r="O55" s="934">
        <f t="shared" si="2"/>
        <v>0</v>
      </c>
      <c r="Q55" s="984" t="s">
        <v>319</v>
      </c>
      <c r="R55" s="985"/>
      <c r="S55" s="985"/>
      <c r="T55" s="986">
        <v>150</v>
      </c>
      <c r="U55" s="985" t="s">
        <v>150</v>
      </c>
      <c r="V55" s="957"/>
      <c r="W55" s="957"/>
      <c r="X55" s="934"/>
      <c r="Y55" s="934"/>
      <c r="Z55" s="934"/>
      <c r="AA55" s="934"/>
      <c r="AB55" s="987"/>
      <c r="AC55" s="934"/>
      <c r="AD55" s="934"/>
      <c r="AE55" s="934"/>
      <c r="AF55" s="934"/>
      <c r="AG55" s="934"/>
      <c r="AH55" s="934"/>
      <c r="AI55" s="934"/>
      <c r="AJ55" s="934"/>
    </row>
    <row r="56" spans="2:36" ht="15" hidden="1" customHeight="1">
      <c r="B56" s="1432"/>
      <c r="C56" s="898">
        <v>494969</v>
      </c>
      <c r="D56" s="732" t="s">
        <v>1187</v>
      </c>
      <c r="E56" s="733"/>
      <c r="F56" s="733"/>
      <c r="G56" s="733"/>
      <c r="H56" s="733"/>
      <c r="I56" s="734" t="s">
        <v>178</v>
      </c>
      <c r="J56" s="755">
        <v>0</v>
      </c>
      <c r="K56" s="977">
        <f>IFERROR(_xlfn.CEILING.MATH(J56,INDEX('СВОДНАЯ СПЕЦИФИКАЦИЯ'!$C$10:$C$408,MATCH(D56,'СВОДНАЯ СПЕЦИФИКАЦИЯ'!$D$10:$D$408,0))),"Введите кол-во")</f>
        <v>0</v>
      </c>
      <c r="L56" s="978">
        <f>INDEX('СВОДНАЯ СПЕЦИФИКАЦИЯ'!$H$10:$H$408,MATCH(D56,Таблица2[Наименование материала],0))</f>
        <v>0</v>
      </c>
      <c r="M56" s="979">
        <f t="shared" si="0"/>
        <v>0</v>
      </c>
      <c r="O56" s="934">
        <f t="shared" si="2"/>
        <v>0</v>
      </c>
      <c r="Q56" s="988" t="s">
        <v>320</v>
      </c>
      <c r="R56" s="985"/>
      <c r="S56" s="985"/>
      <c r="T56" s="986">
        <v>40</v>
      </c>
      <c r="U56" s="985" t="s">
        <v>150</v>
      </c>
      <c r="V56" s="957"/>
      <c r="W56" s="957"/>
      <c r="X56" s="934"/>
      <c r="Y56" s="934"/>
      <c r="Z56" s="934"/>
      <c r="AA56" s="934"/>
      <c r="AB56" s="987"/>
      <c r="AC56" s="934"/>
      <c r="AD56" s="934"/>
      <c r="AE56" s="934"/>
      <c r="AF56" s="934"/>
      <c r="AG56" s="934"/>
      <c r="AH56" s="934"/>
      <c r="AI56" s="934"/>
      <c r="AJ56" s="934"/>
    </row>
    <row r="57" spans="2:36" ht="15" hidden="1" customHeight="1">
      <c r="B57" s="1432"/>
      <c r="C57" s="898">
        <v>494970</v>
      </c>
      <c r="D57" s="732" t="s">
        <v>1188</v>
      </c>
      <c r="E57" s="733"/>
      <c r="F57" s="733"/>
      <c r="G57" s="733"/>
      <c r="H57" s="733"/>
      <c r="I57" s="734" t="s">
        <v>178</v>
      </c>
      <c r="J57" s="755">
        <v>0</v>
      </c>
      <c r="K57" s="977">
        <f>IFERROR(_xlfn.CEILING.MATH(J57,INDEX('СВОДНАЯ СПЕЦИФИКАЦИЯ'!$C$10:$C$408,MATCH(D57,'СВОДНАЯ СПЕЦИФИКАЦИЯ'!$D$10:$D$408,0))),"Введите кол-во")</f>
        <v>0</v>
      </c>
      <c r="L57" s="978">
        <f>INDEX('СВОДНАЯ СПЕЦИФИКАЦИЯ'!$H$10:$H$408,MATCH(D57,Таблица2[Наименование материала],0))</f>
        <v>0</v>
      </c>
      <c r="M57" s="979">
        <f t="shared" si="0"/>
        <v>0</v>
      </c>
      <c r="O57" s="934">
        <f t="shared" si="2"/>
        <v>0</v>
      </c>
      <c r="Q57" s="988" t="s">
        <v>320</v>
      </c>
      <c r="R57" s="985"/>
      <c r="S57" s="985"/>
      <c r="T57" s="986">
        <v>50</v>
      </c>
      <c r="U57" s="985" t="s">
        <v>150</v>
      </c>
      <c r="V57" s="957"/>
      <c r="W57" s="957"/>
      <c r="X57" s="934"/>
      <c r="Y57" s="934"/>
      <c r="Z57" s="934"/>
      <c r="AA57" s="934"/>
      <c r="AB57" s="987"/>
      <c r="AC57" s="934"/>
      <c r="AD57" s="934"/>
      <c r="AE57" s="934"/>
      <c r="AF57" s="934"/>
      <c r="AG57" s="934"/>
      <c r="AH57" s="934"/>
      <c r="AI57" s="934"/>
      <c r="AJ57" s="934"/>
    </row>
    <row r="58" spans="2:36" ht="15" hidden="1" customHeight="1">
      <c r="B58" s="1432"/>
      <c r="C58" s="898">
        <v>494971</v>
      </c>
      <c r="D58" s="732" t="s">
        <v>1189</v>
      </c>
      <c r="E58" s="733"/>
      <c r="F58" s="733"/>
      <c r="G58" s="733"/>
      <c r="H58" s="733"/>
      <c r="I58" s="734" t="s">
        <v>178</v>
      </c>
      <c r="J58" s="755">
        <v>0</v>
      </c>
      <c r="K58" s="977">
        <f>IFERROR(_xlfn.CEILING.MATH(J58,INDEX('СВОДНАЯ СПЕЦИФИКАЦИЯ'!$C$10:$C$408,MATCH(D58,'СВОДНАЯ СПЕЦИФИКАЦИЯ'!$D$10:$D$408,0))),"Введите кол-во")</f>
        <v>0</v>
      </c>
      <c r="L58" s="978">
        <f>INDEX('СВОДНАЯ СПЕЦИФИКАЦИЯ'!$H$10:$H$408,MATCH(D58,Таблица2[Наименование материала],0))</f>
        <v>0</v>
      </c>
      <c r="M58" s="979">
        <f t="shared" si="0"/>
        <v>0</v>
      </c>
      <c r="O58" s="934">
        <f t="shared" si="2"/>
        <v>0</v>
      </c>
      <c r="Q58" s="988" t="s">
        <v>320</v>
      </c>
      <c r="R58" s="985"/>
      <c r="S58" s="985"/>
      <c r="T58" s="986">
        <v>60</v>
      </c>
      <c r="U58" s="985" t="s">
        <v>150</v>
      </c>
      <c r="V58" s="957"/>
      <c r="W58" s="957"/>
      <c r="X58" s="934"/>
      <c r="Y58" s="934"/>
      <c r="Z58" s="934"/>
      <c r="AA58" s="934"/>
      <c r="AB58" s="987"/>
      <c r="AC58" s="934"/>
      <c r="AD58" s="934"/>
      <c r="AE58" s="934"/>
      <c r="AF58" s="934"/>
      <c r="AG58" s="934"/>
      <c r="AH58" s="934"/>
      <c r="AI58" s="934"/>
      <c r="AJ58" s="934"/>
    </row>
    <row r="59" spans="2:36" ht="15" hidden="1" customHeight="1">
      <c r="B59" s="1432"/>
      <c r="C59" s="898">
        <v>494972</v>
      </c>
      <c r="D59" s="732" t="s">
        <v>1190</v>
      </c>
      <c r="E59" s="733"/>
      <c r="F59" s="733"/>
      <c r="G59" s="733"/>
      <c r="H59" s="733"/>
      <c r="I59" s="734" t="s">
        <v>178</v>
      </c>
      <c r="J59" s="755">
        <v>0</v>
      </c>
      <c r="K59" s="977">
        <f>IFERROR(_xlfn.CEILING.MATH(J59,INDEX('СВОДНАЯ СПЕЦИФИКАЦИЯ'!$C$10:$C$408,MATCH(D59,'СВОДНАЯ СПЕЦИФИКАЦИЯ'!$D$10:$D$408,0))),"Введите кол-во")</f>
        <v>0</v>
      </c>
      <c r="L59" s="978">
        <f>INDEX('СВОДНАЯ СПЕЦИФИКАЦИЯ'!$H$10:$H$408,MATCH(D59,Таблица2[Наименование материала],0))</f>
        <v>0</v>
      </c>
      <c r="M59" s="979">
        <f t="shared" si="0"/>
        <v>0</v>
      </c>
      <c r="O59" s="934">
        <f t="shared" si="2"/>
        <v>0</v>
      </c>
      <c r="Q59" s="988" t="s">
        <v>320</v>
      </c>
      <c r="R59" s="985"/>
      <c r="S59" s="985"/>
      <c r="T59" s="986">
        <v>70</v>
      </c>
      <c r="U59" s="985" t="s">
        <v>150</v>
      </c>
      <c r="V59" s="957"/>
      <c r="W59" s="957"/>
      <c r="X59" s="934"/>
      <c r="Y59" s="934"/>
      <c r="Z59" s="934"/>
      <c r="AA59" s="934"/>
      <c r="AB59" s="987"/>
      <c r="AC59" s="934"/>
      <c r="AD59" s="934"/>
      <c r="AE59" s="934"/>
      <c r="AF59" s="934"/>
      <c r="AG59" s="934"/>
      <c r="AH59" s="934"/>
      <c r="AI59" s="934"/>
      <c r="AJ59" s="934"/>
    </row>
    <row r="60" spans="2:36" ht="15" hidden="1" customHeight="1">
      <c r="B60" s="1432"/>
      <c r="C60" s="898">
        <v>494973</v>
      </c>
      <c r="D60" s="732" t="s">
        <v>1191</v>
      </c>
      <c r="E60" s="733"/>
      <c r="F60" s="733"/>
      <c r="G60" s="733"/>
      <c r="H60" s="733"/>
      <c r="I60" s="734" t="s">
        <v>178</v>
      </c>
      <c r="J60" s="755">
        <v>0</v>
      </c>
      <c r="K60" s="977">
        <f>IFERROR(_xlfn.CEILING.MATH(J60,INDEX('СВОДНАЯ СПЕЦИФИКАЦИЯ'!$C$10:$C$408,MATCH(D60,'СВОДНАЯ СПЕЦИФИКАЦИЯ'!$D$10:$D$408,0))),"Введите кол-во")</f>
        <v>0</v>
      </c>
      <c r="L60" s="978">
        <f>INDEX('СВОДНАЯ СПЕЦИФИКАЦИЯ'!$H$10:$H$408,MATCH(D60,Таблица2[Наименование материала],0))</f>
        <v>0</v>
      </c>
      <c r="M60" s="979">
        <f t="shared" si="0"/>
        <v>0</v>
      </c>
      <c r="O60" s="934">
        <f t="shared" si="2"/>
        <v>0</v>
      </c>
      <c r="Q60" s="988" t="s">
        <v>320</v>
      </c>
      <c r="R60" s="985"/>
      <c r="S60" s="985"/>
      <c r="T60" s="986">
        <v>80</v>
      </c>
      <c r="U60" s="985" t="s">
        <v>150</v>
      </c>
      <c r="V60" s="957"/>
      <c r="W60" s="957"/>
      <c r="X60" s="934"/>
      <c r="Y60" s="934"/>
      <c r="Z60" s="934"/>
      <c r="AA60" s="934"/>
      <c r="AB60" s="987"/>
      <c r="AC60" s="934"/>
      <c r="AD60" s="934"/>
      <c r="AE60" s="934"/>
      <c r="AF60" s="934"/>
      <c r="AG60" s="934"/>
      <c r="AH60" s="934"/>
      <c r="AI60" s="934"/>
      <c r="AJ60" s="934"/>
    </row>
    <row r="61" spans="2:36" ht="15" hidden="1" customHeight="1">
      <c r="B61" s="1432"/>
      <c r="C61" s="898">
        <v>494974</v>
      </c>
      <c r="D61" s="732" t="s">
        <v>1192</v>
      </c>
      <c r="E61" s="733"/>
      <c r="F61" s="733"/>
      <c r="G61" s="733"/>
      <c r="H61" s="733"/>
      <c r="I61" s="734" t="s">
        <v>178</v>
      </c>
      <c r="J61" s="755">
        <v>0</v>
      </c>
      <c r="K61" s="977">
        <f>IFERROR(_xlfn.CEILING.MATH(J61,INDEX('СВОДНАЯ СПЕЦИФИКАЦИЯ'!$C$10:$C$408,MATCH(D61,'СВОДНАЯ СПЕЦИФИКАЦИЯ'!$D$10:$D$408,0))),"Введите кол-во")</f>
        <v>0</v>
      </c>
      <c r="L61" s="978">
        <f>INDEX('СВОДНАЯ СПЕЦИФИКАЦИЯ'!$H$10:$H$408,MATCH(D61,Таблица2[Наименование материала],0))</f>
        <v>0</v>
      </c>
      <c r="M61" s="979">
        <f t="shared" si="0"/>
        <v>0</v>
      </c>
      <c r="O61" s="934">
        <f t="shared" si="2"/>
        <v>0</v>
      </c>
      <c r="Q61" s="988" t="s">
        <v>320</v>
      </c>
      <c r="R61" s="985"/>
      <c r="S61" s="985"/>
      <c r="T61" s="986">
        <v>90</v>
      </c>
      <c r="U61" s="985" t="s">
        <v>150</v>
      </c>
      <c r="V61" s="957"/>
      <c r="W61" s="957"/>
      <c r="X61" s="934"/>
      <c r="Y61" s="934"/>
      <c r="Z61" s="934"/>
      <c r="AA61" s="934"/>
      <c r="AB61" s="987"/>
      <c r="AC61" s="934"/>
      <c r="AD61" s="934"/>
      <c r="AE61" s="934"/>
      <c r="AF61" s="934"/>
      <c r="AG61" s="934"/>
      <c r="AH61" s="934"/>
      <c r="AI61" s="934"/>
      <c r="AJ61" s="934"/>
    </row>
    <row r="62" spans="2:36" ht="15" hidden="1" customHeight="1">
      <c r="B62" s="1432"/>
      <c r="C62" s="898">
        <v>494975</v>
      </c>
      <c r="D62" s="732" t="s">
        <v>1193</v>
      </c>
      <c r="E62" s="733"/>
      <c r="F62" s="733"/>
      <c r="G62" s="733"/>
      <c r="H62" s="733"/>
      <c r="I62" s="734" t="s">
        <v>178</v>
      </c>
      <c r="J62" s="755">
        <v>0</v>
      </c>
      <c r="K62" s="977">
        <f>IFERROR(_xlfn.CEILING.MATH(J62,INDEX('СВОДНАЯ СПЕЦИФИКАЦИЯ'!$C$10:$C$408,MATCH(D62,'СВОДНАЯ СПЕЦИФИКАЦИЯ'!$D$10:$D$408,0))),"Введите кол-во")</f>
        <v>0</v>
      </c>
      <c r="L62" s="978">
        <f>INDEX('СВОДНАЯ СПЕЦИФИКАЦИЯ'!$H$10:$H$408,MATCH(D62,Таблица2[Наименование материала],0))</f>
        <v>0</v>
      </c>
      <c r="M62" s="979">
        <f t="shared" si="0"/>
        <v>0</v>
      </c>
      <c r="O62" s="934">
        <f t="shared" si="2"/>
        <v>0</v>
      </c>
      <c r="Q62" s="988" t="s">
        <v>320</v>
      </c>
      <c r="R62" s="985"/>
      <c r="S62" s="985"/>
      <c r="T62" s="986">
        <v>100</v>
      </c>
      <c r="U62" s="985" t="s">
        <v>150</v>
      </c>
      <c r="V62" s="957"/>
      <c r="W62" s="957"/>
      <c r="X62" s="934"/>
      <c r="Y62" s="934"/>
      <c r="Z62" s="934"/>
      <c r="AA62" s="934"/>
      <c r="AB62" s="987"/>
      <c r="AC62" s="934"/>
      <c r="AD62" s="934"/>
      <c r="AE62" s="934"/>
      <c r="AF62" s="934"/>
      <c r="AG62" s="934"/>
      <c r="AH62" s="934"/>
      <c r="AI62" s="934"/>
      <c r="AJ62" s="934"/>
    </row>
    <row r="63" spans="2:36" ht="15" hidden="1" customHeight="1">
      <c r="B63" s="1432"/>
      <c r="C63" s="898">
        <v>494976</v>
      </c>
      <c r="D63" s="732" t="s">
        <v>1194</v>
      </c>
      <c r="E63" s="733"/>
      <c r="F63" s="733"/>
      <c r="G63" s="733"/>
      <c r="H63" s="733"/>
      <c r="I63" s="734" t="s">
        <v>178</v>
      </c>
      <c r="J63" s="755">
        <v>0</v>
      </c>
      <c r="K63" s="977">
        <f>IFERROR(_xlfn.CEILING.MATH(J63,INDEX('СВОДНАЯ СПЕЦИФИКАЦИЯ'!$C$10:$C$408,MATCH(D63,'СВОДНАЯ СПЕЦИФИКАЦИЯ'!$D$10:$D$408,0))),"Введите кол-во")</f>
        <v>0</v>
      </c>
      <c r="L63" s="978">
        <f>INDEX('СВОДНАЯ СПЕЦИФИКАЦИЯ'!$H$10:$H$408,MATCH(D63,Таблица2[Наименование материала],0))</f>
        <v>0</v>
      </c>
      <c r="M63" s="979">
        <f t="shared" si="0"/>
        <v>0</v>
      </c>
      <c r="O63" s="934">
        <f t="shared" si="2"/>
        <v>0</v>
      </c>
      <c r="Q63" s="988" t="s">
        <v>320</v>
      </c>
      <c r="R63" s="985"/>
      <c r="S63" s="985"/>
      <c r="T63" s="986">
        <v>110</v>
      </c>
      <c r="U63" s="985" t="s">
        <v>150</v>
      </c>
      <c r="V63" s="957"/>
      <c r="W63" s="957"/>
      <c r="X63" s="934"/>
      <c r="Y63" s="934"/>
      <c r="Z63" s="934"/>
      <c r="AA63" s="934"/>
      <c r="AB63" s="987"/>
      <c r="AC63" s="934"/>
      <c r="AD63" s="934"/>
      <c r="AE63" s="934"/>
      <c r="AF63" s="934"/>
      <c r="AG63" s="934"/>
      <c r="AH63" s="934"/>
      <c r="AI63" s="934"/>
      <c r="AJ63" s="934"/>
    </row>
    <row r="64" spans="2:36" ht="15" hidden="1" customHeight="1">
      <c r="B64" s="1432"/>
      <c r="C64" s="898">
        <v>494977</v>
      </c>
      <c r="D64" s="732" t="s">
        <v>1195</v>
      </c>
      <c r="E64" s="733"/>
      <c r="F64" s="733"/>
      <c r="G64" s="733"/>
      <c r="H64" s="733"/>
      <c r="I64" s="734" t="s">
        <v>178</v>
      </c>
      <c r="J64" s="755">
        <v>0</v>
      </c>
      <c r="K64" s="977">
        <f>IFERROR(_xlfn.CEILING.MATH(J64,INDEX('СВОДНАЯ СПЕЦИФИКАЦИЯ'!$C$10:$C$408,MATCH(D64,'СВОДНАЯ СПЕЦИФИКАЦИЯ'!$D$10:$D$408,0))),"Введите кол-во")</f>
        <v>0</v>
      </c>
      <c r="L64" s="978">
        <f>INDEX('СВОДНАЯ СПЕЦИФИКАЦИЯ'!$H$10:$H$408,MATCH(D64,Таблица2[Наименование материала],0))</f>
        <v>0</v>
      </c>
      <c r="M64" s="979">
        <f t="shared" si="0"/>
        <v>0</v>
      </c>
      <c r="O64" s="934">
        <f t="shared" si="2"/>
        <v>0</v>
      </c>
      <c r="Q64" s="988" t="s">
        <v>320</v>
      </c>
      <c r="R64" s="985"/>
      <c r="S64" s="985"/>
      <c r="T64" s="986">
        <v>120</v>
      </c>
      <c r="U64" s="985" t="s">
        <v>150</v>
      </c>
      <c r="V64" s="957"/>
      <c r="W64" s="957"/>
      <c r="X64" s="934"/>
      <c r="Y64" s="934"/>
      <c r="Z64" s="934"/>
      <c r="AA64" s="934"/>
      <c r="AB64" s="987"/>
      <c r="AC64" s="934"/>
      <c r="AD64" s="934"/>
      <c r="AE64" s="934"/>
      <c r="AF64" s="934"/>
      <c r="AG64" s="934"/>
      <c r="AH64" s="934"/>
      <c r="AI64" s="934"/>
      <c r="AJ64" s="934"/>
    </row>
    <row r="65" spans="2:36" ht="15" hidden="1" customHeight="1">
      <c r="B65" s="1432"/>
      <c r="C65" s="898">
        <v>494987</v>
      </c>
      <c r="D65" s="732" t="s">
        <v>1196</v>
      </c>
      <c r="E65" s="733"/>
      <c r="F65" s="733"/>
      <c r="G65" s="733"/>
      <c r="H65" s="733"/>
      <c r="I65" s="734" t="s">
        <v>178</v>
      </c>
      <c r="J65" s="755">
        <v>0</v>
      </c>
      <c r="K65" s="977">
        <f>IFERROR(_xlfn.CEILING.MATH(J65,INDEX('СВОДНАЯ СПЕЦИФИКАЦИЯ'!$C$10:$C$408,MATCH(D65,'СВОДНАЯ СПЕЦИФИКАЦИЯ'!$D$10:$D$408,0))),"Введите кол-во")</f>
        <v>0</v>
      </c>
      <c r="L65" s="978">
        <f>INDEX('СВОДНАЯ СПЕЦИФИКАЦИЯ'!$H$10:$H$408,MATCH(D65,Таблица2[Наименование материала],0))</f>
        <v>0</v>
      </c>
      <c r="M65" s="979">
        <f t="shared" si="0"/>
        <v>0</v>
      </c>
      <c r="O65" s="934">
        <f t="shared" si="2"/>
        <v>0</v>
      </c>
      <c r="Q65" s="988" t="s">
        <v>320</v>
      </c>
      <c r="R65" s="985"/>
      <c r="S65" s="985"/>
      <c r="T65" s="986">
        <v>130</v>
      </c>
      <c r="U65" s="985" t="s">
        <v>150</v>
      </c>
      <c r="V65" s="957"/>
      <c r="W65" s="957"/>
      <c r="X65" s="934"/>
      <c r="Y65" s="934"/>
      <c r="Z65" s="934"/>
      <c r="AA65" s="934"/>
      <c r="AB65" s="987"/>
      <c r="AC65" s="934"/>
      <c r="AD65" s="934"/>
      <c r="AE65" s="934"/>
      <c r="AF65" s="934"/>
      <c r="AG65" s="934"/>
      <c r="AH65" s="934"/>
      <c r="AI65" s="934"/>
      <c r="AJ65" s="934"/>
    </row>
    <row r="66" spans="2:36" ht="15" hidden="1" customHeight="1">
      <c r="B66" s="1432"/>
      <c r="C66" s="898">
        <v>494988</v>
      </c>
      <c r="D66" s="732" t="s">
        <v>1197</v>
      </c>
      <c r="E66" s="733"/>
      <c r="F66" s="733"/>
      <c r="G66" s="733"/>
      <c r="H66" s="733"/>
      <c r="I66" s="734" t="s">
        <v>178</v>
      </c>
      <c r="J66" s="755">
        <v>0</v>
      </c>
      <c r="K66" s="977">
        <f>IFERROR(_xlfn.CEILING.MATH(J66,INDEX('СВОДНАЯ СПЕЦИФИКАЦИЯ'!$C$10:$C$408,MATCH(D66,'СВОДНАЯ СПЕЦИФИКАЦИЯ'!$D$10:$D$408,0))),"Введите кол-во")</f>
        <v>0</v>
      </c>
      <c r="L66" s="978">
        <f>INDEX('СВОДНАЯ СПЕЦИФИКАЦИЯ'!$H$10:$H$408,MATCH(D66,Таблица2[Наименование материала],0))</f>
        <v>0</v>
      </c>
      <c r="M66" s="979">
        <f t="shared" si="0"/>
        <v>0</v>
      </c>
      <c r="O66" s="934">
        <f t="shared" si="2"/>
        <v>0</v>
      </c>
      <c r="Q66" s="988" t="s">
        <v>320</v>
      </c>
      <c r="R66" s="985"/>
      <c r="S66" s="985"/>
      <c r="T66" s="986">
        <v>140</v>
      </c>
      <c r="U66" s="985" t="s">
        <v>150</v>
      </c>
      <c r="V66" s="957"/>
      <c r="W66" s="957"/>
      <c r="X66" s="934"/>
      <c r="Y66" s="934"/>
      <c r="Z66" s="934"/>
      <c r="AA66" s="934"/>
      <c r="AB66" s="987"/>
      <c r="AC66" s="934"/>
      <c r="AD66" s="934"/>
      <c r="AE66" s="934"/>
      <c r="AF66" s="934"/>
      <c r="AG66" s="934"/>
      <c r="AH66" s="934"/>
      <c r="AI66" s="934"/>
      <c r="AJ66" s="934"/>
    </row>
    <row r="67" spans="2:36" ht="15" hidden="1" customHeight="1">
      <c r="B67" s="1432"/>
      <c r="C67" s="898">
        <v>494989</v>
      </c>
      <c r="D67" s="732" t="s">
        <v>1198</v>
      </c>
      <c r="E67" s="733"/>
      <c r="F67" s="733"/>
      <c r="G67" s="733"/>
      <c r="H67" s="733"/>
      <c r="I67" s="734" t="s">
        <v>178</v>
      </c>
      <c r="J67" s="755">
        <v>0</v>
      </c>
      <c r="K67" s="977">
        <f>IFERROR(_xlfn.CEILING.MATH(J67,INDEX('СВОДНАЯ СПЕЦИФИКАЦИЯ'!$C$10:$C$408,MATCH(D67,'СВОДНАЯ СПЕЦИФИКАЦИЯ'!$D$10:$D$408,0))),"Введите кол-во")</f>
        <v>0</v>
      </c>
      <c r="L67" s="978">
        <f>INDEX('СВОДНАЯ СПЕЦИФИКАЦИЯ'!$H$10:$H$408,MATCH(D67,Таблица2[Наименование материала],0))</f>
        <v>0</v>
      </c>
      <c r="M67" s="979">
        <f t="shared" si="0"/>
        <v>0</v>
      </c>
      <c r="O67" s="934">
        <f t="shared" si="2"/>
        <v>0</v>
      </c>
      <c r="Q67" s="988" t="s">
        <v>320</v>
      </c>
      <c r="R67" s="985"/>
      <c r="S67" s="985"/>
      <c r="T67" s="986">
        <v>150</v>
      </c>
      <c r="U67" s="985" t="s">
        <v>150</v>
      </c>
      <c r="V67" s="957"/>
      <c r="W67" s="957"/>
      <c r="X67" s="934"/>
      <c r="Y67" s="934"/>
      <c r="Z67" s="934"/>
      <c r="AA67" s="934"/>
      <c r="AB67" s="987"/>
      <c r="AC67" s="934"/>
      <c r="AD67" s="934"/>
      <c r="AE67" s="934"/>
      <c r="AF67" s="934"/>
      <c r="AG67" s="934"/>
      <c r="AH67" s="934"/>
      <c r="AI67" s="934"/>
      <c r="AJ67" s="934"/>
    </row>
    <row r="68" spans="2:36" ht="15" hidden="1" customHeight="1">
      <c r="B68" s="1432"/>
      <c r="C68" s="898">
        <v>524809</v>
      </c>
      <c r="D68" s="732" t="s">
        <v>1199</v>
      </c>
      <c r="E68" s="733"/>
      <c r="F68" s="733"/>
      <c r="G68" s="733"/>
      <c r="H68" s="733"/>
      <c r="I68" s="734" t="s">
        <v>178</v>
      </c>
      <c r="J68" s="755">
        <v>0</v>
      </c>
      <c r="K68" s="977">
        <f>IFERROR(_xlfn.CEILING.MATH(J68,INDEX('СВОДНАЯ СПЕЦИФИКАЦИЯ'!$C$10:$C$408,MATCH(D68,'СВОДНАЯ СПЕЦИФИКАЦИЯ'!$D$10:$D$408,0))),"Введите кол-во")</f>
        <v>0</v>
      </c>
      <c r="L68" s="978">
        <f>INDEX('СВОДНАЯ СПЕЦИФИКАЦИЯ'!$H$10:$H$408,MATCH(D68,Таблица2[Наименование материала],0))</f>
        <v>0</v>
      </c>
      <c r="M68" s="979">
        <f t="shared" si="0"/>
        <v>0</v>
      </c>
      <c r="O68" s="934">
        <f t="shared" si="2"/>
        <v>0</v>
      </c>
      <c r="Q68" s="988" t="s">
        <v>321</v>
      </c>
      <c r="R68" s="985"/>
      <c r="S68" s="985"/>
      <c r="T68" s="986">
        <v>50</v>
      </c>
      <c r="U68" s="985" t="s">
        <v>150</v>
      </c>
      <c r="V68" s="957"/>
      <c r="W68" s="957"/>
      <c r="X68" s="934"/>
      <c r="Y68" s="934"/>
      <c r="Z68" s="934"/>
      <c r="AA68" s="934"/>
      <c r="AB68" s="987"/>
      <c r="AC68" s="934"/>
      <c r="AD68" s="934"/>
      <c r="AE68" s="934"/>
      <c r="AF68" s="934"/>
      <c r="AG68" s="934"/>
      <c r="AH68" s="934"/>
      <c r="AI68" s="934"/>
      <c r="AJ68" s="934"/>
    </row>
    <row r="69" spans="2:36" ht="15" hidden="1" customHeight="1">
      <c r="B69" s="1432"/>
      <c r="C69" s="898">
        <v>524890</v>
      </c>
      <c r="D69" s="732" t="s">
        <v>1200</v>
      </c>
      <c r="E69" s="733"/>
      <c r="F69" s="733"/>
      <c r="G69" s="733"/>
      <c r="H69" s="733"/>
      <c r="I69" s="734" t="s">
        <v>178</v>
      </c>
      <c r="J69" s="755">
        <v>0</v>
      </c>
      <c r="K69" s="977">
        <f>IFERROR(_xlfn.CEILING.MATH(J69,INDEX('СВОДНАЯ СПЕЦИФИКАЦИЯ'!$C$10:$C$408,MATCH(D69,'СВОДНАЯ СПЕЦИФИКАЦИЯ'!$D$10:$D$408,0))),"Введите кол-во")</f>
        <v>0</v>
      </c>
      <c r="L69" s="978">
        <f>INDEX('СВОДНАЯ СПЕЦИФИКАЦИЯ'!$H$10:$H$408,MATCH(D69,Таблица2[Наименование материала],0))</f>
        <v>0</v>
      </c>
      <c r="M69" s="979">
        <f t="shared" si="0"/>
        <v>0</v>
      </c>
      <c r="O69" s="934">
        <f t="shared" si="2"/>
        <v>0</v>
      </c>
      <c r="Q69" s="988" t="s">
        <v>321</v>
      </c>
      <c r="R69" s="985"/>
      <c r="S69" s="985"/>
      <c r="T69" s="986">
        <v>60</v>
      </c>
      <c r="U69" s="985" t="s">
        <v>150</v>
      </c>
      <c r="V69" s="957"/>
      <c r="W69" s="957"/>
      <c r="X69" s="934"/>
      <c r="Y69" s="934"/>
      <c r="Z69" s="934"/>
      <c r="AA69" s="934"/>
      <c r="AB69" s="987"/>
      <c r="AC69" s="934"/>
      <c r="AD69" s="934"/>
      <c r="AE69" s="934"/>
      <c r="AF69" s="934"/>
      <c r="AG69" s="934"/>
      <c r="AH69" s="934"/>
      <c r="AI69" s="934"/>
      <c r="AJ69" s="934"/>
    </row>
    <row r="70" spans="2:36" ht="15" hidden="1" customHeight="1">
      <c r="B70" s="1432"/>
      <c r="C70" s="898">
        <v>524891</v>
      </c>
      <c r="D70" s="732" t="s">
        <v>1201</v>
      </c>
      <c r="E70" s="733"/>
      <c r="F70" s="733"/>
      <c r="G70" s="733"/>
      <c r="H70" s="733"/>
      <c r="I70" s="734" t="s">
        <v>178</v>
      </c>
      <c r="J70" s="755">
        <v>0</v>
      </c>
      <c r="K70" s="977">
        <f>IFERROR(_xlfn.CEILING.MATH(J70,INDEX('СВОДНАЯ СПЕЦИФИКАЦИЯ'!$C$10:$C$408,MATCH(D70,'СВОДНАЯ СПЕЦИФИКАЦИЯ'!$D$10:$D$408,0))),"Введите кол-во")</f>
        <v>0</v>
      </c>
      <c r="L70" s="978">
        <f>INDEX('СВОДНАЯ СПЕЦИФИКАЦИЯ'!$H$10:$H$408,MATCH(D70,Таблица2[Наименование материала],0))</f>
        <v>0</v>
      </c>
      <c r="M70" s="979">
        <f t="shared" si="0"/>
        <v>0</v>
      </c>
      <c r="O70" s="934">
        <f t="shared" si="2"/>
        <v>0</v>
      </c>
      <c r="Q70" s="988" t="s">
        <v>321</v>
      </c>
      <c r="R70" s="985"/>
      <c r="S70" s="985"/>
      <c r="T70" s="986">
        <v>70</v>
      </c>
      <c r="U70" s="985" t="s">
        <v>150</v>
      </c>
      <c r="V70" s="957"/>
      <c r="W70" s="957"/>
      <c r="X70" s="934"/>
      <c r="Y70" s="934"/>
      <c r="Z70" s="934"/>
      <c r="AA70" s="934"/>
      <c r="AB70" s="987"/>
      <c r="AC70" s="934"/>
      <c r="AD70" s="934"/>
      <c r="AE70" s="934"/>
      <c r="AF70" s="934"/>
      <c r="AG70" s="934"/>
      <c r="AH70" s="934"/>
      <c r="AI70" s="934"/>
      <c r="AJ70" s="934"/>
    </row>
    <row r="71" spans="2:36" ht="15" hidden="1" customHeight="1">
      <c r="B71" s="1432"/>
      <c r="C71" s="898">
        <v>524892</v>
      </c>
      <c r="D71" s="732" t="s">
        <v>1202</v>
      </c>
      <c r="E71" s="733"/>
      <c r="F71" s="733"/>
      <c r="G71" s="733"/>
      <c r="H71" s="733"/>
      <c r="I71" s="734" t="s">
        <v>178</v>
      </c>
      <c r="J71" s="755">
        <v>0</v>
      </c>
      <c r="K71" s="977">
        <f>IFERROR(_xlfn.CEILING.MATH(J71,INDEX('СВОДНАЯ СПЕЦИФИКАЦИЯ'!$C$10:$C$408,MATCH(D71,'СВОДНАЯ СПЕЦИФИКАЦИЯ'!$D$10:$D$408,0))),"Введите кол-во")</f>
        <v>0</v>
      </c>
      <c r="L71" s="978">
        <f>INDEX('СВОДНАЯ СПЕЦИФИКАЦИЯ'!$H$10:$H$408,MATCH(D71,Таблица2[Наименование материала],0))</f>
        <v>0</v>
      </c>
      <c r="M71" s="979">
        <f t="shared" si="0"/>
        <v>0</v>
      </c>
      <c r="O71" s="934">
        <f t="shared" si="2"/>
        <v>0</v>
      </c>
      <c r="Q71" s="988" t="s">
        <v>321</v>
      </c>
      <c r="R71" s="985"/>
      <c r="S71" s="985"/>
      <c r="T71" s="986">
        <v>80</v>
      </c>
      <c r="U71" s="985" t="s">
        <v>150</v>
      </c>
      <c r="V71" s="957"/>
      <c r="W71" s="957"/>
      <c r="X71" s="934"/>
      <c r="Y71" s="934"/>
      <c r="Z71" s="934"/>
      <c r="AA71" s="934"/>
      <c r="AB71" s="987"/>
      <c r="AC71" s="934"/>
      <c r="AD71" s="934"/>
      <c r="AE71" s="934"/>
      <c r="AF71" s="934"/>
      <c r="AG71" s="934"/>
      <c r="AH71" s="934"/>
      <c r="AI71" s="934"/>
      <c r="AJ71" s="934"/>
    </row>
    <row r="72" spans="2:36" ht="15" hidden="1" customHeight="1">
      <c r="B72" s="1432"/>
      <c r="C72" s="898">
        <v>524893</v>
      </c>
      <c r="D72" s="732" t="s">
        <v>1203</v>
      </c>
      <c r="E72" s="733"/>
      <c r="F72" s="733"/>
      <c r="G72" s="733"/>
      <c r="H72" s="733"/>
      <c r="I72" s="734" t="s">
        <v>178</v>
      </c>
      <c r="J72" s="755">
        <v>0</v>
      </c>
      <c r="K72" s="977">
        <f>IFERROR(_xlfn.CEILING.MATH(J72,INDEX('СВОДНАЯ СПЕЦИФИКАЦИЯ'!$C$10:$C$408,MATCH(D72,'СВОДНАЯ СПЕЦИФИКАЦИЯ'!$D$10:$D$408,0))),"Введите кол-во")</f>
        <v>0</v>
      </c>
      <c r="L72" s="978">
        <f>INDEX('СВОДНАЯ СПЕЦИФИКАЦИЯ'!$H$10:$H$408,MATCH(D72,Таблица2[Наименование материала],0))</f>
        <v>0</v>
      </c>
      <c r="M72" s="979">
        <f t="shared" si="0"/>
        <v>0</v>
      </c>
      <c r="O72" s="934">
        <f t="shared" si="2"/>
        <v>0</v>
      </c>
      <c r="Q72" s="988" t="s">
        <v>321</v>
      </c>
      <c r="R72" s="985"/>
      <c r="S72" s="985"/>
      <c r="T72" s="986">
        <v>90</v>
      </c>
      <c r="U72" s="985" t="s">
        <v>150</v>
      </c>
      <c r="V72" s="957"/>
      <c r="W72" s="957"/>
      <c r="X72" s="934"/>
      <c r="Y72" s="934"/>
      <c r="Z72" s="934"/>
      <c r="AA72" s="934"/>
      <c r="AB72" s="987"/>
      <c r="AC72" s="934"/>
      <c r="AD72" s="934"/>
      <c r="AE72" s="934"/>
      <c r="AF72" s="934"/>
      <c r="AG72" s="934"/>
      <c r="AH72" s="934"/>
      <c r="AI72" s="934"/>
      <c r="AJ72" s="934"/>
    </row>
    <row r="73" spans="2:36" ht="15" hidden="1" customHeight="1">
      <c r="B73" s="1432"/>
      <c r="C73" s="898">
        <v>524894</v>
      </c>
      <c r="D73" s="732" t="s">
        <v>1204</v>
      </c>
      <c r="E73" s="733"/>
      <c r="F73" s="733"/>
      <c r="G73" s="733"/>
      <c r="H73" s="733"/>
      <c r="I73" s="734" t="s">
        <v>178</v>
      </c>
      <c r="J73" s="755">
        <v>0</v>
      </c>
      <c r="K73" s="977">
        <f>IFERROR(_xlfn.CEILING.MATH(J73,INDEX('СВОДНАЯ СПЕЦИФИКАЦИЯ'!$C$10:$C$408,MATCH(D73,'СВОДНАЯ СПЕЦИФИКАЦИЯ'!$D$10:$D$408,0))),"Введите кол-во")</f>
        <v>0</v>
      </c>
      <c r="L73" s="978">
        <f>INDEX('СВОДНАЯ СПЕЦИФИКАЦИЯ'!$H$10:$H$408,MATCH(D73,Таблица2[Наименование материала],0))</f>
        <v>0</v>
      </c>
      <c r="M73" s="979">
        <f t="shared" si="0"/>
        <v>0</v>
      </c>
      <c r="O73" s="934">
        <f t="shared" si="2"/>
        <v>0</v>
      </c>
      <c r="Q73" s="988" t="s">
        <v>321</v>
      </c>
      <c r="R73" s="985"/>
      <c r="S73" s="985"/>
      <c r="T73" s="986">
        <v>100</v>
      </c>
      <c r="U73" s="985" t="s">
        <v>150</v>
      </c>
      <c r="V73" s="957"/>
      <c r="W73" s="957"/>
      <c r="X73" s="934"/>
      <c r="Y73" s="934"/>
      <c r="Z73" s="934"/>
      <c r="AA73" s="934"/>
      <c r="AB73" s="987"/>
      <c r="AC73" s="934"/>
      <c r="AD73" s="934"/>
      <c r="AE73" s="934"/>
      <c r="AF73" s="934"/>
      <c r="AG73" s="934"/>
      <c r="AH73" s="934"/>
      <c r="AI73" s="934"/>
      <c r="AJ73" s="934"/>
    </row>
    <row r="74" spans="2:36" ht="15" hidden="1" customHeight="1">
      <c r="B74" s="1432"/>
      <c r="C74" s="898">
        <v>524895</v>
      </c>
      <c r="D74" s="732" t="s">
        <v>1205</v>
      </c>
      <c r="E74" s="733"/>
      <c r="F74" s="733"/>
      <c r="G74" s="733"/>
      <c r="H74" s="733"/>
      <c r="I74" s="734" t="s">
        <v>178</v>
      </c>
      <c r="J74" s="755">
        <v>0</v>
      </c>
      <c r="K74" s="977">
        <f>IFERROR(_xlfn.CEILING.MATH(J74,INDEX('СВОДНАЯ СПЕЦИФИКАЦИЯ'!$C$10:$C$408,MATCH(D74,'СВОДНАЯ СПЕЦИФИКАЦИЯ'!$D$10:$D$408,0))),"Введите кол-во")</f>
        <v>0</v>
      </c>
      <c r="L74" s="978">
        <f>INDEX('СВОДНАЯ СПЕЦИФИКАЦИЯ'!$H$10:$H$408,MATCH(D74,Таблица2[Наименование материала],0))</f>
        <v>0</v>
      </c>
      <c r="M74" s="979">
        <f t="shared" si="0"/>
        <v>0</v>
      </c>
      <c r="O74" s="934">
        <f t="shared" si="2"/>
        <v>0</v>
      </c>
      <c r="Q74" s="988" t="s">
        <v>321</v>
      </c>
      <c r="R74" s="985"/>
      <c r="S74" s="985"/>
      <c r="T74" s="986">
        <v>110</v>
      </c>
      <c r="U74" s="985" t="s">
        <v>150</v>
      </c>
      <c r="V74" s="957"/>
      <c r="W74" s="957"/>
      <c r="X74" s="934"/>
      <c r="Y74" s="934"/>
      <c r="Z74" s="934"/>
      <c r="AA74" s="934"/>
      <c r="AB74" s="987"/>
      <c r="AC74" s="934"/>
      <c r="AD74" s="934"/>
      <c r="AE74" s="934"/>
      <c r="AF74" s="934"/>
      <c r="AG74" s="934"/>
      <c r="AH74" s="934"/>
      <c r="AI74" s="934"/>
      <c r="AJ74" s="934"/>
    </row>
    <row r="75" spans="2:36" ht="15" hidden="1" customHeight="1">
      <c r="B75" s="1432"/>
      <c r="C75" s="898">
        <v>524896</v>
      </c>
      <c r="D75" s="732" t="s">
        <v>1206</v>
      </c>
      <c r="E75" s="733"/>
      <c r="F75" s="733"/>
      <c r="G75" s="733"/>
      <c r="H75" s="733"/>
      <c r="I75" s="734" t="s">
        <v>178</v>
      </c>
      <c r="J75" s="755">
        <v>0</v>
      </c>
      <c r="K75" s="977">
        <f>IFERROR(_xlfn.CEILING.MATH(J75,INDEX('СВОДНАЯ СПЕЦИФИКАЦИЯ'!$C$10:$C$408,MATCH(D75,'СВОДНАЯ СПЕЦИФИКАЦИЯ'!$D$10:$D$408,0))),"Введите кол-во")</f>
        <v>0</v>
      </c>
      <c r="L75" s="978">
        <f>INDEX('СВОДНАЯ СПЕЦИФИКАЦИЯ'!$H$10:$H$408,MATCH(D75,Таблица2[Наименование материала],0))</f>
        <v>0</v>
      </c>
      <c r="M75" s="979">
        <f t="shared" si="0"/>
        <v>0</v>
      </c>
      <c r="O75" s="934">
        <f t="shared" si="2"/>
        <v>0</v>
      </c>
      <c r="Q75" s="988" t="s">
        <v>321</v>
      </c>
      <c r="R75" s="985"/>
      <c r="S75" s="985"/>
      <c r="T75" s="986">
        <v>120</v>
      </c>
      <c r="U75" s="985" t="s">
        <v>150</v>
      </c>
      <c r="V75" s="957"/>
      <c r="W75" s="957"/>
      <c r="X75" s="934"/>
      <c r="Y75" s="934"/>
      <c r="Z75" s="934"/>
      <c r="AA75" s="934"/>
      <c r="AB75" s="987"/>
      <c r="AC75" s="934"/>
      <c r="AD75" s="934"/>
      <c r="AE75" s="934"/>
      <c r="AF75" s="934"/>
      <c r="AG75" s="934"/>
      <c r="AH75" s="934"/>
      <c r="AI75" s="934"/>
      <c r="AJ75" s="934"/>
    </row>
    <row r="76" spans="2:36" ht="15" hidden="1" customHeight="1">
      <c r="B76" s="1432"/>
      <c r="C76" s="898">
        <v>524918</v>
      </c>
      <c r="D76" s="732" t="s">
        <v>1207</v>
      </c>
      <c r="E76" s="733"/>
      <c r="F76" s="733"/>
      <c r="G76" s="733"/>
      <c r="H76" s="733"/>
      <c r="I76" s="734" t="s">
        <v>178</v>
      </c>
      <c r="J76" s="755">
        <v>0</v>
      </c>
      <c r="K76" s="977">
        <f>IFERROR(_xlfn.CEILING.MATH(J76,INDEX('СВОДНАЯ СПЕЦИФИКАЦИЯ'!$C$10:$C$408,MATCH(D76,'СВОДНАЯ СПЕЦИФИКАЦИЯ'!$D$10:$D$408,0))),"Введите кол-во")</f>
        <v>0</v>
      </c>
      <c r="L76" s="978">
        <f>INDEX('СВОДНАЯ СПЕЦИФИКАЦИЯ'!$H$10:$H$408,MATCH(D76,Таблица2[Наименование материала],0))</f>
        <v>0</v>
      </c>
      <c r="M76" s="979">
        <f t="shared" si="0"/>
        <v>0</v>
      </c>
      <c r="O76" s="934">
        <f t="shared" si="2"/>
        <v>0</v>
      </c>
      <c r="Q76" s="988" t="s">
        <v>321</v>
      </c>
      <c r="R76" s="985"/>
      <c r="S76" s="985"/>
      <c r="T76" s="986">
        <v>130</v>
      </c>
      <c r="U76" s="985" t="s">
        <v>150</v>
      </c>
      <c r="V76" s="957"/>
      <c r="W76" s="957"/>
      <c r="X76" s="934"/>
      <c r="Y76" s="934"/>
      <c r="Z76" s="934"/>
      <c r="AA76" s="934"/>
      <c r="AB76" s="987"/>
      <c r="AC76" s="934"/>
      <c r="AD76" s="934"/>
      <c r="AE76" s="934"/>
      <c r="AF76" s="934"/>
      <c r="AG76" s="934"/>
      <c r="AH76" s="934"/>
      <c r="AI76" s="934"/>
      <c r="AJ76" s="934"/>
    </row>
    <row r="77" spans="2:36" ht="15" hidden="1" customHeight="1">
      <c r="B77" s="1432"/>
      <c r="C77" s="898">
        <v>524919</v>
      </c>
      <c r="D77" s="732" t="s">
        <v>1208</v>
      </c>
      <c r="E77" s="733"/>
      <c r="F77" s="733"/>
      <c r="G77" s="733"/>
      <c r="H77" s="733"/>
      <c r="I77" s="734" t="s">
        <v>178</v>
      </c>
      <c r="J77" s="755">
        <v>0</v>
      </c>
      <c r="K77" s="977">
        <f>IFERROR(_xlfn.CEILING.MATH(J77,INDEX('СВОДНАЯ СПЕЦИФИКАЦИЯ'!$C$10:$C$408,MATCH(D77,'СВОДНАЯ СПЕЦИФИКАЦИЯ'!$D$10:$D$408,0))),"Введите кол-во")</f>
        <v>0</v>
      </c>
      <c r="L77" s="978">
        <f>INDEX('СВОДНАЯ СПЕЦИФИКАЦИЯ'!$H$10:$H$408,MATCH(D77,Таблица2[Наименование материала],0))</f>
        <v>0</v>
      </c>
      <c r="M77" s="979">
        <f t="shared" si="0"/>
        <v>0</v>
      </c>
      <c r="O77" s="934">
        <f t="shared" si="2"/>
        <v>0</v>
      </c>
      <c r="Q77" s="988" t="s">
        <v>321</v>
      </c>
      <c r="R77" s="985"/>
      <c r="S77" s="985"/>
      <c r="T77" s="986">
        <v>140</v>
      </c>
      <c r="U77" s="985" t="s">
        <v>150</v>
      </c>
      <c r="V77" s="957"/>
      <c r="W77" s="957"/>
      <c r="X77" s="934"/>
      <c r="Y77" s="934"/>
      <c r="Z77" s="934"/>
      <c r="AA77" s="934"/>
      <c r="AB77" s="987"/>
      <c r="AC77" s="934"/>
      <c r="AD77" s="934"/>
      <c r="AE77" s="934"/>
      <c r="AF77" s="934"/>
      <c r="AG77" s="934"/>
      <c r="AH77" s="934"/>
      <c r="AI77" s="934"/>
      <c r="AJ77" s="934"/>
    </row>
    <row r="78" spans="2:36" ht="15" hidden="1" customHeight="1">
      <c r="B78" s="1432"/>
      <c r="C78" s="898">
        <v>524879</v>
      </c>
      <c r="D78" s="732" t="s">
        <v>1209</v>
      </c>
      <c r="E78" s="733"/>
      <c r="F78" s="733"/>
      <c r="G78" s="733"/>
      <c r="H78" s="733"/>
      <c r="I78" s="734" t="s">
        <v>178</v>
      </c>
      <c r="J78" s="755">
        <v>0</v>
      </c>
      <c r="K78" s="977">
        <f>IFERROR(_xlfn.CEILING.MATH(J78,INDEX('СВОДНАЯ СПЕЦИФИКАЦИЯ'!$C$10:$C$408,MATCH(D78,'СВОДНАЯ СПЕЦИФИКАЦИЯ'!$D$10:$D$408,0))),"Введите кол-во")</f>
        <v>0</v>
      </c>
      <c r="L78" s="978">
        <f>INDEX('СВОДНАЯ СПЕЦИФИКАЦИЯ'!$H$10:$H$408,MATCH(D78,Таблица2[Наименование материала],0))</f>
        <v>0</v>
      </c>
      <c r="M78" s="979">
        <f t="shared" ref="M78:M141" si="3">IFERROR(K78*L78,0)</f>
        <v>0</v>
      </c>
      <c r="O78" s="934">
        <f t="shared" si="2"/>
        <v>0</v>
      </c>
      <c r="Q78" s="988" t="s">
        <v>321</v>
      </c>
      <c r="R78" s="985"/>
      <c r="S78" s="985"/>
      <c r="T78" s="986">
        <v>150</v>
      </c>
      <c r="U78" s="985" t="s">
        <v>150</v>
      </c>
      <c r="V78" s="957"/>
      <c r="W78" s="957"/>
      <c r="X78" s="934"/>
      <c r="Y78" s="934"/>
      <c r="Z78" s="934"/>
      <c r="AA78" s="934"/>
      <c r="AB78" s="987"/>
      <c r="AC78" s="934"/>
      <c r="AD78" s="934"/>
      <c r="AE78" s="934"/>
      <c r="AF78" s="934"/>
      <c r="AG78" s="934"/>
      <c r="AH78" s="934"/>
      <c r="AI78" s="934"/>
      <c r="AJ78" s="934"/>
    </row>
    <row r="79" spans="2:36" ht="15" hidden="1" customHeight="1">
      <c r="B79" s="1432"/>
      <c r="C79" s="898">
        <v>524920</v>
      </c>
      <c r="D79" s="732" t="s">
        <v>1210</v>
      </c>
      <c r="E79" s="733"/>
      <c r="F79" s="733"/>
      <c r="G79" s="733"/>
      <c r="H79" s="733"/>
      <c r="I79" s="734" t="s">
        <v>178</v>
      </c>
      <c r="J79" s="755">
        <v>0</v>
      </c>
      <c r="K79" s="977">
        <f>IFERROR(_xlfn.CEILING.MATH(J79,INDEX('СВОДНАЯ СПЕЦИФИКАЦИЯ'!$C$10:$C$408,MATCH(D79,'СВОДНАЯ СПЕЦИФИКАЦИЯ'!$D$10:$D$408,0))),"Введите кол-во")</f>
        <v>0</v>
      </c>
      <c r="L79" s="978">
        <f>INDEX('СВОДНАЯ СПЕЦИФИКАЦИЯ'!$H$10:$H$408,MATCH(D79,Таблица2[Наименование материала],0))</f>
        <v>0</v>
      </c>
      <c r="M79" s="979">
        <f t="shared" si="3"/>
        <v>0</v>
      </c>
      <c r="O79" s="934">
        <f t="shared" si="2"/>
        <v>0</v>
      </c>
      <c r="Q79" s="988" t="s">
        <v>321</v>
      </c>
      <c r="R79" s="985"/>
      <c r="S79" s="985"/>
      <c r="T79" s="986">
        <v>160</v>
      </c>
      <c r="U79" s="985" t="s">
        <v>150</v>
      </c>
      <c r="V79" s="957"/>
      <c r="W79" s="957"/>
      <c r="X79" s="934"/>
      <c r="Y79" s="934"/>
      <c r="Z79" s="934"/>
      <c r="AA79" s="934"/>
      <c r="AB79" s="987"/>
      <c r="AC79" s="934"/>
      <c r="AD79" s="934"/>
      <c r="AE79" s="934"/>
      <c r="AF79" s="934"/>
      <c r="AG79" s="934"/>
      <c r="AH79" s="934"/>
      <c r="AI79" s="934"/>
      <c r="AJ79" s="934"/>
    </row>
    <row r="80" spans="2:36" ht="15" customHeight="1">
      <c r="B80" s="1432"/>
      <c r="C80" s="898">
        <v>524921</v>
      </c>
      <c r="D80" s="732" t="s">
        <v>1211</v>
      </c>
      <c r="E80" s="733"/>
      <c r="F80" s="733"/>
      <c r="G80" s="733"/>
      <c r="H80" s="733"/>
      <c r="I80" s="734" t="s">
        <v>178</v>
      </c>
      <c r="J80" s="755">
        <v>306.6001</v>
      </c>
      <c r="K80" s="977">
        <f>IFERROR(_xlfn.CEILING.MATH(J80,INDEX('СВОДНАЯ СПЕЦИФИКАЦИЯ'!$C$10:$C$408,MATCH(D80,'СВОДНАЯ СПЕЦИФИКАЦИЯ'!$D$10:$D$408,0))),"Введите кол-во")</f>
        <v>308.44799999999998</v>
      </c>
      <c r="L80" s="978">
        <f>INDEX('СВОДНАЯ СПЕЦИФИКАЦИЯ'!$H$10:$H$408,MATCH(D80,Таблица2[Наименование материала],0))</f>
        <v>0</v>
      </c>
      <c r="M80" s="979">
        <f t="shared" si="3"/>
        <v>0</v>
      </c>
      <c r="O80" s="934">
        <f t="shared" si="2"/>
        <v>1</v>
      </c>
      <c r="Q80" s="988" t="s">
        <v>321</v>
      </c>
      <c r="R80" s="985"/>
      <c r="S80" s="985"/>
      <c r="T80" s="986">
        <v>170</v>
      </c>
      <c r="U80" s="985" t="s">
        <v>150</v>
      </c>
      <c r="V80" s="957"/>
      <c r="W80" s="957"/>
      <c r="X80" s="934"/>
      <c r="Y80" s="934"/>
      <c r="Z80" s="934"/>
      <c r="AA80" s="934"/>
      <c r="AB80" s="987"/>
      <c r="AC80" s="934"/>
      <c r="AD80" s="934"/>
      <c r="AE80" s="934"/>
      <c r="AF80" s="934"/>
      <c r="AG80" s="934"/>
      <c r="AH80" s="934"/>
      <c r="AI80" s="934"/>
      <c r="AJ80" s="934"/>
    </row>
    <row r="81" spans="2:36" ht="15" hidden="1" customHeight="1">
      <c r="B81" s="1432"/>
      <c r="C81" s="898">
        <v>523815</v>
      </c>
      <c r="D81" s="732" t="s">
        <v>1212</v>
      </c>
      <c r="E81" s="733"/>
      <c r="F81" s="733"/>
      <c r="G81" s="733"/>
      <c r="H81" s="733"/>
      <c r="I81" s="734" t="s">
        <v>178</v>
      </c>
      <c r="J81" s="755">
        <v>0</v>
      </c>
      <c r="K81" s="977">
        <f>IFERROR(_xlfn.CEILING.MATH(J81,INDEX('СВОДНАЯ СПЕЦИФИКАЦИЯ'!$C$10:$C$408,MATCH(D81,'СВОДНАЯ СПЕЦИФИКАЦИЯ'!$D$10:$D$408,0))),"Введите кол-во")</f>
        <v>0</v>
      </c>
      <c r="L81" s="978">
        <f>INDEX('СВОДНАЯ СПЕЦИФИКАЦИЯ'!$H$10:$H$408,MATCH(D81,Таблица2[Наименование материала],0))</f>
        <v>0</v>
      </c>
      <c r="M81" s="979">
        <f t="shared" si="3"/>
        <v>0</v>
      </c>
      <c r="O81" s="934">
        <f t="shared" si="2"/>
        <v>0</v>
      </c>
      <c r="Q81" s="988" t="s">
        <v>321</v>
      </c>
      <c r="R81" s="985"/>
      <c r="S81" s="985"/>
      <c r="T81" s="986">
        <v>180</v>
      </c>
      <c r="U81" s="985" t="s">
        <v>150</v>
      </c>
      <c r="V81" s="957"/>
      <c r="W81" s="957"/>
      <c r="X81" s="934"/>
      <c r="Y81" s="934"/>
      <c r="Z81" s="934"/>
      <c r="AA81" s="934"/>
      <c r="AB81" s="987"/>
      <c r="AC81" s="934"/>
      <c r="AD81" s="934"/>
      <c r="AE81" s="934"/>
      <c r="AF81" s="934"/>
      <c r="AG81" s="934"/>
      <c r="AH81" s="934"/>
      <c r="AI81" s="934"/>
      <c r="AJ81" s="934"/>
    </row>
    <row r="82" spans="2:36" ht="15" hidden="1" customHeight="1">
      <c r="B82" s="1432"/>
      <c r="C82" s="898">
        <v>524930</v>
      </c>
      <c r="D82" s="732" t="s">
        <v>1213</v>
      </c>
      <c r="E82" s="733"/>
      <c r="F82" s="733"/>
      <c r="G82" s="733"/>
      <c r="H82" s="733"/>
      <c r="I82" s="734" t="s">
        <v>178</v>
      </c>
      <c r="J82" s="755">
        <v>0</v>
      </c>
      <c r="K82" s="977">
        <f>IFERROR(_xlfn.CEILING.MATH(J82,INDEX('СВОДНАЯ СПЕЦИФИКАЦИЯ'!$C$10:$C$408,MATCH(D82,'СВОДНАЯ СПЕЦИФИКАЦИЯ'!$D$10:$D$408,0))),"Введите кол-во")</f>
        <v>0</v>
      </c>
      <c r="L82" s="978">
        <f>INDEX('СВОДНАЯ СПЕЦИФИКАЦИЯ'!$H$10:$H$408,MATCH(D82,Таблица2[Наименование материала],0))</f>
        <v>0</v>
      </c>
      <c r="M82" s="979">
        <f t="shared" si="3"/>
        <v>0</v>
      </c>
      <c r="O82" s="934">
        <f t="shared" si="2"/>
        <v>0</v>
      </c>
      <c r="Q82" s="988" t="s">
        <v>321</v>
      </c>
      <c r="R82" s="985"/>
      <c r="S82" s="985"/>
      <c r="T82" s="986">
        <v>190</v>
      </c>
      <c r="U82" s="985" t="s">
        <v>150</v>
      </c>
      <c r="V82" s="957"/>
      <c r="W82" s="957"/>
      <c r="X82" s="934"/>
      <c r="Y82" s="934"/>
      <c r="Z82" s="934"/>
      <c r="AA82" s="934"/>
      <c r="AB82" s="987"/>
      <c r="AC82" s="934"/>
      <c r="AD82" s="934"/>
      <c r="AE82" s="934"/>
      <c r="AF82" s="934"/>
      <c r="AG82" s="934"/>
      <c r="AH82" s="934"/>
      <c r="AI82" s="934"/>
      <c r="AJ82" s="934"/>
    </row>
    <row r="83" spans="2:36" ht="15" hidden="1" customHeight="1">
      <c r="B83" s="1432"/>
      <c r="C83" s="898">
        <v>524932</v>
      </c>
      <c r="D83" s="732" t="s">
        <v>1214</v>
      </c>
      <c r="E83" s="733"/>
      <c r="F83" s="733"/>
      <c r="G83" s="733"/>
      <c r="H83" s="733"/>
      <c r="I83" s="734" t="s">
        <v>178</v>
      </c>
      <c r="J83" s="755">
        <v>0</v>
      </c>
      <c r="K83" s="977">
        <f>IFERROR(_xlfn.CEILING.MATH(J83,INDEX('СВОДНАЯ СПЕЦИФИКАЦИЯ'!$C$10:$C$408,MATCH(D83,'СВОДНАЯ СПЕЦИФИКАЦИЯ'!$D$10:$D$408,0))),"Введите кол-во")</f>
        <v>0</v>
      </c>
      <c r="L83" s="978">
        <f>INDEX('СВОДНАЯ СПЕЦИФИКАЦИЯ'!$H$10:$H$408,MATCH(D83,Таблица2[Наименование материала],0))</f>
        <v>0</v>
      </c>
      <c r="M83" s="979">
        <f t="shared" si="3"/>
        <v>0</v>
      </c>
      <c r="O83" s="934">
        <f t="shared" si="2"/>
        <v>0</v>
      </c>
      <c r="Q83" s="988" t="s">
        <v>321</v>
      </c>
      <c r="R83" s="985"/>
      <c r="S83" s="985"/>
      <c r="T83" s="986">
        <v>200</v>
      </c>
      <c r="U83" s="985" t="s">
        <v>150</v>
      </c>
      <c r="V83" s="957"/>
      <c r="W83" s="957"/>
      <c r="X83" s="934"/>
      <c r="Y83" s="934"/>
      <c r="Z83" s="934"/>
      <c r="AA83" s="934"/>
      <c r="AB83" s="987"/>
      <c r="AC83" s="934"/>
      <c r="AD83" s="934"/>
      <c r="AE83" s="934"/>
      <c r="AF83" s="934"/>
      <c r="AG83" s="934"/>
      <c r="AH83" s="934"/>
      <c r="AI83" s="934"/>
      <c r="AJ83" s="934"/>
    </row>
    <row r="84" spans="2:36" ht="15" hidden="1" customHeight="1">
      <c r="B84" s="1432"/>
      <c r="C84" s="898">
        <v>524687</v>
      </c>
      <c r="D84" s="732" t="s">
        <v>1215</v>
      </c>
      <c r="E84" s="733"/>
      <c r="F84" s="733"/>
      <c r="G84" s="733"/>
      <c r="H84" s="733"/>
      <c r="I84" s="734" t="s">
        <v>178</v>
      </c>
      <c r="J84" s="755">
        <v>0</v>
      </c>
      <c r="K84" s="977">
        <f>IFERROR(_xlfn.CEILING.MATH(J84,INDEX('СВОДНАЯ СПЕЦИФИКАЦИЯ'!$C$10:$C$408,MATCH(D84,'СВОДНАЯ СПЕЦИФИКАЦИЯ'!$D$10:$D$408,0))),"Введите кол-во")</f>
        <v>0</v>
      </c>
      <c r="L84" s="978">
        <f>INDEX('СВОДНАЯ СПЕЦИФИКАЦИЯ'!$H$10:$H$408,MATCH(D84,Таблица2[Наименование материала],0))</f>
        <v>0</v>
      </c>
      <c r="M84" s="979">
        <f t="shared" si="3"/>
        <v>0</v>
      </c>
      <c r="O84" s="934">
        <f t="shared" si="2"/>
        <v>0</v>
      </c>
      <c r="Q84" s="988" t="s">
        <v>323</v>
      </c>
      <c r="R84" s="989"/>
      <c r="S84" s="989"/>
      <c r="T84" s="986">
        <v>30</v>
      </c>
      <c r="U84" s="990" t="s">
        <v>150</v>
      </c>
      <c r="V84" s="957"/>
      <c r="W84" s="957"/>
      <c r="X84" s="934"/>
      <c r="Y84" s="934"/>
      <c r="Z84" s="934"/>
      <c r="AA84" s="934"/>
      <c r="AB84" s="987"/>
      <c r="AC84" s="934"/>
      <c r="AD84" s="934"/>
      <c r="AE84" s="934"/>
      <c r="AF84" s="934"/>
      <c r="AG84" s="934"/>
      <c r="AH84" s="934"/>
      <c r="AI84" s="934"/>
      <c r="AJ84" s="934"/>
    </row>
    <row r="85" spans="2:36" ht="15" hidden="1" customHeight="1">
      <c r="B85" s="1432"/>
      <c r="C85" s="898">
        <v>523816</v>
      </c>
      <c r="D85" s="732" t="s">
        <v>1216</v>
      </c>
      <c r="E85" s="733"/>
      <c r="F85" s="733"/>
      <c r="G85" s="733"/>
      <c r="H85" s="733"/>
      <c r="I85" s="734" t="s">
        <v>178</v>
      </c>
      <c r="J85" s="755">
        <v>0</v>
      </c>
      <c r="K85" s="977">
        <f>IFERROR(_xlfn.CEILING.MATH(J85,INDEX('СВОДНАЯ СПЕЦИФИКАЦИЯ'!$C$10:$C$408,MATCH(D85,'СВОДНАЯ СПЕЦИФИКАЦИЯ'!$D$10:$D$408,0))),"Введите кол-во")</f>
        <v>0</v>
      </c>
      <c r="L85" s="978">
        <f>INDEX('СВОДНАЯ СПЕЦИФИКАЦИЯ'!$H$10:$H$408,MATCH(D85,Таблица2[Наименование материала],0))</f>
        <v>0</v>
      </c>
      <c r="M85" s="979">
        <f t="shared" si="3"/>
        <v>0</v>
      </c>
      <c r="O85" s="934">
        <f t="shared" si="2"/>
        <v>0</v>
      </c>
      <c r="Q85" s="988" t="s">
        <v>323</v>
      </c>
      <c r="R85" s="985"/>
      <c r="S85" s="985"/>
      <c r="T85" s="986">
        <v>40</v>
      </c>
      <c r="U85" s="985" t="s">
        <v>150</v>
      </c>
      <c r="V85" s="957"/>
      <c r="W85" s="957"/>
      <c r="X85" s="934"/>
      <c r="Y85" s="934"/>
      <c r="Z85" s="934"/>
      <c r="AA85" s="934"/>
      <c r="AB85" s="987"/>
      <c r="AC85" s="934"/>
      <c r="AD85" s="934"/>
      <c r="AE85" s="934"/>
      <c r="AF85" s="934"/>
      <c r="AG85" s="934"/>
      <c r="AH85" s="934"/>
      <c r="AI85" s="934"/>
      <c r="AJ85" s="934"/>
    </row>
    <row r="86" spans="2:36" ht="15" hidden="1" customHeight="1">
      <c r="B86" s="1432"/>
      <c r="C86" s="898">
        <v>524686</v>
      </c>
      <c r="D86" s="732" t="s">
        <v>1217</v>
      </c>
      <c r="E86" s="733"/>
      <c r="F86" s="733"/>
      <c r="G86" s="733"/>
      <c r="H86" s="733"/>
      <c r="I86" s="734" t="s">
        <v>178</v>
      </c>
      <c r="J86" s="755">
        <v>0</v>
      </c>
      <c r="K86" s="977">
        <f>IFERROR(_xlfn.CEILING.MATH(J86,INDEX('СВОДНАЯ СПЕЦИФИКАЦИЯ'!$C$10:$C$408,MATCH(D86,'СВОДНАЯ СПЕЦИФИКАЦИЯ'!$D$10:$D$408,0))),"Введите кол-во")</f>
        <v>0</v>
      </c>
      <c r="L86" s="978">
        <f>INDEX('СВОДНАЯ СПЕЦИФИКАЦИЯ'!$H$10:$H$408,MATCH(D86,Таблица2[Наименование материала],0))</f>
        <v>0</v>
      </c>
      <c r="M86" s="979">
        <f t="shared" si="3"/>
        <v>0</v>
      </c>
      <c r="O86" s="934">
        <f t="shared" si="2"/>
        <v>0</v>
      </c>
      <c r="Q86" s="988" t="s">
        <v>323</v>
      </c>
      <c r="R86" s="985"/>
      <c r="S86" s="985"/>
      <c r="T86" s="986">
        <v>50</v>
      </c>
      <c r="U86" s="985" t="s">
        <v>150</v>
      </c>
      <c r="V86" s="957"/>
      <c r="W86" s="957"/>
      <c r="X86" s="934"/>
      <c r="Y86" s="934"/>
      <c r="Z86" s="934"/>
      <c r="AA86" s="934"/>
      <c r="AB86" s="987"/>
      <c r="AC86" s="934"/>
      <c r="AD86" s="934"/>
      <c r="AE86" s="934"/>
      <c r="AF86" s="934"/>
      <c r="AG86" s="934"/>
      <c r="AH86" s="934"/>
      <c r="AI86" s="934"/>
      <c r="AJ86" s="934"/>
    </row>
    <row r="87" spans="2:36" ht="15" hidden="1" customHeight="1">
      <c r="B87" s="1432"/>
      <c r="C87" s="898">
        <v>525143</v>
      </c>
      <c r="D87" s="732" t="s">
        <v>1218</v>
      </c>
      <c r="E87" s="733"/>
      <c r="F87" s="733"/>
      <c r="G87" s="733"/>
      <c r="H87" s="733"/>
      <c r="I87" s="734" t="s">
        <v>178</v>
      </c>
      <c r="J87" s="755">
        <v>0</v>
      </c>
      <c r="K87" s="977">
        <f>IFERROR(_xlfn.CEILING.MATH(J87,INDEX('СВОДНАЯ СПЕЦИФИКАЦИЯ'!$C$10:$C$408,MATCH(D87,'СВОДНАЯ СПЕЦИФИКАЦИЯ'!$D$10:$D$408,0))),"Введите кол-во")</f>
        <v>0</v>
      </c>
      <c r="L87" s="978">
        <f>INDEX('СВОДНАЯ СПЕЦИФИКАЦИЯ'!$H$10:$H$408,MATCH(D87,Таблица2[Наименование материала],0))</f>
        <v>0</v>
      </c>
      <c r="M87" s="979">
        <f t="shared" si="3"/>
        <v>0</v>
      </c>
      <c r="O87" s="934">
        <f t="shared" si="2"/>
        <v>0</v>
      </c>
      <c r="Q87" s="988" t="s">
        <v>324</v>
      </c>
      <c r="R87" s="985"/>
      <c r="S87" s="985"/>
      <c r="T87" s="986">
        <v>40</v>
      </c>
      <c r="U87" s="985" t="s">
        <v>150</v>
      </c>
      <c r="V87" s="957"/>
      <c r="W87" s="957"/>
      <c r="X87" s="934"/>
      <c r="Y87" s="934"/>
      <c r="Z87" s="934"/>
      <c r="AA87" s="934"/>
      <c r="AB87" s="987"/>
      <c r="AC87" s="934"/>
      <c r="AD87" s="934"/>
      <c r="AE87" s="934"/>
      <c r="AF87" s="934"/>
      <c r="AG87" s="934"/>
      <c r="AH87" s="934"/>
      <c r="AI87" s="934"/>
      <c r="AJ87" s="934"/>
    </row>
    <row r="88" spans="2:36" ht="15" hidden="1" customHeight="1">
      <c r="B88" s="1432"/>
      <c r="C88" s="898">
        <v>525144</v>
      </c>
      <c r="D88" s="732" t="s">
        <v>1219</v>
      </c>
      <c r="E88" s="733"/>
      <c r="F88" s="733"/>
      <c r="G88" s="733"/>
      <c r="H88" s="733"/>
      <c r="I88" s="734" t="s">
        <v>178</v>
      </c>
      <c r="J88" s="755">
        <v>0</v>
      </c>
      <c r="K88" s="977">
        <f>IFERROR(_xlfn.CEILING.MATH(J88,INDEX('СВОДНАЯ СПЕЦИФИКАЦИЯ'!$C$10:$C$408,MATCH(D88,'СВОДНАЯ СПЕЦИФИКАЦИЯ'!$D$10:$D$408,0))),"Введите кол-во")</f>
        <v>0</v>
      </c>
      <c r="L88" s="978">
        <f>INDEX('СВОДНАЯ СПЕЦИФИКАЦИЯ'!$H$10:$H$408,MATCH(D88,Таблица2[Наименование материала],0))</f>
        <v>0</v>
      </c>
      <c r="M88" s="979">
        <f t="shared" si="3"/>
        <v>0</v>
      </c>
      <c r="O88" s="934">
        <f t="shared" si="2"/>
        <v>0</v>
      </c>
      <c r="Q88" s="988" t="s">
        <v>324</v>
      </c>
      <c r="R88" s="985"/>
      <c r="S88" s="985"/>
      <c r="T88" s="986">
        <v>50</v>
      </c>
      <c r="U88" s="985" t="s">
        <v>150</v>
      </c>
      <c r="V88" s="957"/>
      <c r="W88" s="957"/>
      <c r="X88" s="934"/>
      <c r="Y88" s="934"/>
      <c r="Z88" s="934"/>
      <c r="AA88" s="934"/>
      <c r="AB88" s="987"/>
      <c r="AC88" s="934"/>
      <c r="AD88" s="934"/>
      <c r="AE88" s="934"/>
      <c r="AF88" s="934"/>
      <c r="AG88" s="934"/>
      <c r="AH88" s="934"/>
      <c r="AI88" s="934"/>
      <c r="AJ88" s="934"/>
    </row>
    <row r="89" spans="2:36" ht="15" hidden="1" customHeight="1">
      <c r="B89" s="1432"/>
      <c r="C89" s="898">
        <v>494942</v>
      </c>
      <c r="D89" s="732" t="s">
        <v>1220</v>
      </c>
      <c r="E89" s="733"/>
      <c r="F89" s="733"/>
      <c r="G89" s="733"/>
      <c r="H89" s="733"/>
      <c r="I89" s="734" t="s">
        <v>178</v>
      </c>
      <c r="J89" s="755">
        <v>0</v>
      </c>
      <c r="K89" s="977">
        <f>IFERROR(_xlfn.CEILING.MATH(J89,INDEX('СВОДНАЯ СПЕЦИФИКАЦИЯ'!$C$10:$C$408,MATCH(D89,'СВОДНАЯ СПЕЦИФИКАЦИЯ'!$D$10:$D$408,0))),"Введите кол-во")</f>
        <v>0</v>
      </c>
      <c r="L89" s="978">
        <f>INDEX('СВОДНАЯ СПЕЦИФИКАЦИЯ'!$H$10:$H$408,MATCH(D89,Таблица2[Наименование материала],0))</f>
        <v>0</v>
      </c>
      <c r="M89" s="979">
        <f t="shared" si="3"/>
        <v>0</v>
      </c>
      <c r="O89" s="934">
        <f t="shared" si="2"/>
        <v>0</v>
      </c>
      <c r="Q89" s="988" t="s">
        <v>322</v>
      </c>
      <c r="R89" s="985"/>
      <c r="S89" s="985"/>
      <c r="T89" s="986">
        <v>50</v>
      </c>
      <c r="U89" s="985" t="s">
        <v>150</v>
      </c>
      <c r="V89" s="957"/>
      <c r="W89" s="957"/>
      <c r="X89" s="934"/>
      <c r="Y89" s="934"/>
      <c r="Z89" s="934"/>
      <c r="AA89" s="934"/>
      <c r="AB89" s="987"/>
      <c r="AC89" s="934"/>
      <c r="AD89" s="934"/>
      <c r="AE89" s="934"/>
      <c r="AF89" s="934"/>
      <c r="AG89" s="934"/>
      <c r="AH89" s="934"/>
      <c r="AI89" s="934"/>
      <c r="AJ89" s="934"/>
    </row>
    <row r="90" spans="2:36" ht="15" hidden="1" customHeight="1">
      <c r="B90" s="1432"/>
      <c r="C90" s="898">
        <v>494943</v>
      </c>
      <c r="D90" s="732" t="s">
        <v>1221</v>
      </c>
      <c r="E90" s="733"/>
      <c r="F90" s="733"/>
      <c r="G90" s="733"/>
      <c r="H90" s="733"/>
      <c r="I90" s="734" t="s">
        <v>178</v>
      </c>
      <c r="J90" s="755">
        <v>0</v>
      </c>
      <c r="K90" s="977">
        <f>IFERROR(_xlfn.CEILING.MATH(J90,INDEX('СВОДНАЯ СПЕЦИФИКАЦИЯ'!$C$10:$C$408,MATCH(D90,'СВОДНАЯ СПЕЦИФИКАЦИЯ'!$D$10:$D$408,0))),"Введите кол-во")</f>
        <v>0</v>
      </c>
      <c r="L90" s="978">
        <f>INDEX('СВОДНАЯ СПЕЦИФИКАЦИЯ'!$H$10:$H$408,MATCH(D90,Таблица2[Наименование материала],0))</f>
        <v>0</v>
      </c>
      <c r="M90" s="979">
        <f t="shared" si="3"/>
        <v>0</v>
      </c>
      <c r="O90" s="934">
        <f t="shared" si="2"/>
        <v>0</v>
      </c>
      <c r="Q90" s="988" t="s">
        <v>322</v>
      </c>
      <c r="R90" s="985"/>
      <c r="S90" s="985"/>
      <c r="T90" s="986">
        <v>60</v>
      </c>
      <c r="U90" s="985" t="s">
        <v>150</v>
      </c>
      <c r="V90" s="957"/>
      <c r="W90" s="957"/>
      <c r="X90" s="934"/>
      <c r="Y90" s="934"/>
      <c r="Z90" s="934"/>
      <c r="AA90" s="934"/>
      <c r="AB90" s="987"/>
      <c r="AC90" s="934"/>
      <c r="AD90" s="934"/>
      <c r="AE90" s="934"/>
      <c r="AF90" s="934"/>
      <c r="AG90" s="934"/>
      <c r="AH90" s="934"/>
      <c r="AI90" s="934"/>
      <c r="AJ90" s="934"/>
    </row>
    <row r="91" spans="2:36" ht="15" hidden="1" customHeight="1">
      <c r="B91" s="1432"/>
      <c r="C91" s="898">
        <v>494944</v>
      </c>
      <c r="D91" s="732" t="s">
        <v>1222</v>
      </c>
      <c r="E91" s="733"/>
      <c r="F91" s="733"/>
      <c r="G91" s="733"/>
      <c r="H91" s="733"/>
      <c r="I91" s="734" t="s">
        <v>178</v>
      </c>
      <c r="J91" s="755">
        <v>0</v>
      </c>
      <c r="K91" s="977">
        <f>IFERROR(_xlfn.CEILING.MATH(J91,INDEX('СВОДНАЯ СПЕЦИФИКАЦИЯ'!$C$10:$C$408,MATCH(D91,'СВОДНАЯ СПЕЦИФИКАЦИЯ'!$D$10:$D$408,0))),"Введите кол-во")</f>
        <v>0</v>
      </c>
      <c r="L91" s="978">
        <f>INDEX('СВОДНАЯ СПЕЦИФИКАЦИЯ'!$H$10:$H$408,MATCH(D91,Таблица2[Наименование материала],0))</f>
        <v>0</v>
      </c>
      <c r="M91" s="979">
        <f t="shared" si="3"/>
        <v>0</v>
      </c>
      <c r="O91" s="934">
        <f t="shared" si="2"/>
        <v>0</v>
      </c>
      <c r="Q91" s="988" t="s">
        <v>322</v>
      </c>
      <c r="R91" s="985"/>
      <c r="S91" s="985"/>
      <c r="T91" s="986">
        <v>70</v>
      </c>
      <c r="U91" s="985" t="s">
        <v>150</v>
      </c>
      <c r="V91" s="957"/>
      <c r="W91" s="957"/>
      <c r="X91" s="934"/>
      <c r="Y91" s="934"/>
      <c r="Z91" s="934"/>
      <c r="AA91" s="934"/>
      <c r="AB91" s="987"/>
      <c r="AC91" s="934"/>
      <c r="AD91" s="934"/>
      <c r="AE91" s="934"/>
      <c r="AF91" s="934"/>
      <c r="AG91" s="934"/>
      <c r="AH91" s="934"/>
      <c r="AI91" s="934"/>
      <c r="AJ91" s="934"/>
    </row>
    <row r="92" spans="2:36" ht="15" hidden="1" customHeight="1">
      <c r="B92" s="1432"/>
      <c r="C92" s="898">
        <v>494945</v>
      </c>
      <c r="D92" s="732" t="s">
        <v>1223</v>
      </c>
      <c r="E92" s="733"/>
      <c r="F92" s="733"/>
      <c r="G92" s="733"/>
      <c r="H92" s="733"/>
      <c r="I92" s="734" t="s">
        <v>178</v>
      </c>
      <c r="J92" s="755">
        <v>0</v>
      </c>
      <c r="K92" s="977">
        <f>IFERROR(_xlfn.CEILING.MATH(J92,INDEX('СВОДНАЯ СПЕЦИФИКАЦИЯ'!$C$10:$C$408,MATCH(D92,'СВОДНАЯ СПЕЦИФИКАЦИЯ'!$D$10:$D$408,0))),"Введите кол-во")</f>
        <v>0</v>
      </c>
      <c r="L92" s="978">
        <f>INDEX('СВОДНАЯ СПЕЦИФИКАЦИЯ'!$H$10:$H$408,MATCH(D92,Таблица2[Наименование материала],0))</f>
        <v>0</v>
      </c>
      <c r="M92" s="979">
        <f t="shared" si="3"/>
        <v>0</v>
      </c>
      <c r="O92" s="934">
        <f t="shared" si="2"/>
        <v>0</v>
      </c>
      <c r="Q92" s="988" t="s">
        <v>322</v>
      </c>
      <c r="R92" s="985"/>
      <c r="S92" s="985"/>
      <c r="T92" s="986">
        <v>80</v>
      </c>
      <c r="U92" s="985" t="s">
        <v>150</v>
      </c>
      <c r="V92" s="957"/>
      <c r="W92" s="957"/>
      <c r="X92" s="934"/>
      <c r="Y92" s="934"/>
      <c r="Z92" s="934"/>
      <c r="AA92" s="934"/>
      <c r="AB92" s="987"/>
      <c r="AC92" s="934"/>
      <c r="AD92" s="934"/>
      <c r="AE92" s="934"/>
      <c r="AF92" s="934"/>
      <c r="AG92" s="934"/>
      <c r="AH92" s="934"/>
      <c r="AI92" s="934"/>
      <c r="AJ92" s="934"/>
    </row>
    <row r="93" spans="2:36" ht="15" hidden="1" customHeight="1">
      <c r="B93" s="1432"/>
      <c r="C93" s="898">
        <v>494862</v>
      </c>
      <c r="D93" s="732" t="s">
        <v>1224</v>
      </c>
      <c r="E93" s="733"/>
      <c r="F93" s="733"/>
      <c r="G93" s="733"/>
      <c r="H93" s="733"/>
      <c r="I93" s="734" t="s">
        <v>178</v>
      </c>
      <c r="J93" s="755">
        <v>0</v>
      </c>
      <c r="K93" s="977">
        <f>IFERROR(_xlfn.CEILING.MATH(J93,INDEX('СВОДНАЯ СПЕЦИФИКАЦИЯ'!$C$10:$C$408,MATCH(D93,'СВОДНАЯ СПЕЦИФИКАЦИЯ'!$D$10:$D$408,0))),"Введите кол-во")</f>
        <v>0</v>
      </c>
      <c r="L93" s="978">
        <f>INDEX('СВОДНАЯ СПЕЦИФИКАЦИЯ'!$H$10:$H$408,MATCH(D93,Таблица2[Наименование материала],0))</f>
        <v>0</v>
      </c>
      <c r="M93" s="979">
        <f t="shared" si="3"/>
        <v>0</v>
      </c>
      <c r="O93" s="934">
        <f t="shared" ref="O93:O156" si="4">IF(J93=0,0,1)</f>
        <v>0</v>
      </c>
      <c r="Q93" s="988" t="s">
        <v>322</v>
      </c>
      <c r="R93" s="985"/>
      <c r="S93" s="985"/>
      <c r="T93" s="986">
        <v>90</v>
      </c>
      <c r="U93" s="985" t="s">
        <v>150</v>
      </c>
      <c r="V93" s="957"/>
      <c r="W93" s="957"/>
      <c r="X93" s="934"/>
      <c r="Y93" s="934"/>
      <c r="Z93" s="934"/>
      <c r="AA93" s="934"/>
      <c r="AB93" s="987"/>
      <c r="AC93" s="934"/>
      <c r="AD93" s="934"/>
      <c r="AE93" s="934"/>
      <c r="AF93" s="934"/>
      <c r="AG93" s="934"/>
      <c r="AH93" s="934"/>
      <c r="AI93" s="934"/>
      <c r="AJ93" s="934"/>
    </row>
    <row r="94" spans="2:36" ht="15" hidden="1" customHeight="1">
      <c r="B94" s="1432"/>
      <c r="C94" s="898">
        <v>494946</v>
      </c>
      <c r="D94" s="732" t="s">
        <v>1225</v>
      </c>
      <c r="E94" s="733"/>
      <c r="F94" s="733"/>
      <c r="G94" s="733"/>
      <c r="H94" s="733"/>
      <c r="I94" s="734" t="s">
        <v>178</v>
      </c>
      <c r="J94" s="755">
        <v>0</v>
      </c>
      <c r="K94" s="977">
        <f>IFERROR(_xlfn.CEILING.MATH(J94,INDEX('СВОДНАЯ СПЕЦИФИКАЦИЯ'!$C$10:$C$408,MATCH(D94,'СВОДНАЯ СПЕЦИФИКАЦИЯ'!$D$10:$D$408,0))),"Введите кол-во")</f>
        <v>0</v>
      </c>
      <c r="L94" s="978">
        <f>INDEX('СВОДНАЯ СПЕЦИФИКАЦИЯ'!$H$10:$H$408,MATCH(D94,Таблица2[Наименование материала],0))</f>
        <v>0</v>
      </c>
      <c r="M94" s="979">
        <f t="shared" si="3"/>
        <v>0</v>
      </c>
      <c r="O94" s="934">
        <f t="shared" si="4"/>
        <v>0</v>
      </c>
      <c r="Q94" s="988" t="s">
        <v>322</v>
      </c>
      <c r="R94" s="985"/>
      <c r="S94" s="985"/>
      <c r="T94" s="986">
        <v>100</v>
      </c>
      <c r="U94" s="985" t="s">
        <v>150</v>
      </c>
      <c r="V94" s="957"/>
      <c r="W94" s="957"/>
      <c r="X94" s="934"/>
      <c r="Y94" s="934"/>
      <c r="Z94" s="934"/>
      <c r="AA94" s="934"/>
      <c r="AB94" s="987"/>
      <c r="AC94" s="934"/>
      <c r="AD94" s="934"/>
      <c r="AE94" s="934"/>
      <c r="AF94" s="934"/>
      <c r="AG94" s="934"/>
      <c r="AH94" s="934"/>
      <c r="AI94" s="934"/>
      <c r="AJ94" s="934"/>
    </row>
    <row r="95" spans="2:36" ht="15" hidden="1" customHeight="1">
      <c r="B95" s="1432"/>
      <c r="C95" s="898">
        <v>494947</v>
      </c>
      <c r="D95" s="732" t="s">
        <v>1226</v>
      </c>
      <c r="E95" s="733"/>
      <c r="F95" s="733"/>
      <c r="G95" s="733"/>
      <c r="H95" s="733"/>
      <c r="I95" s="734" t="s">
        <v>178</v>
      </c>
      <c r="J95" s="755">
        <v>0</v>
      </c>
      <c r="K95" s="977">
        <f>IFERROR(_xlfn.CEILING.MATH(J95,INDEX('СВОДНАЯ СПЕЦИФИКАЦИЯ'!$C$10:$C$408,MATCH(D95,'СВОДНАЯ СПЕЦИФИКАЦИЯ'!$D$10:$D$408,0))),"Введите кол-во")</f>
        <v>0</v>
      </c>
      <c r="L95" s="978">
        <f>INDEX('СВОДНАЯ СПЕЦИФИКАЦИЯ'!$H$10:$H$408,MATCH(D95,Таблица2[Наименование материала],0))</f>
        <v>0</v>
      </c>
      <c r="M95" s="979">
        <f t="shared" si="3"/>
        <v>0</v>
      </c>
      <c r="O95" s="934">
        <f t="shared" si="4"/>
        <v>0</v>
      </c>
      <c r="Q95" s="988" t="s">
        <v>322</v>
      </c>
      <c r="R95" s="985"/>
      <c r="S95" s="985"/>
      <c r="T95" s="986">
        <v>110</v>
      </c>
      <c r="U95" s="985" t="s">
        <v>150</v>
      </c>
      <c r="V95" s="957"/>
      <c r="W95" s="957"/>
      <c r="X95" s="934"/>
      <c r="Y95" s="934"/>
      <c r="Z95" s="934"/>
      <c r="AA95" s="934"/>
      <c r="AB95" s="987"/>
      <c r="AC95" s="934"/>
      <c r="AD95" s="934"/>
      <c r="AE95" s="934"/>
      <c r="AF95" s="934"/>
      <c r="AG95" s="934"/>
      <c r="AH95" s="934"/>
      <c r="AI95" s="934"/>
      <c r="AJ95" s="934"/>
    </row>
    <row r="96" spans="2:36" ht="15" hidden="1" customHeight="1">
      <c r="B96" s="1432"/>
      <c r="C96" s="898">
        <v>494948</v>
      </c>
      <c r="D96" s="732" t="s">
        <v>1227</v>
      </c>
      <c r="E96" s="733"/>
      <c r="F96" s="733"/>
      <c r="G96" s="733"/>
      <c r="H96" s="733"/>
      <c r="I96" s="734" t="s">
        <v>178</v>
      </c>
      <c r="J96" s="755">
        <v>0</v>
      </c>
      <c r="K96" s="977">
        <f>IFERROR(_xlfn.CEILING.MATH(J96,INDEX('СВОДНАЯ СПЕЦИФИКАЦИЯ'!$C$10:$C$408,MATCH(D96,'СВОДНАЯ СПЕЦИФИКАЦИЯ'!$D$10:$D$408,0))),"Введите кол-во")</f>
        <v>0</v>
      </c>
      <c r="L96" s="978">
        <f>INDEX('СВОДНАЯ СПЕЦИФИКАЦИЯ'!$H$10:$H$408,MATCH(D96,Таблица2[Наименование материала],0))</f>
        <v>0</v>
      </c>
      <c r="M96" s="979">
        <f t="shared" si="3"/>
        <v>0</v>
      </c>
      <c r="O96" s="934">
        <f t="shared" si="4"/>
        <v>0</v>
      </c>
      <c r="Q96" s="988" t="s">
        <v>322</v>
      </c>
      <c r="R96" s="985"/>
      <c r="S96" s="985"/>
      <c r="T96" s="986">
        <v>120</v>
      </c>
      <c r="U96" s="985" t="s">
        <v>150</v>
      </c>
      <c r="V96" s="957"/>
      <c r="W96" s="957"/>
      <c r="X96" s="934"/>
      <c r="Y96" s="934"/>
      <c r="Z96" s="934"/>
      <c r="AA96" s="934"/>
      <c r="AB96" s="987"/>
      <c r="AC96" s="934"/>
      <c r="AD96" s="934"/>
      <c r="AE96" s="934"/>
      <c r="AF96" s="934"/>
      <c r="AG96" s="934"/>
      <c r="AH96" s="934"/>
      <c r="AI96" s="934"/>
      <c r="AJ96" s="934"/>
    </row>
    <row r="97" spans="2:36" ht="15" hidden="1" customHeight="1">
      <c r="B97" s="1432"/>
      <c r="C97" s="898">
        <v>494949</v>
      </c>
      <c r="D97" s="732" t="s">
        <v>1228</v>
      </c>
      <c r="E97" s="733"/>
      <c r="F97" s="733"/>
      <c r="G97" s="733"/>
      <c r="H97" s="733"/>
      <c r="I97" s="734" t="s">
        <v>178</v>
      </c>
      <c r="J97" s="755">
        <v>0</v>
      </c>
      <c r="K97" s="977">
        <f>IFERROR(_xlfn.CEILING.MATH(J97,INDEX('СВОДНАЯ СПЕЦИФИКАЦИЯ'!$C$10:$C$408,MATCH(D97,'СВОДНАЯ СПЕЦИФИКАЦИЯ'!$D$10:$D$408,0))),"Введите кол-во")</f>
        <v>0</v>
      </c>
      <c r="L97" s="978">
        <f>INDEX('СВОДНАЯ СПЕЦИФИКАЦИЯ'!$H$10:$H$408,MATCH(D97,Таблица2[Наименование материала],0))</f>
        <v>0</v>
      </c>
      <c r="M97" s="979">
        <f t="shared" si="3"/>
        <v>0</v>
      </c>
      <c r="O97" s="934">
        <f t="shared" si="4"/>
        <v>0</v>
      </c>
      <c r="Q97" s="988" t="s">
        <v>322</v>
      </c>
      <c r="R97" s="985"/>
      <c r="S97" s="985"/>
      <c r="T97" s="986">
        <v>130</v>
      </c>
      <c r="U97" s="985" t="s">
        <v>150</v>
      </c>
      <c r="V97" s="957"/>
      <c r="W97" s="957"/>
      <c r="X97" s="934"/>
      <c r="Y97" s="934"/>
      <c r="Z97" s="934"/>
      <c r="AA97" s="934"/>
      <c r="AB97" s="987"/>
      <c r="AC97" s="934"/>
      <c r="AD97" s="934"/>
      <c r="AE97" s="934"/>
      <c r="AF97" s="934"/>
      <c r="AG97" s="934"/>
      <c r="AH97" s="934"/>
      <c r="AI97" s="934"/>
      <c r="AJ97" s="934"/>
    </row>
    <row r="98" spans="2:36" ht="15" hidden="1" customHeight="1">
      <c r="B98" s="1432"/>
      <c r="C98" s="898">
        <v>494950</v>
      </c>
      <c r="D98" s="732" t="s">
        <v>1229</v>
      </c>
      <c r="E98" s="733"/>
      <c r="F98" s="733"/>
      <c r="G98" s="733"/>
      <c r="H98" s="733"/>
      <c r="I98" s="734" t="s">
        <v>178</v>
      </c>
      <c r="J98" s="755">
        <v>0</v>
      </c>
      <c r="K98" s="977">
        <f>IFERROR(_xlfn.CEILING.MATH(J98,INDEX('СВОДНАЯ СПЕЦИФИКАЦИЯ'!$C$10:$C$408,MATCH(D98,'СВОДНАЯ СПЕЦИФИКАЦИЯ'!$D$10:$D$408,0))),"Введите кол-во")</f>
        <v>0</v>
      </c>
      <c r="L98" s="978">
        <f>INDEX('СВОДНАЯ СПЕЦИФИКАЦИЯ'!$H$10:$H$408,MATCH(D98,Таблица2[Наименование материала],0))</f>
        <v>0</v>
      </c>
      <c r="M98" s="979">
        <f t="shared" si="3"/>
        <v>0</v>
      </c>
      <c r="O98" s="934">
        <f t="shared" si="4"/>
        <v>0</v>
      </c>
      <c r="Q98" s="988" t="s">
        <v>322</v>
      </c>
      <c r="R98" s="985"/>
      <c r="S98" s="985"/>
      <c r="T98" s="986">
        <v>140</v>
      </c>
      <c r="U98" s="985" t="s">
        <v>150</v>
      </c>
      <c r="V98" s="957"/>
      <c r="W98" s="957"/>
      <c r="X98" s="934"/>
      <c r="Y98" s="934"/>
      <c r="Z98" s="934"/>
      <c r="AA98" s="934"/>
      <c r="AB98" s="987"/>
      <c r="AC98" s="934"/>
      <c r="AD98" s="934"/>
      <c r="AE98" s="934"/>
      <c r="AF98" s="934"/>
      <c r="AG98" s="934"/>
      <c r="AH98" s="934"/>
      <c r="AI98" s="934"/>
      <c r="AJ98" s="934"/>
    </row>
    <row r="99" spans="2:36" ht="15" hidden="1" customHeight="1">
      <c r="B99" s="1432"/>
      <c r="C99" s="898">
        <v>494952</v>
      </c>
      <c r="D99" s="732" t="s">
        <v>1230</v>
      </c>
      <c r="E99" s="733"/>
      <c r="F99" s="733"/>
      <c r="G99" s="733"/>
      <c r="H99" s="733"/>
      <c r="I99" s="734" t="s">
        <v>178</v>
      </c>
      <c r="J99" s="755">
        <v>0</v>
      </c>
      <c r="K99" s="977">
        <f>IFERROR(_xlfn.CEILING.MATH(J99,INDEX('СВОДНАЯ СПЕЦИФИКАЦИЯ'!$C$10:$C$408,MATCH(D99,'СВОДНАЯ СПЕЦИФИКАЦИЯ'!$D$10:$D$408,0))),"Введите кол-во")</f>
        <v>0</v>
      </c>
      <c r="L99" s="978">
        <f>INDEX('СВОДНАЯ СПЕЦИФИКАЦИЯ'!$H$10:$H$408,MATCH(D99,Таблица2[Наименование материала],0))</f>
        <v>0</v>
      </c>
      <c r="M99" s="979">
        <f t="shared" si="3"/>
        <v>0</v>
      </c>
      <c r="O99" s="934">
        <f t="shared" si="4"/>
        <v>0</v>
      </c>
      <c r="Q99" s="988" t="s">
        <v>322</v>
      </c>
      <c r="R99" s="985"/>
      <c r="S99" s="985"/>
      <c r="T99" s="986">
        <v>150</v>
      </c>
      <c r="U99" s="985" t="s">
        <v>150</v>
      </c>
      <c r="V99" s="957"/>
      <c r="W99" s="957"/>
      <c r="X99" s="934"/>
      <c r="Y99" s="934"/>
      <c r="Z99" s="934"/>
      <c r="AA99" s="934"/>
      <c r="AB99" s="987"/>
      <c r="AC99" s="934"/>
      <c r="AD99" s="934"/>
      <c r="AE99" s="934"/>
      <c r="AF99" s="934"/>
      <c r="AG99" s="934"/>
      <c r="AH99" s="934"/>
      <c r="AI99" s="934"/>
      <c r="AJ99" s="934"/>
    </row>
    <row r="100" spans="2:36" ht="15" hidden="1" customHeight="1">
      <c r="B100" s="1432"/>
      <c r="C100" s="898">
        <v>494954</v>
      </c>
      <c r="D100" s="732" t="s">
        <v>1231</v>
      </c>
      <c r="E100" s="733"/>
      <c r="F100" s="733"/>
      <c r="G100" s="733"/>
      <c r="H100" s="733"/>
      <c r="I100" s="734" t="s">
        <v>178</v>
      </c>
      <c r="J100" s="755">
        <v>0</v>
      </c>
      <c r="K100" s="977">
        <f>IFERROR(_xlfn.CEILING.MATH(J100,INDEX('СВОДНАЯ СПЕЦИФИКАЦИЯ'!$C$10:$C$408,MATCH(D100,'СВОДНАЯ СПЕЦИФИКАЦИЯ'!$D$10:$D$408,0))),"Введите кол-во")</f>
        <v>0</v>
      </c>
      <c r="L100" s="978">
        <f>INDEX('СВОДНАЯ СПЕЦИФИКАЦИЯ'!$H$10:$H$408,MATCH(D100,Таблица2[Наименование материала],0))</f>
        <v>0</v>
      </c>
      <c r="M100" s="979">
        <f t="shared" si="3"/>
        <v>0</v>
      </c>
      <c r="O100" s="934">
        <f t="shared" si="4"/>
        <v>0</v>
      </c>
      <c r="Q100" s="988" t="s">
        <v>322</v>
      </c>
      <c r="R100" s="985"/>
      <c r="S100" s="985"/>
      <c r="T100" s="986">
        <v>160</v>
      </c>
      <c r="U100" s="985" t="s">
        <v>150</v>
      </c>
      <c r="V100" s="957"/>
      <c r="W100" s="957"/>
      <c r="X100" s="934"/>
      <c r="Y100" s="934"/>
      <c r="Z100" s="934"/>
      <c r="AA100" s="934"/>
      <c r="AB100" s="987"/>
      <c r="AC100" s="934"/>
      <c r="AD100" s="934"/>
      <c r="AE100" s="934"/>
      <c r="AF100" s="934"/>
      <c r="AG100" s="934"/>
      <c r="AH100" s="934"/>
      <c r="AI100" s="934"/>
      <c r="AJ100" s="934"/>
    </row>
    <row r="101" spans="2:36" ht="15" hidden="1" customHeight="1">
      <c r="B101" s="1432"/>
      <c r="C101" s="898">
        <v>494955</v>
      </c>
      <c r="D101" s="732" t="s">
        <v>1232</v>
      </c>
      <c r="E101" s="733"/>
      <c r="F101" s="733"/>
      <c r="G101" s="733"/>
      <c r="H101" s="733"/>
      <c r="I101" s="734" t="s">
        <v>178</v>
      </c>
      <c r="J101" s="755">
        <v>0</v>
      </c>
      <c r="K101" s="977">
        <f>IFERROR(_xlfn.CEILING.MATH(J101,INDEX('СВОДНАЯ СПЕЦИФИКАЦИЯ'!$C$10:$C$408,MATCH(D101,'СВОДНАЯ СПЕЦИФИКАЦИЯ'!$D$10:$D$408,0))),"Введите кол-во")</f>
        <v>0</v>
      </c>
      <c r="L101" s="978">
        <f>INDEX('СВОДНАЯ СПЕЦИФИКАЦИЯ'!$H$10:$H$408,MATCH(D101,Таблица2[Наименование материала],0))</f>
        <v>0</v>
      </c>
      <c r="M101" s="979">
        <f t="shared" si="3"/>
        <v>0</v>
      </c>
      <c r="O101" s="934">
        <f t="shared" si="4"/>
        <v>0</v>
      </c>
      <c r="Q101" s="988" t="s">
        <v>322</v>
      </c>
      <c r="R101" s="985"/>
      <c r="S101" s="985"/>
      <c r="T101" s="986">
        <v>170</v>
      </c>
      <c r="U101" s="985" t="s">
        <v>150</v>
      </c>
      <c r="V101" s="957"/>
      <c r="W101" s="957"/>
      <c r="X101" s="934"/>
      <c r="Y101" s="934"/>
      <c r="Z101" s="934"/>
      <c r="AA101" s="934"/>
      <c r="AB101" s="987"/>
      <c r="AC101" s="934"/>
      <c r="AD101" s="934"/>
      <c r="AE101" s="934"/>
      <c r="AF101" s="934"/>
      <c r="AG101" s="934"/>
      <c r="AH101" s="934"/>
      <c r="AI101" s="934"/>
      <c r="AJ101" s="934"/>
    </row>
    <row r="102" spans="2:36" ht="15" hidden="1" customHeight="1">
      <c r="B102" s="1432"/>
      <c r="C102" s="898">
        <v>494968</v>
      </c>
      <c r="D102" s="732" t="s">
        <v>1233</v>
      </c>
      <c r="E102" s="733"/>
      <c r="F102" s="733"/>
      <c r="G102" s="733"/>
      <c r="H102" s="733"/>
      <c r="I102" s="734" t="s">
        <v>178</v>
      </c>
      <c r="J102" s="755">
        <v>0</v>
      </c>
      <c r="K102" s="977">
        <f>IFERROR(_xlfn.CEILING.MATH(J102,INDEX('СВОДНАЯ СПЕЦИФИКАЦИЯ'!$C$10:$C$408,MATCH(D102,'СВОДНАЯ СПЕЦИФИКАЦИЯ'!$D$10:$D$408,0))),"Введите кол-во")</f>
        <v>0</v>
      </c>
      <c r="L102" s="978">
        <f>INDEX('СВОДНАЯ СПЕЦИФИКАЦИЯ'!$H$10:$H$408,MATCH(D102,Таблица2[Наименование материала],0))</f>
        <v>0</v>
      </c>
      <c r="M102" s="979">
        <f t="shared" si="3"/>
        <v>0</v>
      </c>
      <c r="O102" s="934">
        <f t="shared" si="4"/>
        <v>0</v>
      </c>
      <c r="Q102" s="988" t="s">
        <v>322</v>
      </c>
      <c r="R102" s="985"/>
      <c r="S102" s="985"/>
      <c r="T102" s="986">
        <v>180</v>
      </c>
      <c r="U102" s="985" t="s">
        <v>150</v>
      </c>
      <c r="V102" s="957"/>
      <c r="W102" s="957"/>
      <c r="X102" s="934"/>
      <c r="Y102" s="934"/>
      <c r="Z102" s="934"/>
      <c r="AA102" s="934"/>
      <c r="AB102" s="987"/>
      <c r="AC102" s="934"/>
      <c r="AD102" s="934"/>
      <c r="AE102" s="934"/>
      <c r="AF102" s="934"/>
      <c r="AG102" s="934"/>
      <c r="AH102" s="934"/>
      <c r="AI102" s="934"/>
      <c r="AJ102" s="934"/>
    </row>
    <row r="103" spans="2:36" ht="15" hidden="1" customHeight="1">
      <c r="B103" s="1432"/>
      <c r="C103" s="898">
        <v>496475</v>
      </c>
      <c r="D103" s="732" t="s">
        <v>1234</v>
      </c>
      <c r="E103" s="733"/>
      <c r="F103" s="733"/>
      <c r="G103" s="733"/>
      <c r="H103" s="733"/>
      <c r="I103" s="734" t="s">
        <v>178</v>
      </c>
      <c r="J103" s="755">
        <v>0</v>
      </c>
      <c r="K103" s="977">
        <f>IFERROR(_xlfn.CEILING.MATH(J103,INDEX('СВОДНАЯ СПЕЦИФИКАЦИЯ'!$C$10:$C$408,MATCH(D103,'СВОДНАЯ СПЕЦИФИКАЦИЯ'!$D$10:$D$408,0))),"Введите кол-во")</f>
        <v>0</v>
      </c>
      <c r="L103" s="978">
        <f>INDEX('СВОДНАЯ СПЕЦИФИКАЦИЯ'!$H$10:$H$408,MATCH(D103,Таблица2[Наименование материала],0))</f>
        <v>0</v>
      </c>
      <c r="M103" s="979">
        <f t="shared" si="3"/>
        <v>0</v>
      </c>
      <c r="O103" s="934">
        <f t="shared" si="4"/>
        <v>0</v>
      </c>
      <c r="Q103" s="988" t="s">
        <v>325</v>
      </c>
      <c r="R103" s="989"/>
      <c r="S103" s="989"/>
      <c r="T103" s="986">
        <v>30</v>
      </c>
      <c r="U103" s="990" t="s">
        <v>150</v>
      </c>
      <c r="V103" s="957"/>
      <c r="W103" s="957"/>
      <c r="X103" s="934"/>
      <c r="Y103" s="934"/>
      <c r="Z103" s="934"/>
      <c r="AA103" s="934"/>
      <c r="AB103" s="987"/>
      <c r="AC103" s="934"/>
      <c r="AD103" s="934"/>
      <c r="AE103" s="934"/>
      <c r="AF103" s="934"/>
      <c r="AG103" s="934"/>
      <c r="AH103" s="934"/>
      <c r="AI103" s="934"/>
      <c r="AJ103" s="934"/>
    </row>
    <row r="104" spans="2:36" ht="15" hidden="1" customHeight="1">
      <c r="B104" s="1432"/>
      <c r="C104" s="898">
        <v>494775</v>
      </c>
      <c r="D104" s="732" t="s">
        <v>1235</v>
      </c>
      <c r="E104" s="733"/>
      <c r="F104" s="733"/>
      <c r="G104" s="733"/>
      <c r="H104" s="733"/>
      <c r="I104" s="734" t="s">
        <v>178</v>
      </c>
      <c r="J104" s="755">
        <v>0</v>
      </c>
      <c r="K104" s="977">
        <f>IFERROR(_xlfn.CEILING.MATH(J104,INDEX('СВОДНАЯ СПЕЦИФИКАЦИЯ'!$C$10:$C$408,MATCH(D104,'СВОДНАЯ СПЕЦИФИКАЦИЯ'!$D$10:$D$408,0))),"Введите кол-во")</f>
        <v>0</v>
      </c>
      <c r="L104" s="978">
        <f>INDEX('СВОДНАЯ СПЕЦИФИКАЦИЯ'!$H$10:$H$408,MATCH(D104,Таблица2[Наименование материала],0))</f>
        <v>0</v>
      </c>
      <c r="M104" s="979">
        <f t="shared" si="3"/>
        <v>0</v>
      </c>
      <c r="O104" s="934">
        <f t="shared" si="4"/>
        <v>0</v>
      </c>
      <c r="Q104" s="988" t="s">
        <v>325</v>
      </c>
      <c r="R104" s="985"/>
      <c r="S104" s="985"/>
      <c r="T104" s="986">
        <v>40</v>
      </c>
      <c r="U104" s="985" t="s">
        <v>150</v>
      </c>
      <c r="V104" s="957"/>
      <c r="W104" s="957"/>
      <c r="X104" s="934"/>
      <c r="Y104" s="934"/>
      <c r="Z104" s="934"/>
      <c r="AA104" s="934"/>
      <c r="AB104" s="987"/>
      <c r="AC104" s="934"/>
      <c r="AD104" s="934"/>
      <c r="AE104" s="934"/>
      <c r="AF104" s="934"/>
      <c r="AG104" s="934"/>
      <c r="AH104" s="934"/>
      <c r="AI104" s="934"/>
      <c r="AJ104" s="934"/>
    </row>
    <row r="105" spans="2:36" ht="15" customHeight="1" thickBot="1">
      <c r="B105" s="1432"/>
      <c r="C105" s="898">
        <v>494776</v>
      </c>
      <c r="D105" s="732" t="s">
        <v>1236</v>
      </c>
      <c r="E105" s="733"/>
      <c r="F105" s="733"/>
      <c r="G105" s="733"/>
      <c r="H105" s="733"/>
      <c r="I105" s="734" t="s">
        <v>178</v>
      </c>
      <c r="J105" s="755">
        <v>90.176500000000004</v>
      </c>
      <c r="K105" s="977">
        <f>IFERROR(_xlfn.CEILING.MATH(J105,INDEX('СВОДНАЯ СПЕЦИФИКАЦИЯ'!$C$10:$C$408,MATCH(D105,'СВОДНАЯ СПЕЦИФИКАЦИЯ'!$D$10:$D$408,0))),"Введите кол-во")</f>
        <v>96.768000000000001</v>
      </c>
      <c r="L105" s="978">
        <f>INDEX('СВОДНАЯ СПЕЦИФИКАЦИЯ'!$H$10:$H$408,MATCH(D105,Таблица2[Наименование материала],0))</f>
        <v>0</v>
      </c>
      <c r="M105" s="979">
        <f t="shared" si="3"/>
        <v>0</v>
      </c>
      <c r="O105" s="934">
        <f t="shared" si="4"/>
        <v>1</v>
      </c>
      <c r="Q105" s="988" t="s">
        <v>325</v>
      </c>
      <c r="R105" s="985"/>
      <c r="S105" s="985"/>
      <c r="T105" s="986">
        <v>50</v>
      </c>
      <c r="U105" s="985" t="s">
        <v>150</v>
      </c>
      <c r="V105" s="957"/>
      <c r="W105" s="957"/>
      <c r="X105" s="934"/>
      <c r="Y105" s="934"/>
      <c r="Z105" s="934"/>
      <c r="AA105" s="934"/>
      <c r="AB105" s="987"/>
      <c r="AC105" s="934"/>
      <c r="AD105" s="934"/>
      <c r="AE105" s="934"/>
      <c r="AF105" s="934"/>
      <c r="AG105" s="934"/>
      <c r="AH105" s="934"/>
      <c r="AI105" s="934"/>
      <c r="AJ105" s="934"/>
    </row>
    <row r="106" spans="2:36" ht="15" hidden="1" customHeight="1">
      <c r="B106" s="1432"/>
      <c r="C106" s="898">
        <v>525189</v>
      </c>
      <c r="D106" s="732" t="s">
        <v>1237</v>
      </c>
      <c r="E106" s="733"/>
      <c r="F106" s="733"/>
      <c r="G106" s="733"/>
      <c r="H106" s="733"/>
      <c r="I106" s="734" t="s">
        <v>178</v>
      </c>
      <c r="J106" s="755">
        <v>0</v>
      </c>
      <c r="K106" s="977">
        <f>IFERROR(_xlfn.CEILING.MATH(J106,INDEX('СВОДНАЯ СПЕЦИФИКАЦИЯ'!$C$10:$C$408,MATCH(D106,'СВОДНАЯ СПЕЦИФИКАЦИЯ'!$D$10:$D$408,0))),"Введите кол-во")</f>
        <v>0</v>
      </c>
      <c r="L106" s="978">
        <f>INDEX('СВОДНАЯ СПЕЦИФИКАЦИЯ'!$H$10:$H$408,MATCH(D106,Таблица2[Наименование материала],0))</f>
        <v>0</v>
      </c>
      <c r="M106" s="979">
        <f t="shared" si="3"/>
        <v>0</v>
      </c>
      <c r="O106" s="934">
        <f t="shared" si="4"/>
        <v>0</v>
      </c>
      <c r="Q106" s="988" t="s">
        <v>326</v>
      </c>
      <c r="R106" s="985"/>
      <c r="S106" s="985"/>
      <c r="T106" s="986">
        <v>40</v>
      </c>
      <c r="U106" s="985" t="s">
        <v>150</v>
      </c>
      <c r="V106" s="957"/>
      <c r="W106" s="957"/>
      <c r="X106" s="934"/>
      <c r="Y106" s="934"/>
      <c r="Z106" s="934"/>
      <c r="AA106" s="934"/>
      <c r="AB106" s="987"/>
      <c r="AC106" s="934"/>
      <c r="AD106" s="934"/>
      <c r="AE106" s="934"/>
      <c r="AF106" s="934"/>
      <c r="AG106" s="934"/>
      <c r="AH106" s="934"/>
      <c r="AI106" s="934"/>
      <c r="AJ106" s="934"/>
    </row>
    <row r="107" spans="2:36" ht="15" hidden="1" customHeight="1">
      <c r="B107" s="1432"/>
      <c r="C107" s="898">
        <v>525190</v>
      </c>
      <c r="D107" s="732" t="s">
        <v>1238</v>
      </c>
      <c r="E107" s="733"/>
      <c r="F107" s="733"/>
      <c r="G107" s="733"/>
      <c r="H107" s="733"/>
      <c r="I107" s="734" t="s">
        <v>178</v>
      </c>
      <c r="J107" s="755">
        <v>0</v>
      </c>
      <c r="K107" s="977">
        <f>IFERROR(_xlfn.CEILING.MATH(J107,INDEX('СВОДНАЯ СПЕЦИФИКАЦИЯ'!$C$10:$C$408,MATCH(D107,'СВОДНАЯ СПЕЦИФИКАЦИЯ'!$D$10:$D$408,0))),"Введите кол-во")</f>
        <v>0</v>
      </c>
      <c r="L107" s="978">
        <f>INDEX('СВОДНАЯ СПЕЦИФИКАЦИЯ'!$H$10:$H$408,MATCH(D107,Таблица2[Наименование материала],0))</f>
        <v>0</v>
      </c>
      <c r="M107" s="979">
        <f t="shared" si="3"/>
        <v>0</v>
      </c>
      <c r="O107" s="934">
        <f t="shared" si="4"/>
        <v>0</v>
      </c>
      <c r="Q107" s="988" t="s">
        <v>326</v>
      </c>
      <c r="R107" s="985"/>
      <c r="S107" s="985"/>
      <c r="T107" s="986">
        <v>50</v>
      </c>
      <c r="U107" s="985" t="s">
        <v>150</v>
      </c>
      <c r="V107" s="957"/>
      <c r="W107" s="957"/>
      <c r="X107" s="934"/>
      <c r="Y107" s="934"/>
      <c r="Z107" s="934"/>
      <c r="AA107" s="934"/>
      <c r="AB107" s="987"/>
      <c r="AC107" s="934"/>
      <c r="AD107" s="934"/>
      <c r="AE107" s="934"/>
      <c r="AF107" s="934"/>
      <c r="AG107" s="934"/>
      <c r="AH107" s="934"/>
      <c r="AI107" s="934"/>
      <c r="AJ107" s="934"/>
    </row>
    <row r="108" spans="2:36" ht="15" hidden="1" customHeight="1">
      <c r="B108" s="1432"/>
      <c r="C108" s="898">
        <v>521486</v>
      </c>
      <c r="D108" s="732" t="s">
        <v>1239</v>
      </c>
      <c r="E108" s="733"/>
      <c r="F108" s="733"/>
      <c r="G108" s="733"/>
      <c r="H108" s="733"/>
      <c r="I108" s="734" t="s">
        <v>178</v>
      </c>
      <c r="J108" s="755">
        <v>0</v>
      </c>
      <c r="K108" s="977">
        <f>IFERROR(_xlfn.CEILING.MATH(J108,INDEX('СВОДНАЯ СПЕЦИФИКАЦИЯ'!$C$10:$C$408,MATCH(D108,'СВОДНАЯ СПЕЦИФИКАЦИЯ'!$D$10:$D$408,0))),"Введите кол-во")</f>
        <v>0</v>
      </c>
      <c r="L108" s="978">
        <f>INDEX('СВОДНАЯ СПЕЦИФИКАЦИЯ'!$H$10:$H$408,MATCH(D108,Таблица2[Наименование материала],0))</f>
        <v>0</v>
      </c>
      <c r="M108" s="979">
        <f t="shared" si="3"/>
        <v>0</v>
      </c>
      <c r="O108" s="934">
        <f t="shared" si="4"/>
        <v>0</v>
      </c>
      <c r="Q108" s="988" t="s">
        <v>327</v>
      </c>
      <c r="R108" s="985"/>
      <c r="S108" s="985"/>
      <c r="T108" s="986">
        <v>50</v>
      </c>
      <c r="U108" s="985" t="s">
        <v>150</v>
      </c>
      <c r="V108" s="957"/>
      <c r="W108" s="957"/>
      <c r="X108" s="934"/>
      <c r="Y108" s="934"/>
      <c r="Z108" s="934"/>
      <c r="AA108" s="934"/>
      <c r="AB108" s="987"/>
      <c r="AC108" s="934"/>
      <c r="AD108" s="934"/>
      <c r="AE108" s="934"/>
      <c r="AF108" s="934"/>
      <c r="AG108" s="934"/>
      <c r="AH108" s="934"/>
      <c r="AI108" s="934"/>
      <c r="AJ108" s="934"/>
    </row>
    <row r="109" spans="2:36" ht="15" hidden="1" customHeight="1">
      <c r="B109" s="1432"/>
      <c r="C109" s="898">
        <v>521487</v>
      </c>
      <c r="D109" s="732" t="s">
        <v>1240</v>
      </c>
      <c r="E109" s="733"/>
      <c r="F109" s="733"/>
      <c r="G109" s="733"/>
      <c r="H109" s="733"/>
      <c r="I109" s="734" t="s">
        <v>178</v>
      </c>
      <c r="J109" s="755">
        <v>0</v>
      </c>
      <c r="K109" s="977">
        <f>IFERROR(_xlfn.CEILING.MATH(J109,INDEX('СВОДНАЯ СПЕЦИФИКАЦИЯ'!$C$10:$C$408,MATCH(D109,'СВОДНАЯ СПЕЦИФИКАЦИЯ'!$D$10:$D$408,0))),"Введите кол-во")</f>
        <v>0</v>
      </c>
      <c r="L109" s="978">
        <f>INDEX('СВОДНАЯ СПЕЦИФИКАЦИЯ'!$H$10:$H$408,MATCH(D109,Таблица2[Наименование материала],0))</f>
        <v>0</v>
      </c>
      <c r="M109" s="979">
        <f t="shared" si="3"/>
        <v>0</v>
      </c>
      <c r="O109" s="934">
        <f t="shared" si="4"/>
        <v>0</v>
      </c>
      <c r="Q109" s="988" t="s">
        <v>327</v>
      </c>
      <c r="R109" s="985"/>
      <c r="S109" s="985"/>
      <c r="T109" s="986">
        <v>60</v>
      </c>
      <c r="U109" s="985" t="s">
        <v>150</v>
      </c>
      <c r="V109" s="957"/>
      <c r="W109" s="957"/>
      <c r="X109" s="934"/>
      <c r="Y109" s="934"/>
      <c r="Z109" s="934"/>
      <c r="AA109" s="934"/>
      <c r="AB109" s="987"/>
      <c r="AC109" s="934"/>
      <c r="AD109" s="934"/>
      <c r="AE109" s="934"/>
      <c r="AF109" s="934"/>
      <c r="AG109" s="934"/>
      <c r="AH109" s="934"/>
      <c r="AI109" s="934"/>
      <c r="AJ109" s="934"/>
    </row>
    <row r="110" spans="2:36" ht="15" hidden="1" customHeight="1">
      <c r="B110" s="1432"/>
      <c r="C110" s="898">
        <v>521488</v>
      </c>
      <c r="D110" s="732" t="s">
        <v>1241</v>
      </c>
      <c r="E110" s="733"/>
      <c r="F110" s="733"/>
      <c r="G110" s="733"/>
      <c r="H110" s="733"/>
      <c r="I110" s="734" t="s">
        <v>178</v>
      </c>
      <c r="J110" s="755">
        <v>0</v>
      </c>
      <c r="K110" s="977">
        <f>IFERROR(_xlfn.CEILING.MATH(J110,INDEX('СВОДНАЯ СПЕЦИФИКАЦИЯ'!$C$10:$C$408,MATCH(D110,'СВОДНАЯ СПЕЦИФИКАЦИЯ'!$D$10:$D$408,0))),"Введите кол-во")</f>
        <v>0</v>
      </c>
      <c r="L110" s="978">
        <f>INDEX('СВОДНАЯ СПЕЦИФИКАЦИЯ'!$H$10:$H$408,MATCH(D110,Таблица2[Наименование материала],0))</f>
        <v>0</v>
      </c>
      <c r="M110" s="979">
        <f t="shared" si="3"/>
        <v>0</v>
      </c>
      <c r="O110" s="934">
        <f t="shared" si="4"/>
        <v>0</v>
      </c>
      <c r="Q110" s="988" t="s">
        <v>327</v>
      </c>
      <c r="R110" s="985"/>
      <c r="S110" s="985"/>
      <c r="T110" s="986">
        <v>70</v>
      </c>
      <c r="U110" s="985" t="s">
        <v>150</v>
      </c>
      <c r="V110" s="957"/>
      <c r="W110" s="957"/>
      <c r="X110" s="934"/>
      <c r="Y110" s="934"/>
      <c r="Z110" s="934"/>
      <c r="AA110" s="934"/>
      <c r="AB110" s="987"/>
      <c r="AC110" s="934"/>
      <c r="AD110" s="934"/>
      <c r="AE110" s="934"/>
      <c r="AF110" s="934"/>
      <c r="AG110" s="934"/>
      <c r="AH110" s="934"/>
      <c r="AI110" s="934"/>
      <c r="AJ110" s="934"/>
    </row>
    <row r="111" spans="2:36" ht="15" hidden="1" customHeight="1">
      <c r="B111" s="1432"/>
      <c r="C111" s="898">
        <v>521489</v>
      </c>
      <c r="D111" s="732" t="s">
        <v>1242</v>
      </c>
      <c r="E111" s="733"/>
      <c r="F111" s="733"/>
      <c r="G111" s="733"/>
      <c r="H111" s="733"/>
      <c r="I111" s="734" t="s">
        <v>178</v>
      </c>
      <c r="J111" s="755">
        <v>0</v>
      </c>
      <c r="K111" s="977">
        <f>IFERROR(_xlfn.CEILING.MATH(J111,INDEX('СВОДНАЯ СПЕЦИФИКАЦИЯ'!$C$10:$C$408,MATCH(D111,'СВОДНАЯ СПЕЦИФИКАЦИЯ'!$D$10:$D$408,0))),"Введите кол-во")</f>
        <v>0</v>
      </c>
      <c r="L111" s="978">
        <f>INDEX('СВОДНАЯ СПЕЦИФИКАЦИЯ'!$H$10:$H$408,MATCH(D111,Таблица2[Наименование материала],0))</f>
        <v>0</v>
      </c>
      <c r="M111" s="979">
        <f t="shared" si="3"/>
        <v>0</v>
      </c>
      <c r="O111" s="934">
        <f t="shared" si="4"/>
        <v>0</v>
      </c>
      <c r="Q111" s="988" t="s">
        <v>327</v>
      </c>
      <c r="R111" s="985"/>
      <c r="S111" s="985"/>
      <c r="T111" s="986">
        <v>80</v>
      </c>
      <c r="U111" s="985" t="s">
        <v>150</v>
      </c>
      <c r="V111" s="957"/>
      <c r="W111" s="957"/>
      <c r="X111" s="934"/>
      <c r="Y111" s="934"/>
      <c r="Z111" s="934"/>
      <c r="AA111" s="934"/>
      <c r="AB111" s="987"/>
      <c r="AC111" s="934"/>
      <c r="AD111" s="934"/>
      <c r="AE111" s="934"/>
      <c r="AF111" s="934"/>
      <c r="AG111" s="934"/>
      <c r="AH111" s="934"/>
      <c r="AI111" s="934"/>
      <c r="AJ111" s="934"/>
    </row>
    <row r="112" spans="2:36" ht="15" hidden="1" customHeight="1">
      <c r="B112" s="1432"/>
      <c r="C112" s="898">
        <v>521490</v>
      </c>
      <c r="D112" s="732" t="s">
        <v>1243</v>
      </c>
      <c r="E112" s="733"/>
      <c r="F112" s="733"/>
      <c r="G112" s="733"/>
      <c r="H112" s="733"/>
      <c r="I112" s="734" t="s">
        <v>178</v>
      </c>
      <c r="J112" s="755">
        <v>0</v>
      </c>
      <c r="K112" s="977">
        <f>IFERROR(_xlfn.CEILING.MATH(J112,INDEX('СВОДНАЯ СПЕЦИФИКАЦИЯ'!$C$10:$C$408,MATCH(D112,'СВОДНАЯ СПЕЦИФИКАЦИЯ'!$D$10:$D$408,0))),"Введите кол-во")</f>
        <v>0</v>
      </c>
      <c r="L112" s="978">
        <f>INDEX('СВОДНАЯ СПЕЦИФИКАЦИЯ'!$H$10:$H$408,MATCH(D112,Таблица2[Наименование материала],0))</f>
        <v>0</v>
      </c>
      <c r="M112" s="979">
        <f t="shared" si="3"/>
        <v>0</v>
      </c>
      <c r="O112" s="934">
        <f t="shared" si="4"/>
        <v>0</v>
      </c>
      <c r="Q112" s="988" t="s">
        <v>327</v>
      </c>
      <c r="R112" s="985"/>
      <c r="S112" s="985"/>
      <c r="T112" s="986">
        <v>90</v>
      </c>
      <c r="U112" s="985" t="s">
        <v>150</v>
      </c>
      <c r="V112" s="957"/>
      <c r="W112" s="957"/>
      <c r="X112" s="934"/>
      <c r="Y112" s="934"/>
      <c r="Z112" s="934"/>
      <c r="AA112" s="934"/>
      <c r="AB112" s="987"/>
      <c r="AC112" s="934"/>
      <c r="AD112" s="934"/>
      <c r="AE112" s="934"/>
      <c r="AF112" s="934"/>
      <c r="AG112" s="934"/>
      <c r="AH112" s="934"/>
      <c r="AI112" s="934"/>
      <c r="AJ112" s="934"/>
    </row>
    <row r="113" spans="2:36" ht="15" hidden="1" customHeight="1">
      <c r="B113" s="1432"/>
      <c r="C113" s="898">
        <v>521491</v>
      </c>
      <c r="D113" s="732" t="s">
        <v>1244</v>
      </c>
      <c r="E113" s="733"/>
      <c r="F113" s="733"/>
      <c r="G113" s="733"/>
      <c r="H113" s="733"/>
      <c r="I113" s="734" t="s">
        <v>178</v>
      </c>
      <c r="J113" s="755">
        <v>0</v>
      </c>
      <c r="K113" s="977">
        <f>IFERROR(_xlfn.CEILING.MATH(J113,INDEX('СВОДНАЯ СПЕЦИФИКАЦИЯ'!$C$10:$C$408,MATCH(D113,'СВОДНАЯ СПЕЦИФИКАЦИЯ'!$D$10:$D$408,0))),"Введите кол-во")</f>
        <v>0</v>
      </c>
      <c r="L113" s="978">
        <f>INDEX('СВОДНАЯ СПЕЦИФИКАЦИЯ'!$H$10:$H$408,MATCH(D113,Таблица2[Наименование материала],0))</f>
        <v>0</v>
      </c>
      <c r="M113" s="979">
        <f t="shared" si="3"/>
        <v>0</v>
      </c>
      <c r="O113" s="934">
        <f t="shared" si="4"/>
        <v>0</v>
      </c>
      <c r="Q113" s="988" t="s">
        <v>327</v>
      </c>
      <c r="R113" s="985"/>
      <c r="S113" s="985"/>
      <c r="T113" s="986">
        <v>100</v>
      </c>
      <c r="U113" s="985" t="s">
        <v>150</v>
      </c>
      <c r="V113" s="957"/>
      <c r="W113" s="957"/>
      <c r="X113" s="934"/>
      <c r="Y113" s="934"/>
      <c r="Z113" s="934"/>
      <c r="AA113" s="934"/>
      <c r="AB113" s="987"/>
      <c r="AC113" s="934"/>
      <c r="AD113" s="934"/>
      <c r="AE113" s="934"/>
      <c r="AF113" s="934"/>
      <c r="AG113" s="934"/>
      <c r="AH113" s="934"/>
      <c r="AI113" s="934"/>
      <c r="AJ113" s="934"/>
    </row>
    <row r="114" spans="2:36" ht="15" hidden="1" customHeight="1">
      <c r="B114" s="1432"/>
      <c r="C114" s="898">
        <v>521492</v>
      </c>
      <c r="D114" s="732" t="s">
        <v>1245</v>
      </c>
      <c r="E114" s="733"/>
      <c r="F114" s="733"/>
      <c r="G114" s="733"/>
      <c r="H114" s="733"/>
      <c r="I114" s="734" t="s">
        <v>178</v>
      </c>
      <c r="J114" s="755">
        <v>0</v>
      </c>
      <c r="K114" s="977">
        <f>IFERROR(_xlfn.CEILING.MATH(J114,INDEX('СВОДНАЯ СПЕЦИФИКАЦИЯ'!$C$10:$C$408,MATCH(D114,'СВОДНАЯ СПЕЦИФИКАЦИЯ'!$D$10:$D$408,0))),"Введите кол-во")</f>
        <v>0</v>
      </c>
      <c r="L114" s="978">
        <f>INDEX('СВОДНАЯ СПЕЦИФИКАЦИЯ'!$H$10:$H$408,MATCH(D114,Таблица2[Наименование материала],0))</f>
        <v>0</v>
      </c>
      <c r="M114" s="979">
        <f t="shared" si="3"/>
        <v>0</v>
      </c>
      <c r="O114" s="934">
        <f t="shared" si="4"/>
        <v>0</v>
      </c>
      <c r="Q114" s="988" t="s">
        <v>327</v>
      </c>
      <c r="R114" s="985"/>
      <c r="S114" s="985"/>
      <c r="T114" s="986">
        <v>110</v>
      </c>
      <c r="U114" s="985" t="s">
        <v>150</v>
      </c>
      <c r="V114" s="957"/>
      <c r="W114" s="957"/>
      <c r="X114" s="934"/>
      <c r="Y114" s="934"/>
      <c r="Z114" s="934"/>
      <c r="AA114" s="934"/>
      <c r="AB114" s="987"/>
      <c r="AC114" s="934"/>
      <c r="AD114" s="934"/>
      <c r="AE114" s="934"/>
      <c r="AF114" s="934"/>
      <c r="AG114" s="934"/>
      <c r="AH114" s="934"/>
      <c r="AI114" s="934"/>
      <c r="AJ114" s="934"/>
    </row>
    <row r="115" spans="2:36" ht="15" hidden="1" customHeight="1">
      <c r="B115" s="1432"/>
      <c r="C115" s="898">
        <v>521493</v>
      </c>
      <c r="D115" s="732" t="s">
        <v>1246</v>
      </c>
      <c r="E115" s="733"/>
      <c r="F115" s="733"/>
      <c r="G115" s="733"/>
      <c r="H115" s="733"/>
      <c r="I115" s="734" t="s">
        <v>178</v>
      </c>
      <c r="J115" s="755">
        <v>0</v>
      </c>
      <c r="K115" s="977">
        <f>IFERROR(_xlfn.CEILING.MATH(J115,INDEX('СВОДНАЯ СПЕЦИФИКАЦИЯ'!$C$10:$C$408,MATCH(D115,'СВОДНАЯ СПЕЦИФИКАЦИЯ'!$D$10:$D$408,0))),"Введите кол-во")</f>
        <v>0</v>
      </c>
      <c r="L115" s="978">
        <f>INDEX('СВОДНАЯ СПЕЦИФИКАЦИЯ'!$H$10:$H$408,MATCH(D115,Таблица2[Наименование материала],0))</f>
        <v>0</v>
      </c>
      <c r="M115" s="979">
        <f t="shared" si="3"/>
        <v>0</v>
      </c>
      <c r="O115" s="934">
        <f t="shared" si="4"/>
        <v>0</v>
      </c>
      <c r="Q115" s="988" t="s">
        <v>327</v>
      </c>
      <c r="R115" s="985"/>
      <c r="S115" s="985"/>
      <c r="T115" s="986">
        <v>120</v>
      </c>
      <c r="U115" s="985" t="s">
        <v>150</v>
      </c>
      <c r="V115" s="957"/>
      <c r="W115" s="957"/>
      <c r="X115" s="934"/>
      <c r="Y115" s="934"/>
      <c r="Z115" s="934"/>
      <c r="AA115" s="934"/>
      <c r="AB115" s="987"/>
      <c r="AC115" s="934"/>
      <c r="AD115" s="934"/>
      <c r="AE115" s="934"/>
      <c r="AF115" s="934"/>
      <c r="AG115" s="934"/>
      <c r="AH115" s="934"/>
      <c r="AI115" s="934"/>
      <c r="AJ115" s="934"/>
    </row>
    <row r="116" spans="2:36" ht="15" hidden="1" customHeight="1">
      <c r="B116" s="1432"/>
      <c r="C116" s="898">
        <v>521494</v>
      </c>
      <c r="D116" s="732" t="s">
        <v>1247</v>
      </c>
      <c r="E116" s="733"/>
      <c r="F116" s="733"/>
      <c r="G116" s="733"/>
      <c r="H116" s="733"/>
      <c r="I116" s="734" t="s">
        <v>178</v>
      </c>
      <c r="J116" s="755">
        <v>0</v>
      </c>
      <c r="K116" s="977">
        <f>IFERROR(_xlfn.CEILING.MATH(J116,INDEX('СВОДНАЯ СПЕЦИФИКАЦИЯ'!$C$10:$C$408,MATCH(D116,'СВОДНАЯ СПЕЦИФИКАЦИЯ'!$D$10:$D$408,0))),"Введите кол-во")</f>
        <v>0</v>
      </c>
      <c r="L116" s="978">
        <f>INDEX('СВОДНАЯ СПЕЦИФИКАЦИЯ'!$H$10:$H$408,MATCH(D116,Таблица2[Наименование материала],0))</f>
        <v>0</v>
      </c>
      <c r="M116" s="979">
        <f t="shared" si="3"/>
        <v>0</v>
      </c>
      <c r="O116" s="934">
        <f t="shared" si="4"/>
        <v>0</v>
      </c>
      <c r="Q116" s="988" t="s">
        <v>327</v>
      </c>
      <c r="R116" s="985"/>
      <c r="S116" s="985"/>
      <c r="T116" s="986">
        <v>130</v>
      </c>
      <c r="U116" s="985" t="s">
        <v>150</v>
      </c>
      <c r="V116" s="957"/>
      <c r="W116" s="957"/>
      <c r="X116" s="934"/>
      <c r="Y116" s="934"/>
      <c r="Z116" s="934"/>
      <c r="AA116" s="934"/>
      <c r="AB116" s="987"/>
      <c r="AC116" s="934"/>
      <c r="AD116" s="934"/>
      <c r="AE116" s="934"/>
      <c r="AF116" s="934"/>
      <c r="AG116" s="934"/>
      <c r="AH116" s="934"/>
      <c r="AI116" s="934"/>
      <c r="AJ116" s="934"/>
    </row>
    <row r="117" spans="2:36" ht="15" hidden="1" customHeight="1">
      <c r="B117" s="1432"/>
      <c r="C117" s="898">
        <v>521495</v>
      </c>
      <c r="D117" s="732" t="s">
        <v>1248</v>
      </c>
      <c r="E117" s="733"/>
      <c r="F117" s="733"/>
      <c r="G117" s="733"/>
      <c r="H117" s="733"/>
      <c r="I117" s="734" t="s">
        <v>178</v>
      </c>
      <c r="J117" s="755">
        <v>0</v>
      </c>
      <c r="K117" s="977">
        <f>IFERROR(_xlfn.CEILING.MATH(J117,INDEX('СВОДНАЯ СПЕЦИФИКАЦИЯ'!$C$10:$C$408,MATCH(D117,'СВОДНАЯ СПЕЦИФИКАЦИЯ'!$D$10:$D$408,0))),"Введите кол-во")</f>
        <v>0</v>
      </c>
      <c r="L117" s="978">
        <f>INDEX('СВОДНАЯ СПЕЦИФИКАЦИЯ'!$H$10:$H$408,MATCH(D117,Таблица2[Наименование материала],0))</f>
        <v>0</v>
      </c>
      <c r="M117" s="979">
        <f t="shared" si="3"/>
        <v>0</v>
      </c>
      <c r="O117" s="934">
        <f t="shared" si="4"/>
        <v>0</v>
      </c>
      <c r="Q117" s="988" t="s">
        <v>327</v>
      </c>
      <c r="R117" s="985"/>
      <c r="S117" s="985"/>
      <c r="T117" s="986">
        <v>140</v>
      </c>
      <c r="U117" s="985" t="s">
        <v>150</v>
      </c>
      <c r="V117" s="957"/>
      <c r="W117" s="957"/>
      <c r="X117" s="934"/>
      <c r="Y117" s="934"/>
      <c r="Z117" s="934"/>
      <c r="AA117" s="934"/>
      <c r="AB117" s="987"/>
      <c r="AC117" s="934"/>
      <c r="AD117" s="934"/>
      <c r="AE117" s="934"/>
      <c r="AF117" s="934"/>
      <c r="AG117" s="934"/>
      <c r="AH117" s="934"/>
      <c r="AI117" s="934"/>
      <c r="AJ117" s="934"/>
    </row>
    <row r="118" spans="2:36" ht="15" hidden="1" customHeight="1">
      <c r="B118" s="1432"/>
      <c r="C118" s="898">
        <v>521496</v>
      </c>
      <c r="D118" s="732" t="s">
        <v>1249</v>
      </c>
      <c r="E118" s="733"/>
      <c r="F118" s="733"/>
      <c r="G118" s="733"/>
      <c r="H118" s="733"/>
      <c r="I118" s="734" t="s">
        <v>178</v>
      </c>
      <c r="J118" s="755">
        <v>0</v>
      </c>
      <c r="K118" s="977">
        <f>IFERROR(_xlfn.CEILING.MATH(J118,INDEX('СВОДНАЯ СПЕЦИФИКАЦИЯ'!$C$10:$C$408,MATCH(D118,'СВОДНАЯ СПЕЦИФИКАЦИЯ'!$D$10:$D$408,0))),"Введите кол-во")</f>
        <v>0</v>
      </c>
      <c r="L118" s="978">
        <f>INDEX('СВОДНАЯ СПЕЦИФИКАЦИЯ'!$H$10:$H$408,MATCH(D118,Таблица2[Наименование материала],0))</f>
        <v>0</v>
      </c>
      <c r="M118" s="979">
        <f t="shared" si="3"/>
        <v>0</v>
      </c>
      <c r="O118" s="934">
        <f t="shared" si="4"/>
        <v>0</v>
      </c>
      <c r="Q118" s="988" t="s">
        <v>327</v>
      </c>
      <c r="R118" s="985"/>
      <c r="S118" s="985"/>
      <c r="T118" s="986">
        <v>150</v>
      </c>
      <c r="U118" s="985" t="s">
        <v>150</v>
      </c>
      <c r="V118" s="957"/>
      <c r="W118" s="957"/>
      <c r="X118" s="934"/>
      <c r="Y118" s="934"/>
      <c r="Z118" s="934"/>
      <c r="AA118" s="934"/>
      <c r="AB118" s="987"/>
      <c r="AC118" s="934"/>
      <c r="AD118" s="934"/>
      <c r="AE118" s="934"/>
      <c r="AF118" s="934"/>
      <c r="AG118" s="934"/>
      <c r="AH118" s="934"/>
      <c r="AI118" s="934"/>
      <c r="AJ118" s="934"/>
    </row>
    <row r="119" spans="2:36" ht="15" hidden="1" customHeight="1">
      <c r="B119" s="1432"/>
      <c r="C119" s="898">
        <v>521497</v>
      </c>
      <c r="D119" s="732" t="s">
        <v>1250</v>
      </c>
      <c r="E119" s="733"/>
      <c r="F119" s="733"/>
      <c r="G119" s="733"/>
      <c r="H119" s="733"/>
      <c r="I119" s="734" t="s">
        <v>178</v>
      </c>
      <c r="J119" s="755">
        <v>0</v>
      </c>
      <c r="K119" s="977">
        <f>IFERROR(_xlfn.CEILING.MATH(J119,INDEX('СВОДНАЯ СПЕЦИФИКАЦИЯ'!$C$10:$C$408,MATCH(D119,'СВОДНАЯ СПЕЦИФИКАЦИЯ'!$D$10:$D$408,0))),"Введите кол-во")</f>
        <v>0</v>
      </c>
      <c r="L119" s="978">
        <f>INDEX('СВОДНАЯ СПЕЦИФИКАЦИЯ'!$H$10:$H$408,MATCH(D119,Таблица2[Наименование материала],0))</f>
        <v>0</v>
      </c>
      <c r="M119" s="979">
        <f t="shared" si="3"/>
        <v>0</v>
      </c>
      <c r="O119" s="934">
        <f t="shared" si="4"/>
        <v>0</v>
      </c>
      <c r="Q119" s="988" t="s">
        <v>327</v>
      </c>
      <c r="R119" s="985"/>
      <c r="S119" s="985"/>
      <c r="T119" s="986">
        <v>160</v>
      </c>
      <c r="U119" s="985" t="s">
        <v>150</v>
      </c>
      <c r="V119" s="957"/>
      <c r="W119" s="957"/>
      <c r="X119" s="934"/>
      <c r="Y119" s="934"/>
      <c r="Z119" s="934"/>
      <c r="AA119" s="934"/>
      <c r="AB119" s="987"/>
      <c r="AC119" s="934"/>
      <c r="AD119" s="934"/>
      <c r="AE119" s="934"/>
      <c r="AF119" s="934"/>
      <c r="AG119" s="934"/>
      <c r="AH119" s="934"/>
      <c r="AI119" s="934"/>
      <c r="AJ119" s="934"/>
    </row>
    <row r="120" spans="2:36" ht="15" hidden="1" customHeight="1">
      <c r="B120" s="1432"/>
      <c r="C120" s="898">
        <v>521498</v>
      </c>
      <c r="D120" s="732" t="s">
        <v>1251</v>
      </c>
      <c r="E120" s="733"/>
      <c r="F120" s="733"/>
      <c r="G120" s="733"/>
      <c r="H120" s="733"/>
      <c r="I120" s="734" t="s">
        <v>178</v>
      </c>
      <c r="J120" s="755">
        <v>0</v>
      </c>
      <c r="K120" s="977">
        <f>IFERROR(_xlfn.CEILING.MATH(J120,INDEX('СВОДНАЯ СПЕЦИФИКАЦИЯ'!$C$10:$C$408,MATCH(D120,'СВОДНАЯ СПЕЦИФИКАЦИЯ'!$D$10:$D$408,0))),"Введите кол-во")</f>
        <v>0</v>
      </c>
      <c r="L120" s="978">
        <f>INDEX('СВОДНАЯ СПЕЦИФИКАЦИЯ'!$H$10:$H$408,MATCH(D120,Таблица2[Наименование материала],0))</f>
        <v>0</v>
      </c>
      <c r="M120" s="979">
        <f t="shared" si="3"/>
        <v>0</v>
      </c>
      <c r="O120" s="934">
        <f t="shared" si="4"/>
        <v>0</v>
      </c>
      <c r="Q120" s="988" t="s">
        <v>327</v>
      </c>
      <c r="R120" s="985"/>
      <c r="S120" s="985"/>
      <c r="T120" s="986">
        <v>170</v>
      </c>
      <c r="U120" s="985" t="s">
        <v>150</v>
      </c>
      <c r="V120" s="957"/>
      <c r="W120" s="957"/>
      <c r="X120" s="934"/>
      <c r="Y120" s="934"/>
      <c r="Z120" s="934"/>
      <c r="AA120" s="934"/>
      <c r="AB120" s="987"/>
      <c r="AC120" s="934"/>
      <c r="AD120" s="934"/>
      <c r="AE120" s="934"/>
      <c r="AF120" s="934"/>
      <c r="AG120" s="934"/>
      <c r="AH120" s="934"/>
      <c r="AI120" s="934"/>
      <c r="AJ120" s="934"/>
    </row>
    <row r="121" spans="2:36" ht="15" hidden="1" customHeight="1">
      <c r="B121" s="1432"/>
      <c r="C121" s="898">
        <v>521499</v>
      </c>
      <c r="D121" s="732" t="s">
        <v>1252</v>
      </c>
      <c r="E121" s="733"/>
      <c r="F121" s="733"/>
      <c r="G121" s="733"/>
      <c r="H121" s="733"/>
      <c r="I121" s="734" t="s">
        <v>178</v>
      </c>
      <c r="J121" s="755">
        <v>0</v>
      </c>
      <c r="K121" s="977">
        <f>IFERROR(_xlfn.CEILING.MATH(J121,INDEX('СВОДНАЯ СПЕЦИФИКАЦИЯ'!$C$10:$C$408,MATCH(D121,'СВОДНАЯ СПЕЦИФИКАЦИЯ'!$D$10:$D$408,0))),"Введите кол-во")</f>
        <v>0</v>
      </c>
      <c r="L121" s="978">
        <f>INDEX('СВОДНАЯ СПЕЦИФИКАЦИЯ'!$H$10:$H$408,MATCH(D121,Таблица2[Наименование материала],0))</f>
        <v>0</v>
      </c>
      <c r="M121" s="979">
        <f t="shared" si="3"/>
        <v>0</v>
      </c>
      <c r="O121" s="934">
        <f t="shared" si="4"/>
        <v>0</v>
      </c>
      <c r="Q121" s="988" t="s">
        <v>327</v>
      </c>
      <c r="R121" s="985"/>
      <c r="S121" s="985"/>
      <c r="T121" s="986">
        <v>180</v>
      </c>
      <c r="U121" s="985" t="s">
        <v>150</v>
      </c>
      <c r="V121" s="957"/>
      <c r="W121" s="957"/>
      <c r="X121" s="934"/>
      <c r="Y121" s="934"/>
      <c r="Z121" s="934"/>
      <c r="AA121" s="934"/>
      <c r="AB121" s="987"/>
      <c r="AC121" s="934"/>
      <c r="AD121" s="934"/>
      <c r="AE121" s="934"/>
      <c r="AF121" s="934"/>
      <c r="AG121" s="934"/>
      <c r="AH121" s="934"/>
      <c r="AI121" s="934"/>
      <c r="AJ121" s="934"/>
    </row>
    <row r="122" spans="2:36" ht="15" hidden="1" customHeight="1">
      <c r="B122" s="1432"/>
      <c r="C122" s="898">
        <v>497052</v>
      </c>
      <c r="D122" s="732" t="s">
        <v>1253</v>
      </c>
      <c r="E122" s="733"/>
      <c r="F122" s="733"/>
      <c r="G122" s="733"/>
      <c r="H122" s="733"/>
      <c r="I122" s="734" t="s">
        <v>178</v>
      </c>
      <c r="J122" s="755">
        <v>0</v>
      </c>
      <c r="K122" s="977">
        <f>IFERROR(_xlfn.CEILING.MATH(J122,INDEX('СВОДНАЯ СПЕЦИФИКАЦИЯ'!$C$10:$C$408,MATCH(D122,'СВОДНАЯ СПЕЦИФИКАЦИЯ'!$D$10:$D$408,0))),"Введите кол-во")</f>
        <v>0</v>
      </c>
      <c r="L122" s="978">
        <f>INDEX('СВОДНАЯ СПЕЦИФИКАЦИЯ'!$H$10:$H$408,MATCH(D122,Таблица2[Наименование материала],0))</f>
        <v>0</v>
      </c>
      <c r="M122" s="979">
        <f t="shared" si="3"/>
        <v>0</v>
      </c>
      <c r="O122" s="934">
        <f t="shared" si="4"/>
        <v>0</v>
      </c>
      <c r="Q122" s="988" t="s">
        <v>328</v>
      </c>
      <c r="R122" s="989"/>
      <c r="S122" s="989"/>
      <c r="T122" s="986">
        <v>30</v>
      </c>
      <c r="U122" s="990" t="s">
        <v>150</v>
      </c>
      <c r="V122" s="957"/>
      <c r="W122" s="957"/>
      <c r="X122" s="934"/>
      <c r="Y122" s="934"/>
      <c r="Z122" s="934"/>
      <c r="AA122" s="934"/>
      <c r="AB122" s="987"/>
      <c r="AC122" s="934"/>
      <c r="AD122" s="934"/>
      <c r="AE122" s="934"/>
      <c r="AF122" s="934"/>
      <c r="AG122" s="934"/>
      <c r="AH122" s="934"/>
      <c r="AI122" s="934"/>
      <c r="AJ122" s="934"/>
    </row>
    <row r="123" spans="2:36" ht="15" hidden="1" customHeight="1">
      <c r="B123" s="1432"/>
      <c r="C123" s="898">
        <v>524684</v>
      </c>
      <c r="D123" s="732" t="s">
        <v>1254</v>
      </c>
      <c r="E123" s="733"/>
      <c r="F123" s="733"/>
      <c r="G123" s="733"/>
      <c r="H123" s="733"/>
      <c r="I123" s="734" t="s">
        <v>178</v>
      </c>
      <c r="J123" s="755">
        <v>0</v>
      </c>
      <c r="K123" s="977">
        <f>IFERROR(_xlfn.CEILING.MATH(J123,INDEX('СВОДНАЯ СПЕЦИФИКАЦИЯ'!$C$10:$C$408,MATCH(D123,'СВОДНАЯ СПЕЦИФИКАЦИЯ'!$D$10:$D$408,0))),"Введите кол-во")</f>
        <v>0</v>
      </c>
      <c r="L123" s="978">
        <f>INDEX('СВОДНАЯ СПЕЦИФИКАЦИЯ'!$H$10:$H$408,MATCH(D123,Таблица2[Наименование материала],0))</f>
        <v>0</v>
      </c>
      <c r="M123" s="979">
        <f t="shared" si="3"/>
        <v>0</v>
      </c>
      <c r="O123" s="934">
        <f t="shared" si="4"/>
        <v>0</v>
      </c>
      <c r="Q123" s="988" t="s">
        <v>328</v>
      </c>
      <c r="R123" s="985"/>
      <c r="S123" s="985"/>
      <c r="T123" s="986">
        <v>40</v>
      </c>
      <c r="U123" s="985" t="s">
        <v>150</v>
      </c>
      <c r="V123" s="957"/>
      <c r="W123" s="957"/>
      <c r="X123" s="934"/>
      <c r="Y123" s="934"/>
      <c r="Z123" s="934"/>
      <c r="AA123" s="934"/>
      <c r="AB123" s="987"/>
      <c r="AC123" s="934"/>
      <c r="AD123" s="934"/>
      <c r="AE123" s="934"/>
      <c r="AF123" s="934"/>
      <c r="AG123" s="934"/>
      <c r="AH123" s="934"/>
      <c r="AI123" s="934"/>
      <c r="AJ123" s="934"/>
    </row>
    <row r="124" spans="2:36" ht="15" hidden="1" customHeight="1">
      <c r="B124" s="1432"/>
      <c r="C124" s="898">
        <v>524685</v>
      </c>
      <c r="D124" s="732" t="s">
        <v>1255</v>
      </c>
      <c r="E124" s="733"/>
      <c r="F124" s="733"/>
      <c r="G124" s="733"/>
      <c r="H124" s="733"/>
      <c r="I124" s="734" t="s">
        <v>178</v>
      </c>
      <c r="J124" s="755">
        <v>0</v>
      </c>
      <c r="K124" s="977">
        <f>IFERROR(_xlfn.CEILING.MATH(J124,INDEX('СВОДНАЯ СПЕЦИФИКАЦИЯ'!$C$10:$C$408,MATCH(D124,'СВОДНАЯ СПЕЦИФИКАЦИЯ'!$D$10:$D$408,0))),"Введите кол-во")</f>
        <v>0</v>
      </c>
      <c r="L124" s="978">
        <f>INDEX('СВОДНАЯ СПЕЦИФИКАЦИЯ'!$H$10:$H$408,MATCH(D124,Таблица2[Наименование материала],0))</f>
        <v>0</v>
      </c>
      <c r="M124" s="979">
        <f t="shared" si="3"/>
        <v>0</v>
      </c>
      <c r="O124" s="934">
        <f t="shared" si="4"/>
        <v>0</v>
      </c>
      <c r="Q124" s="988" t="s">
        <v>328</v>
      </c>
      <c r="R124" s="985"/>
      <c r="S124" s="985"/>
      <c r="T124" s="986">
        <v>50</v>
      </c>
      <c r="U124" s="985" t="s">
        <v>150</v>
      </c>
      <c r="V124" s="957"/>
      <c r="W124" s="957"/>
      <c r="X124" s="934"/>
      <c r="Y124" s="934"/>
      <c r="Z124" s="934"/>
      <c r="AA124" s="934"/>
      <c r="AB124" s="987"/>
      <c r="AC124" s="934"/>
      <c r="AD124" s="934"/>
      <c r="AE124" s="934"/>
      <c r="AF124" s="934"/>
      <c r="AG124" s="934"/>
      <c r="AH124" s="934"/>
      <c r="AI124" s="934"/>
      <c r="AJ124" s="934"/>
    </row>
    <row r="125" spans="2:36" ht="15" hidden="1" customHeight="1">
      <c r="B125" s="1432"/>
      <c r="C125" s="898">
        <v>525141</v>
      </c>
      <c r="D125" s="732" t="s">
        <v>1256</v>
      </c>
      <c r="E125" s="733"/>
      <c r="F125" s="733"/>
      <c r="G125" s="733"/>
      <c r="H125" s="733"/>
      <c r="I125" s="734" t="s">
        <v>178</v>
      </c>
      <c r="J125" s="755">
        <v>0</v>
      </c>
      <c r="K125" s="977">
        <f>IFERROR(_xlfn.CEILING.MATH(J125,INDEX('СВОДНАЯ СПЕЦИФИКАЦИЯ'!$C$10:$C$408,MATCH(D125,'СВОДНАЯ СПЕЦИФИКАЦИЯ'!$D$10:$D$408,0))),"Введите кол-во")</f>
        <v>0</v>
      </c>
      <c r="L125" s="978">
        <f>INDEX('СВОДНАЯ СПЕЦИФИКАЦИЯ'!$H$10:$H$408,MATCH(D125,Таблица2[Наименование материала],0))</f>
        <v>0</v>
      </c>
      <c r="M125" s="979">
        <f t="shared" si="3"/>
        <v>0</v>
      </c>
      <c r="O125" s="934">
        <f t="shared" si="4"/>
        <v>0</v>
      </c>
      <c r="Q125" s="988" t="s">
        <v>329</v>
      </c>
      <c r="R125" s="985"/>
      <c r="S125" s="985"/>
      <c r="T125" s="986">
        <v>40</v>
      </c>
      <c r="U125" s="985" t="s">
        <v>150</v>
      </c>
      <c r="V125" s="957"/>
      <c r="W125" s="957"/>
      <c r="X125" s="934"/>
      <c r="Y125" s="934"/>
      <c r="Z125" s="934"/>
      <c r="AA125" s="934"/>
      <c r="AB125" s="987"/>
      <c r="AC125" s="934"/>
      <c r="AD125" s="934"/>
      <c r="AE125" s="934"/>
      <c r="AF125" s="934"/>
      <c r="AG125" s="934"/>
      <c r="AH125" s="934"/>
      <c r="AI125" s="934"/>
      <c r="AJ125" s="934"/>
    </row>
    <row r="126" spans="2:36" ht="15" hidden="1" customHeight="1">
      <c r="B126" s="1432"/>
      <c r="C126" s="898">
        <v>525142</v>
      </c>
      <c r="D126" s="732" t="s">
        <v>1257</v>
      </c>
      <c r="E126" s="733"/>
      <c r="F126" s="733"/>
      <c r="G126" s="733"/>
      <c r="H126" s="733"/>
      <c r="I126" s="734" t="s">
        <v>178</v>
      </c>
      <c r="J126" s="755">
        <v>0</v>
      </c>
      <c r="K126" s="977">
        <f>IFERROR(_xlfn.CEILING.MATH(J126,INDEX('СВОДНАЯ СПЕЦИФИКАЦИЯ'!$C$10:$C$408,MATCH(D126,'СВОДНАЯ СПЕЦИФИКАЦИЯ'!$D$10:$D$408,0))),"Введите кол-во")</f>
        <v>0</v>
      </c>
      <c r="L126" s="978">
        <f>INDEX('СВОДНАЯ СПЕЦИФИКАЦИЯ'!$H$10:$H$408,MATCH(D126,Таблица2[Наименование материала],0))</f>
        <v>0</v>
      </c>
      <c r="M126" s="979">
        <f t="shared" si="3"/>
        <v>0</v>
      </c>
      <c r="O126" s="934">
        <f t="shared" si="4"/>
        <v>0</v>
      </c>
      <c r="Q126" s="988" t="s">
        <v>329</v>
      </c>
      <c r="R126" s="985"/>
      <c r="S126" s="985"/>
      <c r="T126" s="986">
        <v>50</v>
      </c>
      <c r="U126" s="985" t="s">
        <v>150</v>
      </c>
      <c r="V126" s="957"/>
      <c r="W126" s="957"/>
      <c r="X126" s="934"/>
      <c r="Y126" s="934"/>
      <c r="Z126" s="934"/>
      <c r="AA126" s="934"/>
      <c r="AB126" s="987"/>
      <c r="AC126" s="934"/>
      <c r="AD126" s="934"/>
      <c r="AE126" s="934"/>
      <c r="AF126" s="934"/>
      <c r="AG126" s="934"/>
      <c r="AH126" s="934"/>
      <c r="AI126" s="934"/>
      <c r="AJ126" s="934"/>
    </row>
    <row r="127" spans="2:36" ht="15" hidden="1" customHeight="1">
      <c r="B127" s="1432"/>
      <c r="C127" s="898">
        <v>525187</v>
      </c>
      <c r="D127" s="732" t="s">
        <v>1258</v>
      </c>
      <c r="E127" s="733"/>
      <c r="F127" s="733"/>
      <c r="G127" s="733"/>
      <c r="H127" s="733"/>
      <c r="I127" s="734" t="s">
        <v>178</v>
      </c>
      <c r="J127" s="755">
        <v>0</v>
      </c>
      <c r="K127" s="977">
        <f>IFERROR(_xlfn.CEILING.MATH(J127,INDEX('СВОДНАЯ СПЕЦИФИКАЦИЯ'!$C$10:$C$408,MATCH(D127,'СВОДНАЯ СПЕЦИФИКАЦИЯ'!$D$10:$D$408,0))),"Введите кол-во")</f>
        <v>0</v>
      </c>
      <c r="L127" s="978">
        <f>INDEX('СВОДНАЯ СПЕЦИФИКАЦИЯ'!$H$10:$H$408,MATCH(D127,Таблица2[Наименование материала],0))</f>
        <v>0</v>
      </c>
      <c r="M127" s="979">
        <f t="shared" si="3"/>
        <v>0</v>
      </c>
      <c r="O127" s="934">
        <f t="shared" si="4"/>
        <v>0</v>
      </c>
      <c r="Q127" s="988" t="s">
        <v>524</v>
      </c>
      <c r="R127" s="985"/>
      <c r="S127" s="985"/>
      <c r="T127" s="986">
        <v>40</v>
      </c>
      <c r="U127" s="985" t="s">
        <v>150</v>
      </c>
      <c r="V127" s="957"/>
      <c r="W127" s="957"/>
      <c r="X127" s="934"/>
      <c r="Y127" s="934"/>
      <c r="Z127" s="934"/>
      <c r="AA127" s="934"/>
      <c r="AB127" s="987"/>
      <c r="AC127" s="934"/>
      <c r="AD127" s="934"/>
      <c r="AE127" s="934"/>
      <c r="AF127" s="934"/>
      <c r="AG127" s="934"/>
      <c r="AH127" s="934"/>
      <c r="AI127" s="934"/>
      <c r="AJ127" s="934"/>
    </row>
    <row r="128" spans="2:36" ht="15" hidden="1" customHeight="1">
      <c r="B128" s="1432"/>
      <c r="C128" s="898">
        <v>525188</v>
      </c>
      <c r="D128" s="732" t="s">
        <v>1259</v>
      </c>
      <c r="E128" s="733"/>
      <c r="F128" s="733"/>
      <c r="G128" s="733"/>
      <c r="H128" s="733"/>
      <c r="I128" s="734" t="s">
        <v>178</v>
      </c>
      <c r="J128" s="755">
        <v>0</v>
      </c>
      <c r="K128" s="977">
        <f>IFERROR(_xlfn.CEILING.MATH(J128,INDEX('СВОДНАЯ СПЕЦИФИКАЦИЯ'!$C$10:$C$408,MATCH(D128,'СВОДНАЯ СПЕЦИФИКАЦИЯ'!$D$10:$D$408,0))),"Введите кол-во")</f>
        <v>0</v>
      </c>
      <c r="L128" s="978">
        <f>INDEX('СВОДНАЯ СПЕЦИФИКАЦИЯ'!$H$10:$H$408,MATCH(D128,Таблица2[Наименование материала],0))</f>
        <v>0</v>
      </c>
      <c r="M128" s="979">
        <f t="shared" si="3"/>
        <v>0</v>
      </c>
      <c r="O128" s="934">
        <f t="shared" si="4"/>
        <v>0</v>
      </c>
      <c r="Q128" s="988" t="s">
        <v>524</v>
      </c>
      <c r="R128" s="985"/>
      <c r="S128" s="985"/>
      <c r="T128" s="986">
        <v>50</v>
      </c>
      <c r="U128" s="985" t="s">
        <v>150</v>
      </c>
      <c r="V128" s="957"/>
      <c r="W128" s="957"/>
      <c r="X128" s="934"/>
      <c r="Y128" s="934"/>
      <c r="Z128" s="934"/>
      <c r="AA128" s="934"/>
      <c r="AB128" s="987"/>
      <c r="AC128" s="934"/>
      <c r="AD128" s="934"/>
      <c r="AE128" s="934"/>
      <c r="AF128" s="934"/>
      <c r="AG128" s="934"/>
      <c r="AH128" s="934"/>
      <c r="AI128" s="934"/>
      <c r="AJ128" s="934"/>
    </row>
    <row r="129" spans="1:36" ht="15" hidden="1" customHeight="1">
      <c r="B129" s="1432"/>
      <c r="C129" s="898" t="s">
        <v>1096</v>
      </c>
      <c r="D129" s="732" t="s">
        <v>911</v>
      </c>
      <c r="E129" s="733"/>
      <c r="F129" s="733"/>
      <c r="G129" s="733"/>
      <c r="H129" s="733"/>
      <c r="I129" s="734" t="s">
        <v>151</v>
      </c>
      <c r="J129" s="735">
        <v>0</v>
      </c>
      <c r="K129" s="977">
        <f>IFERROR(_xlfn.CEILING.MATH(J129,INDEX('СВОДНАЯ СПЕЦИФИКАЦИЯ'!$C$10:$C$408,MATCH(D129,'СВОДНАЯ СПЕЦИФИКАЦИЯ'!$D$10:$D$408,0))),"Введите кол-во")</f>
        <v>0</v>
      </c>
      <c r="L129" s="978">
        <f>INDEX('СВОДНАЯ СПЕЦИФИКАЦИЯ'!$H$10:$H$408,MATCH(D129,Таблица2[Наименование материала],0))</f>
        <v>0</v>
      </c>
      <c r="M129" s="979">
        <f t="shared" si="3"/>
        <v>0</v>
      </c>
      <c r="O129" s="934">
        <f t="shared" si="4"/>
        <v>0</v>
      </c>
      <c r="Q129" s="984"/>
      <c r="R129" s="989"/>
      <c r="S129" s="989"/>
      <c r="T129" s="986"/>
      <c r="U129" s="990"/>
      <c r="V129" s="957"/>
      <c r="W129" s="957"/>
      <c r="X129" s="934"/>
      <c r="Y129" s="934"/>
      <c r="Z129" s="934"/>
      <c r="AA129" s="934"/>
      <c r="AB129" s="987"/>
      <c r="AC129" s="934"/>
      <c r="AD129" s="934"/>
      <c r="AE129" s="934"/>
      <c r="AF129" s="934"/>
      <c r="AG129" s="934"/>
      <c r="AH129" s="934"/>
      <c r="AI129" s="934"/>
      <c r="AJ129" s="934"/>
    </row>
    <row r="130" spans="1:36" ht="15" hidden="1" customHeight="1">
      <c r="A130" s="940"/>
      <c r="B130" s="1432"/>
      <c r="C130" s="911" t="s">
        <v>296</v>
      </c>
      <c r="D130" s="732" t="s">
        <v>526</v>
      </c>
      <c r="E130" s="733"/>
      <c r="F130" s="733"/>
      <c r="G130" s="733"/>
      <c r="H130" s="733"/>
      <c r="I130" s="734" t="s">
        <v>183</v>
      </c>
      <c r="J130" s="735">
        <v>0</v>
      </c>
      <c r="K130" s="977" t="str">
        <f>IFERROR(_xlfn.CEILING.MATH(J130,INDEX('СВОДНАЯ СПЕЦИФИКАЦИЯ'!$C$10:$C$408,MATCH(D130,'СВОДНАЯ СПЕЦИФИКАЦИЯ'!$D$10:$D$408,0))),"Введите кол-во")</f>
        <v>Введите кол-во</v>
      </c>
      <c r="L130" s="978">
        <f>INDEX('СВОДНАЯ СПЕЦИФИКАЦИЯ'!$H$10:$H$408,MATCH(D130,Таблица2[Наименование материала],0))</f>
        <v>0</v>
      </c>
      <c r="M130" s="979">
        <f t="shared" si="3"/>
        <v>0</v>
      </c>
      <c r="O130" s="934">
        <f t="shared" si="4"/>
        <v>0</v>
      </c>
      <c r="P130" s="934"/>
      <c r="Q130" s="957"/>
      <c r="R130" s="957"/>
      <c r="S130" s="957"/>
      <c r="T130" s="957"/>
      <c r="U130" s="957"/>
      <c r="V130" s="957"/>
      <c r="W130" s="957"/>
      <c r="X130" s="934"/>
      <c r="Y130" s="934"/>
      <c r="Z130" s="934"/>
      <c r="AA130" s="934"/>
      <c r="AB130" s="987"/>
      <c r="AC130" s="934"/>
      <c r="AD130" s="934"/>
      <c r="AE130" s="934"/>
      <c r="AF130" s="934"/>
      <c r="AG130" s="934"/>
      <c r="AH130" s="934"/>
      <c r="AI130" s="934"/>
      <c r="AJ130" s="934"/>
    </row>
    <row r="131" spans="1:36" ht="15" hidden="1" customHeight="1">
      <c r="B131" s="1432"/>
      <c r="C131" s="898" t="s">
        <v>766</v>
      </c>
      <c r="D131" s="732" t="s">
        <v>193</v>
      </c>
      <c r="E131" s="733"/>
      <c r="F131" s="733"/>
      <c r="G131" s="733"/>
      <c r="H131" s="733"/>
      <c r="I131" s="734" t="s">
        <v>112</v>
      </c>
      <c r="J131" s="735">
        <v>0</v>
      </c>
      <c r="K131" s="977">
        <f>IFERROR(_xlfn.CEILING.MATH(J131,INDEX('СВОДНАЯ СПЕЦИФИКАЦИЯ'!$C$10:$C$408,MATCH(D131,'СВОДНАЯ СПЕЦИФИКАЦИЯ'!$D$10:$D$408,0))),"Введите кол-во")</f>
        <v>0</v>
      </c>
      <c r="L131" s="978">
        <f>INDEX('СВОДНАЯ СПЕЦИФИКАЦИЯ'!$H$10:$H$408,MATCH(D131,Таблица2[Наименование материала],0))</f>
        <v>0</v>
      </c>
      <c r="M131" s="979">
        <f t="shared" si="3"/>
        <v>0</v>
      </c>
      <c r="O131" s="934">
        <f t="shared" si="4"/>
        <v>0</v>
      </c>
      <c r="P131" s="934"/>
      <c r="Q131" s="957"/>
      <c r="R131" s="957"/>
      <c r="S131" s="957"/>
      <c r="T131" s="957"/>
      <c r="U131" s="957"/>
      <c r="V131" s="957"/>
      <c r="W131" s="957"/>
      <c r="X131" s="934"/>
      <c r="Y131" s="934"/>
      <c r="Z131" s="934"/>
      <c r="AA131" s="934"/>
      <c r="AB131" s="987"/>
      <c r="AC131" s="934"/>
      <c r="AD131" s="934"/>
      <c r="AE131" s="934"/>
      <c r="AF131" s="934"/>
      <c r="AG131" s="934"/>
      <c r="AH131" s="934"/>
      <c r="AI131" s="934"/>
      <c r="AJ131" s="934"/>
    </row>
    <row r="132" spans="1:36" ht="15" hidden="1" customHeight="1">
      <c r="B132" s="1432"/>
      <c r="C132" s="898" t="s">
        <v>765</v>
      </c>
      <c r="D132" s="732" t="s">
        <v>806</v>
      </c>
      <c r="E132" s="733"/>
      <c r="F132" s="733"/>
      <c r="G132" s="733" t="s">
        <v>807</v>
      </c>
      <c r="H132" s="733"/>
      <c r="I132" s="734" t="s">
        <v>112</v>
      </c>
      <c r="J132" s="735">
        <v>0</v>
      </c>
      <c r="K132" s="977">
        <f>IFERROR(_xlfn.CEILING.MATH(J132,INDEX('СВОДНАЯ СПЕЦИФИКАЦИЯ'!$C$10:$C$408,MATCH(D132,'СВОДНАЯ СПЕЦИФИКАЦИЯ'!$D$10:$D$408,0))),"Введите кол-во")</f>
        <v>0</v>
      </c>
      <c r="L132" s="978">
        <f>INDEX('СВОДНАЯ СПЕЦИФИКАЦИЯ'!$H$10:$H$408,MATCH(D132,Таблица2[Наименование материала],0))</f>
        <v>0</v>
      </c>
      <c r="M132" s="979">
        <f t="shared" si="3"/>
        <v>0</v>
      </c>
      <c r="O132" s="934">
        <f t="shared" si="4"/>
        <v>0</v>
      </c>
      <c r="P132" s="934"/>
      <c r="Q132" s="991"/>
      <c r="R132" s="957"/>
      <c r="S132" s="957"/>
      <c r="T132" s="957"/>
      <c r="U132" s="957"/>
      <c r="V132" s="957"/>
      <c r="W132" s="957"/>
      <c r="X132" s="934"/>
      <c r="Y132" s="934"/>
      <c r="Z132" s="934"/>
      <c r="AA132" s="934"/>
      <c r="AB132" s="987"/>
      <c r="AC132" s="934"/>
      <c r="AD132" s="934"/>
      <c r="AE132" s="934"/>
      <c r="AF132" s="934"/>
      <c r="AG132" s="934"/>
      <c r="AH132" s="934"/>
      <c r="AI132" s="934"/>
      <c r="AJ132" s="934"/>
    </row>
    <row r="133" spans="1:36" ht="15" hidden="1" customHeight="1">
      <c r="B133" s="1432"/>
      <c r="C133" s="898" t="s">
        <v>750</v>
      </c>
      <c r="D133" s="732" t="s">
        <v>1260</v>
      </c>
      <c r="E133" s="733"/>
      <c r="F133" s="733"/>
      <c r="G133" s="733"/>
      <c r="H133" s="733"/>
      <c r="I133" s="734" t="s">
        <v>178</v>
      </c>
      <c r="J133" s="755">
        <v>0</v>
      </c>
      <c r="K133" s="977" t="str">
        <f>IFERROR(_xlfn.CEILING.MATH(J133,INDEX('СВОДНАЯ СПЕЦИФИКАЦИЯ'!$C$10:$C$408,MATCH(D133,'СВОДНАЯ СПЕЦИФИКАЦИЯ'!$D$10:$D$408,0))),"Введите кол-во")</f>
        <v>Введите кол-во</v>
      </c>
      <c r="L133" s="978">
        <f>INDEX('СВОДНАЯ СПЕЦИФИКАЦИЯ'!$H$10:$H$408,MATCH(D133,Таблица2[Наименование материала],0))</f>
        <v>0</v>
      </c>
      <c r="M133" s="979">
        <f t="shared" si="3"/>
        <v>0</v>
      </c>
      <c r="O133" s="934">
        <f t="shared" si="4"/>
        <v>0</v>
      </c>
      <c r="P133" s="934"/>
      <c r="Q133" s="984" t="s">
        <v>453</v>
      </c>
      <c r="R133" s="985"/>
      <c r="S133" s="985"/>
      <c r="T133" s="986">
        <v>20</v>
      </c>
      <c r="U133" s="985" t="s">
        <v>150</v>
      </c>
      <c r="V133" s="957"/>
      <c r="W133" s="957"/>
      <c r="X133" s="934"/>
      <c r="Y133" s="934"/>
      <c r="Z133" s="934"/>
      <c r="AA133" s="934"/>
      <c r="AB133" s="987"/>
      <c r="AC133" s="934"/>
      <c r="AD133" s="934"/>
      <c r="AE133" s="934"/>
      <c r="AF133" s="934"/>
      <c r="AG133" s="934"/>
      <c r="AH133" s="934"/>
      <c r="AI133" s="934"/>
      <c r="AJ133" s="934"/>
    </row>
    <row r="134" spans="1:36" ht="15" hidden="1" customHeight="1">
      <c r="B134" s="1432"/>
      <c r="C134" s="898" t="s">
        <v>751</v>
      </c>
      <c r="D134" s="732" t="s">
        <v>1261</v>
      </c>
      <c r="E134" s="733"/>
      <c r="F134" s="733"/>
      <c r="G134" s="733"/>
      <c r="H134" s="733"/>
      <c r="I134" s="734" t="s">
        <v>178</v>
      </c>
      <c r="J134" s="755">
        <v>0</v>
      </c>
      <c r="K134" s="977" t="str">
        <f>IFERROR(_xlfn.CEILING.MATH(J134,INDEX('СВОДНАЯ СПЕЦИФИКАЦИЯ'!$C$10:$C$408,MATCH(D134,'СВОДНАЯ СПЕЦИФИКАЦИЯ'!$D$10:$D$408,0))),"Введите кол-во")</f>
        <v>Введите кол-во</v>
      </c>
      <c r="L134" s="978">
        <f>INDEX('СВОДНАЯ СПЕЦИФИКАЦИЯ'!$H$10:$H$408,MATCH(D134,Таблица2[Наименование материала],0))</f>
        <v>0</v>
      </c>
      <c r="M134" s="979">
        <f t="shared" si="3"/>
        <v>0</v>
      </c>
      <c r="O134" s="934">
        <f t="shared" si="4"/>
        <v>0</v>
      </c>
      <c r="P134" s="934"/>
      <c r="Q134" s="984" t="s">
        <v>453</v>
      </c>
      <c r="R134" s="985"/>
      <c r="S134" s="985"/>
      <c r="T134" s="986">
        <v>30</v>
      </c>
      <c r="U134" s="985" t="s">
        <v>150</v>
      </c>
      <c r="V134" s="957"/>
      <c r="W134" s="957"/>
      <c r="X134" s="934"/>
      <c r="Y134" s="934"/>
      <c r="Z134" s="934"/>
      <c r="AA134" s="934"/>
      <c r="AB134" s="987"/>
      <c r="AC134" s="934"/>
      <c r="AD134" s="934"/>
      <c r="AE134" s="934"/>
      <c r="AF134" s="934"/>
      <c r="AG134" s="934"/>
      <c r="AH134" s="934"/>
      <c r="AI134" s="934"/>
      <c r="AJ134" s="934"/>
    </row>
    <row r="135" spans="1:36" ht="15" hidden="1" customHeight="1">
      <c r="B135" s="1432"/>
      <c r="C135" s="898" t="s">
        <v>752</v>
      </c>
      <c r="D135" s="732" t="s">
        <v>1262</v>
      </c>
      <c r="E135" s="733"/>
      <c r="F135" s="733"/>
      <c r="G135" s="733"/>
      <c r="H135" s="733"/>
      <c r="I135" s="734" t="s">
        <v>178</v>
      </c>
      <c r="J135" s="755">
        <v>0</v>
      </c>
      <c r="K135" s="977" t="str">
        <f>IFERROR(_xlfn.CEILING.MATH(J135,INDEX('СВОДНАЯ СПЕЦИФИКАЦИЯ'!$C$10:$C$408,MATCH(D135,'СВОДНАЯ СПЕЦИФИКАЦИЯ'!$D$10:$D$408,0))),"Введите кол-во")</f>
        <v>Введите кол-во</v>
      </c>
      <c r="L135" s="978">
        <f>INDEX('СВОДНАЯ СПЕЦИФИКАЦИЯ'!$H$10:$H$408,MATCH(D135,Таблица2[Наименование материала],0))</f>
        <v>0</v>
      </c>
      <c r="M135" s="979">
        <f t="shared" si="3"/>
        <v>0</v>
      </c>
      <c r="O135" s="934">
        <f t="shared" si="4"/>
        <v>0</v>
      </c>
      <c r="P135" s="934"/>
      <c r="Q135" s="984" t="s">
        <v>453</v>
      </c>
      <c r="R135" s="985"/>
      <c r="S135" s="985"/>
      <c r="T135" s="986">
        <v>40</v>
      </c>
      <c r="U135" s="985" t="s">
        <v>150</v>
      </c>
      <c r="V135" s="957"/>
      <c r="W135" s="957"/>
      <c r="X135" s="934"/>
      <c r="Y135" s="934"/>
      <c r="Z135" s="934"/>
      <c r="AA135" s="934"/>
      <c r="AB135" s="987"/>
      <c r="AC135" s="934"/>
      <c r="AD135" s="934"/>
      <c r="AE135" s="934"/>
      <c r="AF135" s="934"/>
      <c r="AG135" s="934"/>
      <c r="AH135" s="934"/>
      <c r="AI135" s="934"/>
      <c r="AJ135" s="934"/>
    </row>
    <row r="136" spans="1:36" ht="15" hidden="1" customHeight="1">
      <c r="B136" s="1432"/>
      <c r="C136" s="898" t="s">
        <v>753</v>
      </c>
      <c r="D136" s="732" t="s">
        <v>1263</v>
      </c>
      <c r="E136" s="733"/>
      <c r="F136" s="733"/>
      <c r="G136" s="733"/>
      <c r="H136" s="733"/>
      <c r="I136" s="734" t="s">
        <v>178</v>
      </c>
      <c r="J136" s="755">
        <v>0</v>
      </c>
      <c r="K136" s="977" t="str">
        <f>IFERROR(_xlfn.CEILING.MATH(J136,INDEX('СВОДНАЯ СПЕЦИФИКАЦИЯ'!$C$10:$C$408,MATCH(D136,'СВОДНАЯ СПЕЦИФИКАЦИЯ'!$D$10:$D$408,0))),"Введите кол-во")</f>
        <v>Введите кол-во</v>
      </c>
      <c r="L136" s="978">
        <f>INDEX('СВОДНАЯ СПЕЦИФИКАЦИЯ'!$H$10:$H$408,MATCH(D136,Таблица2[Наименование материала],0))</f>
        <v>0</v>
      </c>
      <c r="M136" s="979">
        <f t="shared" si="3"/>
        <v>0</v>
      </c>
      <c r="O136" s="934">
        <f t="shared" si="4"/>
        <v>0</v>
      </c>
      <c r="P136" s="934"/>
      <c r="Q136" s="984" t="s">
        <v>453</v>
      </c>
      <c r="R136" s="985"/>
      <c r="S136" s="985"/>
      <c r="T136" s="986">
        <v>50</v>
      </c>
      <c r="U136" s="985" t="s">
        <v>150</v>
      </c>
      <c r="V136" s="957"/>
      <c r="W136" s="957"/>
      <c r="X136" s="934"/>
      <c r="Y136" s="934"/>
      <c r="Z136" s="934"/>
      <c r="AA136" s="934"/>
      <c r="AB136" s="987"/>
      <c r="AC136" s="934"/>
      <c r="AD136" s="934"/>
      <c r="AE136" s="934"/>
      <c r="AF136" s="934"/>
      <c r="AG136" s="934"/>
      <c r="AH136" s="934"/>
      <c r="AI136" s="934"/>
      <c r="AJ136" s="934"/>
    </row>
    <row r="137" spans="1:36" ht="15" hidden="1" customHeight="1">
      <c r="B137" s="1432"/>
      <c r="C137" s="898" t="s">
        <v>981</v>
      </c>
      <c r="D137" s="732" t="s">
        <v>1264</v>
      </c>
      <c r="E137" s="733"/>
      <c r="F137" s="733"/>
      <c r="G137" s="733"/>
      <c r="H137" s="733"/>
      <c r="I137" s="734" t="s">
        <v>178</v>
      </c>
      <c r="J137" s="755">
        <v>0</v>
      </c>
      <c r="K137" s="977" t="str">
        <f>IFERROR(_xlfn.CEILING.MATH(J137,INDEX('СВОДНАЯ СПЕЦИФИКАЦИЯ'!$C$10:$C$408,MATCH(D137,'СВОДНАЯ СПЕЦИФИКАЦИЯ'!$D$10:$D$408,0))),"Введите кол-во")</f>
        <v>Введите кол-во</v>
      </c>
      <c r="L137" s="978">
        <f>INDEX('СВОДНАЯ СПЕЦИФИКАЦИЯ'!$H$10:$H$408,MATCH(D137,Таблица2[Наименование материала],0))</f>
        <v>0</v>
      </c>
      <c r="M137" s="979">
        <f t="shared" si="3"/>
        <v>0</v>
      </c>
      <c r="O137" s="934">
        <f t="shared" si="4"/>
        <v>0</v>
      </c>
      <c r="P137" s="934"/>
      <c r="Q137" s="984" t="s">
        <v>453</v>
      </c>
      <c r="R137" s="985"/>
      <c r="S137" s="985"/>
      <c r="T137" s="986">
        <v>100</v>
      </c>
      <c r="U137" s="985" t="s">
        <v>150</v>
      </c>
      <c r="V137" s="957"/>
      <c r="W137" s="957"/>
      <c r="X137" s="934"/>
      <c r="Y137" s="934"/>
      <c r="Z137" s="934"/>
      <c r="AA137" s="934"/>
      <c r="AB137" s="987"/>
      <c r="AC137" s="934"/>
      <c r="AD137" s="934"/>
      <c r="AE137" s="934"/>
      <c r="AF137" s="934"/>
      <c r="AG137" s="934"/>
      <c r="AH137" s="934"/>
      <c r="AI137" s="934"/>
      <c r="AJ137" s="934"/>
    </row>
    <row r="138" spans="1:36" ht="15" hidden="1" customHeight="1">
      <c r="B138" s="1432"/>
      <c r="C138" s="898" t="s">
        <v>746</v>
      </c>
      <c r="D138" s="732" t="s">
        <v>1265</v>
      </c>
      <c r="E138" s="733"/>
      <c r="F138" s="733"/>
      <c r="G138" s="733"/>
      <c r="H138" s="733"/>
      <c r="I138" s="734" t="s">
        <v>178</v>
      </c>
      <c r="J138" s="755">
        <v>0</v>
      </c>
      <c r="K138" s="977" t="str">
        <f>IFERROR(_xlfn.CEILING.MATH(J138,INDEX('СВОДНАЯ СПЕЦИФИКАЦИЯ'!$C$10:$C$408,MATCH(D138,'СВОДНАЯ СПЕЦИФИКАЦИЯ'!$D$10:$D$408,0))),"Введите кол-во")</f>
        <v>Введите кол-во</v>
      </c>
      <c r="L138" s="978">
        <f>INDEX('СВОДНАЯ СПЕЦИФИКАЦИЯ'!$H$10:$H$408,MATCH(D138,Таблица2[Наименование материала],0))</f>
        <v>0</v>
      </c>
      <c r="M138" s="979">
        <f t="shared" si="3"/>
        <v>0</v>
      </c>
      <c r="O138" s="934">
        <f t="shared" si="4"/>
        <v>0</v>
      </c>
      <c r="P138" s="934"/>
      <c r="Q138" s="984" t="s">
        <v>452</v>
      </c>
      <c r="R138" s="985"/>
      <c r="S138" s="985"/>
      <c r="T138" s="986">
        <v>40</v>
      </c>
      <c r="U138" s="985" t="s">
        <v>150</v>
      </c>
      <c r="V138" s="957"/>
      <c r="W138" s="957"/>
      <c r="X138" s="934"/>
      <c r="Y138" s="934"/>
      <c r="Z138" s="934"/>
      <c r="AA138" s="934"/>
      <c r="AB138" s="987"/>
      <c r="AC138" s="934"/>
      <c r="AD138" s="934"/>
      <c r="AE138" s="934"/>
      <c r="AF138" s="934"/>
      <c r="AG138" s="934"/>
      <c r="AH138" s="934"/>
      <c r="AI138" s="934"/>
      <c r="AJ138" s="934"/>
    </row>
    <row r="139" spans="1:36" ht="15" hidden="1" customHeight="1">
      <c r="B139" s="1432"/>
      <c r="C139" s="898" t="s">
        <v>747</v>
      </c>
      <c r="D139" s="732" t="s">
        <v>1266</v>
      </c>
      <c r="E139" s="733"/>
      <c r="F139" s="733"/>
      <c r="G139" s="733"/>
      <c r="H139" s="733"/>
      <c r="I139" s="734" t="s">
        <v>178</v>
      </c>
      <c r="J139" s="755">
        <v>0</v>
      </c>
      <c r="K139" s="977" t="str">
        <f>IFERROR(_xlfn.CEILING.MATH(J139,INDEX('СВОДНАЯ СПЕЦИФИКАЦИЯ'!$C$10:$C$408,MATCH(D139,'СВОДНАЯ СПЕЦИФИКАЦИЯ'!$D$10:$D$408,0))),"Введите кол-во")</f>
        <v>Введите кол-во</v>
      </c>
      <c r="L139" s="978">
        <f>INDEX('СВОДНАЯ СПЕЦИФИКАЦИЯ'!$H$10:$H$408,MATCH(D139,Таблица2[Наименование материала],0))</f>
        <v>0</v>
      </c>
      <c r="M139" s="979">
        <f t="shared" si="3"/>
        <v>0</v>
      </c>
      <c r="O139" s="934">
        <f t="shared" si="4"/>
        <v>0</v>
      </c>
      <c r="P139" s="934"/>
      <c r="Q139" s="984" t="s">
        <v>452</v>
      </c>
      <c r="R139" s="985"/>
      <c r="S139" s="985"/>
      <c r="T139" s="986">
        <v>50</v>
      </c>
      <c r="U139" s="985" t="s">
        <v>150</v>
      </c>
      <c r="V139" s="957"/>
      <c r="W139" s="957"/>
      <c r="X139" s="934"/>
      <c r="Y139" s="934"/>
      <c r="Z139" s="934"/>
      <c r="AA139" s="934"/>
      <c r="AB139" s="987"/>
      <c r="AC139" s="934"/>
      <c r="AD139" s="934"/>
      <c r="AE139" s="934"/>
      <c r="AF139" s="934"/>
      <c r="AG139" s="934"/>
      <c r="AH139" s="934"/>
      <c r="AI139" s="934"/>
      <c r="AJ139" s="934"/>
    </row>
    <row r="140" spans="1:36" ht="15" hidden="1" customHeight="1">
      <c r="B140" s="1432"/>
      <c r="C140" s="898" t="s">
        <v>748</v>
      </c>
      <c r="D140" s="732" t="s">
        <v>1267</v>
      </c>
      <c r="E140" s="733"/>
      <c r="F140" s="733"/>
      <c r="G140" s="733"/>
      <c r="H140" s="733"/>
      <c r="I140" s="734" t="s">
        <v>178</v>
      </c>
      <c r="J140" s="755">
        <v>0</v>
      </c>
      <c r="K140" s="977" t="str">
        <f>IFERROR(_xlfn.CEILING.MATH(J140,INDEX('СВОДНАЯ СПЕЦИФИКАЦИЯ'!$C$10:$C$408,MATCH(D140,'СВОДНАЯ СПЕЦИФИКАЦИЯ'!$D$10:$D$408,0))),"Введите кол-во")</f>
        <v>Введите кол-во</v>
      </c>
      <c r="L140" s="978">
        <f>INDEX('СВОДНАЯ СПЕЦИФИКАЦИЯ'!$H$10:$H$408,MATCH(D140,Таблица2[Наименование материала],0))</f>
        <v>0</v>
      </c>
      <c r="M140" s="979">
        <f t="shared" si="3"/>
        <v>0</v>
      </c>
      <c r="O140" s="934">
        <f t="shared" si="4"/>
        <v>0</v>
      </c>
      <c r="P140" s="934"/>
      <c r="Q140" s="984" t="s">
        <v>452</v>
      </c>
      <c r="R140" s="985"/>
      <c r="S140" s="985"/>
      <c r="T140" s="986">
        <v>60</v>
      </c>
      <c r="U140" s="985" t="s">
        <v>150</v>
      </c>
      <c r="V140" s="957"/>
      <c r="W140" s="957"/>
      <c r="X140" s="934"/>
      <c r="Y140" s="934"/>
      <c r="Z140" s="934"/>
      <c r="AA140" s="934"/>
      <c r="AB140" s="987"/>
      <c r="AC140" s="934"/>
      <c r="AD140" s="934"/>
      <c r="AE140" s="934"/>
      <c r="AF140" s="934"/>
      <c r="AG140" s="934"/>
      <c r="AH140" s="934"/>
      <c r="AI140" s="934"/>
      <c r="AJ140" s="934"/>
    </row>
    <row r="141" spans="1:36" ht="15" hidden="1" customHeight="1">
      <c r="B141" s="1432"/>
      <c r="C141" s="898" t="s">
        <v>798</v>
      </c>
      <c r="D141" s="732" t="s">
        <v>1268</v>
      </c>
      <c r="E141" s="733"/>
      <c r="F141" s="733"/>
      <c r="G141" s="733"/>
      <c r="H141" s="733"/>
      <c r="I141" s="734" t="s">
        <v>178</v>
      </c>
      <c r="J141" s="755">
        <v>0</v>
      </c>
      <c r="K141" s="977" t="str">
        <f>IFERROR(_xlfn.CEILING.MATH(J141,INDEX('СВОДНАЯ СПЕЦИФИКАЦИЯ'!$C$10:$C$408,MATCH(D141,'СВОДНАЯ СПЕЦИФИКАЦИЯ'!$D$10:$D$408,0))),"Введите кол-во")</f>
        <v>Введите кол-во</v>
      </c>
      <c r="L141" s="978">
        <f>INDEX('СВОДНАЯ СПЕЦИФИКАЦИЯ'!$H$10:$H$408,MATCH(D141,Таблица2[Наименование материала],0))</f>
        <v>0</v>
      </c>
      <c r="M141" s="979">
        <f t="shared" si="3"/>
        <v>0</v>
      </c>
      <c r="O141" s="934">
        <f t="shared" si="4"/>
        <v>0</v>
      </c>
      <c r="P141" s="934"/>
      <c r="Q141" s="984" t="s">
        <v>452</v>
      </c>
      <c r="R141" s="985"/>
      <c r="S141" s="985"/>
      <c r="T141" s="986">
        <v>80</v>
      </c>
      <c r="U141" s="985" t="s">
        <v>150</v>
      </c>
      <c r="V141" s="957"/>
      <c r="W141" s="957"/>
      <c r="X141" s="934"/>
      <c r="Y141" s="934"/>
      <c r="Z141" s="934"/>
      <c r="AA141" s="934"/>
      <c r="AB141" s="987"/>
      <c r="AC141" s="934"/>
      <c r="AD141" s="934"/>
      <c r="AE141" s="934"/>
      <c r="AF141" s="934"/>
      <c r="AG141" s="934"/>
      <c r="AH141" s="934"/>
      <c r="AI141" s="934"/>
      <c r="AJ141" s="934"/>
    </row>
    <row r="142" spans="1:36" ht="15" hidden="1" customHeight="1">
      <c r="B142" s="1432"/>
      <c r="C142" s="898" t="s">
        <v>749</v>
      </c>
      <c r="D142" s="732" t="s">
        <v>1269</v>
      </c>
      <c r="E142" s="733"/>
      <c r="F142" s="733"/>
      <c r="G142" s="733"/>
      <c r="H142" s="733"/>
      <c r="I142" s="734" t="s">
        <v>178</v>
      </c>
      <c r="J142" s="755">
        <v>0</v>
      </c>
      <c r="K142" s="977" t="str">
        <f>IFERROR(_xlfn.CEILING.MATH(J142,INDEX('СВОДНАЯ СПЕЦИФИКАЦИЯ'!$C$10:$C$408,MATCH(D142,'СВОДНАЯ СПЕЦИФИКАЦИЯ'!$D$10:$D$408,0))),"Введите кол-во")</f>
        <v>Введите кол-во</v>
      </c>
      <c r="L142" s="978">
        <f>INDEX('СВОДНАЯ СПЕЦИФИКАЦИЯ'!$H$10:$H$408,MATCH(D142,Таблица2[Наименование материала],0))</f>
        <v>0</v>
      </c>
      <c r="M142" s="979">
        <f t="shared" ref="M142:M227" si="5">IFERROR(K142*L142,0)</f>
        <v>0</v>
      </c>
      <c r="O142" s="934">
        <f t="shared" si="4"/>
        <v>0</v>
      </c>
      <c r="P142" s="934"/>
      <c r="Q142" s="984" t="s">
        <v>452</v>
      </c>
      <c r="R142" s="985"/>
      <c r="S142" s="985"/>
      <c r="T142" s="986">
        <v>100</v>
      </c>
      <c r="U142" s="985" t="s">
        <v>150</v>
      </c>
      <c r="V142" s="957"/>
      <c r="W142" s="957"/>
      <c r="X142" s="934"/>
      <c r="Y142" s="934"/>
      <c r="Z142" s="934"/>
      <c r="AA142" s="934"/>
      <c r="AB142" s="987"/>
      <c r="AC142" s="934"/>
      <c r="AD142" s="934"/>
      <c r="AE142" s="934"/>
      <c r="AF142" s="934"/>
      <c r="AG142" s="934"/>
      <c r="AH142" s="934"/>
      <c r="AI142" s="934"/>
      <c r="AJ142" s="934"/>
    </row>
    <row r="143" spans="1:36" ht="15" hidden="1" customHeight="1">
      <c r="B143" s="1432"/>
      <c r="C143" s="898" t="s">
        <v>978</v>
      </c>
      <c r="D143" s="732" t="s">
        <v>552</v>
      </c>
      <c r="E143" s="733"/>
      <c r="F143" s="733"/>
      <c r="G143" s="733"/>
      <c r="H143" s="733"/>
      <c r="I143" s="734" t="s">
        <v>178</v>
      </c>
      <c r="J143" s="755">
        <v>0</v>
      </c>
      <c r="K143" s="977" t="str">
        <f>IFERROR(_xlfn.CEILING.MATH(J143,INDEX('СВОДНАЯ СПЕЦИФИКАЦИЯ'!$C$10:$C$408,MATCH(D143,'СВОДНАЯ СПЕЦИФИКАЦИЯ'!$D$10:$D$408,0))),"Введите кол-во")</f>
        <v>Введите кол-во</v>
      </c>
      <c r="L143" s="978">
        <f>INDEX('СВОДНАЯ СПЕЦИФИКАЦИЯ'!$H$10:$H$408,MATCH(D143,Таблица2[Наименование материала],0))</f>
        <v>0</v>
      </c>
      <c r="M143" s="979">
        <f t="shared" si="5"/>
        <v>0</v>
      </c>
      <c r="O143" s="934">
        <f t="shared" si="4"/>
        <v>0</v>
      </c>
      <c r="P143" s="934"/>
      <c r="Q143" s="984" t="s">
        <v>463</v>
      </c>
      <c r="R143" s="985"/>
      <c r="S143" s="985"/>
      <c r="T143" s="986">
        <v>50</v>
      </c>
      <c r="U143" s="985" t="s">
        <v>150</v>
      </c>
      <c r="V143" s="957"/>
      <c r="W143" s="957"/>
      <c r="X143" s="934"/>
      <c r="Y143" s="934"/>
      <c r="Z143" s="934"/>
      <c r="AA143" s="934"/>
      <c r="AB143" s="987"/>
      <c r="AC143" s="934"/>
      <c r="AD143" s="934"/>
      <c r="AE143" s="934"/>
      <c r="AF143" s="934"/>
      <c r="AG143" s="934"/>
      <c r="AH143" s="934"/>
      <c r="AI143" s="934"/>
      <c r="AJ143" s="934"/>
    </row>
    <row r="144" spans="1:36" ht="15" hidden="1" customHeight="1">
      <c r="B144" s="1432"/>
      <c r="C144" s="898" t="s">
        <v>979</v>
      </c>
      <c r="D144" s="732" t="s">
        <v>1270</v>
      </c>
      <c r="E144" s="733"/>
      <c r="F144" s="733"/>
      <c r="G144" s="733"/>
      <c r="H144" s="733"/>
      <c r="I144" s="734" t="s">
        <v>178</v>
      </c>
      <c r="J144" s="755">
        <v>0</v>
      </c>
      <c r="K144" s="977" t="str">
        <f>IFERROR(_xlfn.CEILING.MATH(J144,INDEX('СВОДНАЯ СПЕЦИФИКАЦИЯ'!$C$10:$C$408,MATCH(D144,'СВОДНАЯ СПЕЦИФИКАЦИЯ'!$D$10:$D$408,0))),"Введите кол-во")</f>
        <v>Введите кол-во</v>
      </c>
      <c r="L144" s="978">
        <f>INDEX('СВОДНАЯ СПЕЦИФИКАЦИЯ'!$H$10:$H$408,MATCH(D144,Таблица2[Наименование материала],0))</f>
        <v>0</v>
      </c>
      <c r="M144" s="979">
        <f t="shared" si="5"/>
        <v>0</v>
      </c>
      <c r="O144" s="934">
        <f t="shared" si="4"/>
        <v>0</v>
      </c>
      <c r="P144" s="934"/>
      <c r="Q144" s="984" t="s">
        <v>463</v>
      </c>
      <c r="R144" s="985"/>
      <c r="S144" s="985"/>
      <c r="T144" s="986">
        <v>60</v>
      </c>
      <c r="U144" s="985" t="s">
        <v>150</v>
      </c>
      <c r="V144" s="957"/>
      <c r="W144" s="957"/>
      <c r="X144" s="934"/>
      <c r="Y144" s="934"/>
      <c r="Z144" s="934"/>
      <c r="AA144" s="934"/>
      <c r="AB144" s="987"/>
      <c r="AC144" s="934"/>
      <c r="AD144" s="934"/>
      <c r="AE144" s="934"/>
      <c r="AF144" s="934"/>
      <c r="AG144" s="934"/>
      <c r="AH144" s="934"/>
      <c r="AI144" s="934"/>
      <c r="AJ144" s="934"/>
    </row>
    <row r="145" spans="2:36" ht="15" hidden="1" customHeight="1">
      <c r="B145" s="1432"/>
      <c r="C145" s="898" t="s">
        <v>980</v>
      </c>
      <c r="D145" s="732" t="s">
        <v>1271</v>
      </c>
      <c r="E145" s="733"/>
      <c r="F145" s="733"/>
      <c r="G145" s="733"/>
      <c r="H145" s="733"/>
      <c r="I145" s="734" t="s">
        <v>178</v>
      </c>
      <c r="J145" s="755">
        <v>0</v>
      </c>
      <c r="K145" s="977" t="str">
        <f>IFERROR(_xlfn.CEILING.MATH(J145,INDEX('СВОДНАЯ СПЕЦИФИКАЦИЯ'!$C$10:$C$408,MATCH(D145,'СВОДНАЯ СПЕЦИФИКАЦИЯ'!$D$10:$D$408,0))),"Введите кол-во")</f>
        <v>Введите кол-во</v>
      </c>
      <c r="L145" s="978">
        <f>INDEX('СВОДНАЯ СПЕЦИФИКАЦИЯ'!$H$10:$H$408,MATCH(D145,Таблица2[Наименование материала],0))</f>
        <v>0</v>
      </c>
      <c r="M145" s="979">
        <f t="shared" si="5"/>
        <v>0</v>
      </c>
      <c r="O145" s="934">
        <f t="shared" si="4"/>
        <v>0</v>
      </c>
      <c r="P145" s="934"/>
      <c r="Q145" s="984" t="s">
        <v>463</v>
      </c>
      <c r="R145" s="985"/>
      <c r="S145" s="985"/>
      <c r="T145" s="986">
        <v>80</v>
      </c>
      <c r="U145" s="985" t="s">
        <v>150</v>
      </c>
      <c r="V145" s="957"/>
      <c r="W145" s="957"/>
      <c r="X145" s="934"/>
      <c r="Y145" s="934"/>
      <c r="Z145" s="934"/>
      <c r="AA145" s="934"/>
      <c r="AB145" s="987"/>
      <c r="AC145" s="934"/>
      <c r="AD145" s="934"/>
      <c r="AE145" s="934"/>
      <c r="AF145" s="934"/>
      <c r="AG145" s="934"/>
      <c r="AH145" s="934"/>
      <c r="AI145" s="934"/>
      <c r="AJ145" s="934"/>
    </row>
    <row r="146" spans="2:36" ht="15" hidden="1" customHeight="1">
      <c r="B146" s="1432"/>
      <c r="C146" s="898" t="s">
        <v>982</v>
      </c>
      <c r="D146" s="732" t="s">
        <v>1272</v>
      </c>
      <c r="E146" s="733"/>
      <c r="F146" s="733"/>
      <c r="G146" s="733"/>
      <c r="H146" s="733"/>
      <c r="I146" s="734" t="s">
        <v>178</v>
      </c>
      <c r="J146" s="755">
        <v>0</v>
      </c>
      <c r="K146" s="977" t="str">
        <f>IFERROR(_xlfn.CEILING.MATH(J146,INDEX('СВОДНАЯ СПЕЦИФИКАЦИЯ'!$C$10:$C$408,MATCH(D146,'СВОДНАЯ СПЕЦИФИКАЦИЯ'!$D$10:$D$408,0))),"Введите кол-во")</f>
        <v>Введите кол-во</v>
      </c>
      <c r="L146" s="978">
        <f>INDEX('СВОДНАЯ СПЕЦИФИКАЦИЯ'!$H$10:$H$408,MATCH(D146,Таблица2[Наименование материала],0))</f>
        <v>0</v>
      </c>
      <c r="M146" s="979">
        <f t="shared" si="5"/>
        <v>0</v>
      </c>
      <c r="O146" s="934">
        <f t="shared" si="4"/>
        <v>0</v>
      </c>
      <c r="P146" s="934"/>
      <c r="Q146" s="984" t="s">
        <v>463</v>
      </c>
      <c r="R146" s="985"/>
      <c r="S146" s="985"/>
      <c r="T146" s="986">
        <v>100</v>
      </c>
      <c r="U146" s="985" t="s">
        <v>150</v>
      </c>
      <c r="V146" s="957"/>
      <c r="W146" s="957"/>
      <c r="X146" s="934"/>
      <c r="Y146" s="934"/>
      <c r="Z146" s="934"/>
      <c r="AA146" s="934"/>
      <c r="AB146" s="987"/>
      <c r="AC146" s="934"/>
      <c r="AD146" s="934"/>
      <c r="AE146" s="934"/>
      <c r="AF146" s="934"/>
      <c r="AG146" s="934"/>
      <c r="AH146" s="934"/>
      <c r="AI146" s="934"/>
      <c r="AJ146" s="934"/>
    </row>
    <row r="147" spans="2:36" ht="15" hidden="1" customHeight="1">
      <c r="B147" s="1432"/>
      <c r="C147" s="898" t="s">
        <v>983</v>
      </c>
      <c r="D147" s="732" t="s">
        <v>1273</v>
      </c>
      <c r="E147" s="733"/>
      <c r="F147" s="733"/>
      <c r="G147" s="733"/>
      <c r="H147" s="733"/>
      <c r="I147" s="734" t="s">
        <v>178</v>
      </c>
      <c r="J147" s="755">
        <v>0</v>
      </c>
      <c r="K147" s="977" t="str">
        <f>IFERROR(_xlfn.CEILING.MATH(J147,INDEX('СВОДНАЯ СПЕЦИФИКАЦИЯ'!$C$10:$C$408,MATCH(D147,'СВОДНАЯ СПЕЦИФИКАЦИЯ'!$D$10:$D$408,0))),"Введите кол-во")</f>
        <v>Введите кол-во</v>
      </c>
      <c r="L147" s="978">
        <f>INDEX('СВОДНАЯ СПЕЦИФИКАЦИЯ'!$H$10:$H$408,MATCH(D147,Таблица2[Наименование материала],0))</f>
        <v>0</v>
      </c>
      <c r="M147" s="979">
        <f t="shared" si="5"/>
        <v>0</v>
      </c>
      <c r="O147" s="934">
        <f t="shared" si="4"/>
        <v>0</v>
      </c>
      <c r="P147" s="934"/>
      <c r="Q147" s="984" t="s">
        <v>463</v>
      </c>
      <c r="R147" s="985"/>
      <c r="S147" s="985"/>
      <c r="T147" s="986">
        <v>120</v>
      </c>
      <c r="U147" s="985" t="s">
        <v>150</v>
      </c>
      <c r="V147" s="957"/>
      <c r="W147" s="957"/>
      <c r="X147" s="934"/>
      <c r="Y147" s="934"/>
      <c r="Z147" s="934"/>
      <c r="AA147" s="934"/>
      <c r="AB147" s="987"/>
      <c r="AC147" s="934"/>
      <c r="AD147" s="934"/>
      <c r="AE147" s="934"/>
      <c r="AF147" s="934"/>
      <c r="AG147" s="934"/>
      <c r="AH147" s="934"/>
      <c r="AI147" s="934"/>
      <c r="AJ147" s="934"/>
    </row>
    <row r="148" spans="2:36" ht="15" hidden="1" customHeight="1">
      <c r="B148" s="1432"/>
      <c r="C148" s="898" t="s">
        <v>1006</v>
      </c>
      <c r="D148" s="732" t="s">
        <v>1274</v>
      </c>
      <c r="E148" s="733"/>
      <c r="F148" s="733"/>
      <c r="G148" s="733"/>
      <c r="H148" s="733"/>
      <c r="I148" s="734" t="s">
        <v>178</v>
      </c>
      <c r="J148" s="755">
        <v>0</v>
      </c>
      <c r="K148" s="977" t="str">
        <f>IFERROR(_xlfn.CEILING.MATH(J148,INDEX('СВОДНАЯ СПЕЦИФИКАЦИЯ'!$C$10:$C$408,MATCH(D148,'СВОДНАЯ СПЕЦИФИКАЦИЯ'!$D$10:$D$408,0))),"Введите кол-во")</f>
        <v>Введите кол-во</v>
      </c>
      <c r="L148" s="978">
        <f>INDEX('СВОДНАЯ СПЕЦИФИКАЦИЯ'!$H$10:$H$408,MATCH(D148,Таблица2[Наименование материала],0))</f>
        <v>0</v>
      </c>
      <c r="M148" s="979">
        <f t="shared" si="5"/>
        <v>0</v>
      </c>
      <c r="O148" s="934">
        <f t="shared" si="4"/>
        <v>0</v>
      </c>
      <c r="P148" s="934"/>
      <c r="Q148" s="984" t="s">
        <v>984</v>
      </c>
      <c r="R148" s="985"/>
      <c r="S148" s="985"/>
      <c r="T148" s="986">
        <v>40</v>
      </c>
      <c r="U148" s="985" t="s">
        <v>150</v>
      </c>
      <c r="V148" s="957"/>
      <c r="W148" s="957"/>
      <c r="X148" s="934"/>
      <c r="Y148" s="934"/>
      <c r="Z148" s="934"/>
      <c r="AA148" s="934"/>
      <c r="AB148" s="987"/>
      <c r="AC148" s="934"/>
      <c r="AD148" s="934"/>
      <c r="AE148" s="934"/>
      <c r="AF148" s="934"/>
      <c r="AG148" s="934"/>
      <c r="AH148" s="934"/>
      <c r="AI148" s="934"/>
      <c r="AJ148" s="934"/>
    </row>
    <row r="149" spans="2:36" ht="15" hidden="1" customHeight="1">
      <c r="B149" s="1432"/>
      <c r="C149" s="898" t="s">
        <v>985</v>
      </c>
      <c r="D149" s="732" t="s">
        <v>1275</v>
      </c>
      <c r="E149" s="733"/>
      <c r="F149" s="733"/>
      <c r="G149" s="733"/>
      <c r="H149" s="733"/>
      <c r="I149" s="734" t="s">
        <v>178</v>
      </c>
      <c r="J149" s="755">
        <v>0</v>
      </c>
      <c r="K149" s="977" t="str">
        <f>IFERROR(_xlfn.CEILING.MATH(J149,INDEX('СВОДНАЯ СПЕЦИФИКАЦИЯ'!$C$10:$C$408,MATCH(D149,'СВОДНАЯ СПЕЦИФИКАЦИЯ'!$D$10:$D$408,0))),"Введите кол-во")</f>
        <v>Введите кол-во</v>
      </c>
      <c r="L149" s="978">
        <f>INDEX('СВОДНАЯ СПЕЦИФИКАЦИЯ'!$H$10:$H$408,MATCH(D149,Таблица2[Наименование материала],0))</f>
        <v>0</v>
      </c>
      <c r="M149" s="979">
        <f t="shared" si="5"/>
        <v>0</v>
      </c>
      <c r="O149" s="934">
        <f t="shared" si="4"/>
        <v>0</v>
      </c>
      <c r="P149" s="934"/>
      <c r="Q149" s="984" t="s">
        <v>984</v>
      </c>
      <c r="R149" s="985"/>
      <c r="S149" s="985"/>
      <c r="T149" s="986">
        <v>50</v>
      </c>
      <c r="U149" s="985" t="s">
        <v>150</v>
      </c>
      <c r="V149" s="957"/>
      <c r="W149" s="957"/>
      <c r="X149" s="934"/>
      <c r="Y149" s="934"/>
      <c r="Z149" s="934"/>
      <c r="AA149" s="934"/>
      <c r="AB149" s="987"/>
      <c r="AC149" s="934"/>
      <c r="AD149" s="934"/>
      <c r="AE149" s="934"/>
      <c r="AF149" s="934"/>
      <c r="AG149" s="934"/>
      <c r="AH149" s="934"/>
      <c r="AI149" s="934"/>
      <c r="AJ149" s="934"/>
    </row>
    <row r="150" spans="2:36" ht="15" hidden="1" customHeight="1">
      <c r="B150" s="1432"/>
      <c r="C150" s="898" t="s">
        <v>1007</v>
      </c>
      <c r="D150" s="732" t="s">
        <v>1276</v>
      </c>
      <c r="E150" s="733"/>
      <c r="F150" s="733"/>
      <c r="G150" s="733"/>
      <c r="H150" s="733"/>
      <c r="I150" s="734" t="s">
        <v>178</v>
      </c>
      <c r="J150" s="755">
        <v>0</v>
      </c>
      <c r="K150" s="977" t="str">
        <f>IFERROR(_xlfn.CEILING.MATH(J150,INDEX('СВОДНАЯ СПЕЦИФИКАЦИЯ'!$C$10:$C$408,MATCH(D150,'СВОДНАЯ СПЕЦИФИКАЦИЯ'!$D$10:$D$408,0))),"Введите кол-во")</f>
        <v>Введите кол-во</v>
      </c>
      <c r="L150" s="978">
        <f>INDEX('СВОДНАЯ СПЕЦИФИКАЦИЯ'!$H$10:$H$408,MATCH(D150,Таблица2[Наименование материала],0))</f>
        <v>0</v>
      </c>
      <c r="M150" s="979">
        <f t="shared" si="5"/>
        <v>0</v>
      </c>
      <c r="O150" s="934">
        <f t="shared" si="4"/>
        <v>0</v>
      </c>
      <c r="P150" s="934"/>
      <c r="Q150" s="984" t="s">
        <v>984</v>
      </c>
      <c r="R150" s="985"/>
      <c r="S150" s="985"/>
      <c r="T150" s="986">
        <v>60</v>
      </c>
      <c r="U150" s="985" t="s">
        <v>150</v>
      </c>
      <c r="V150" s="957"/>
      <c r="W150" s="957"/>
      <c r="X150" s="934"/>
      <c r="Y150" s="934"/>
      <c r="Z150" s="934"/>
      <c r="AA150" s="934"/>
      <c r="AB150" s="987"/>
      <c r="AC150" s="934"/>
      <c r="AD150" s="934"/>
      <c r="AE150" s="934"/>
      <c r="AF150" s="934"/>
      <c r="AG150" s="934"/>
      <c r="AH150" s="934"/>
      <c r="AI150" s="934"/>
      <c r="AJ150" s="934"/>
    </row>
    <row r="151" spans="2:36" ht="15" hidden="1" customHeight="1">
      <c r="B151" s="1432"/>
      <c r="C151" s="898" t="s">
        <v>986</v>
      </c>
      <c r="D151" s="732" t="s">
        <v>1277</v>
      </c>
      <c r="E151" s="733"/>
      <c r="F151" s="733"/>
      <c r="G151" s="733"/>
      <c r="H151" s="733"/>
      <c r="I151" s="734" t="s">
        <v>178</v>
      </c>
      <c r="J151" s="755">
        <v>0</v>
      </c>
      <c r="K151" s="977" t="str">
        <f>IFERROR(_xlfn.CEILING.MATH(J151,INDEX('СВОДНАЯ СПЕЦИФИКАЦИЯ'!$C$10:$C$408,MATCH(D151,'СВОДНАЯ СПЕЦИФИКАЦИЯ'!$D$10:$D$408,0))),"Введите кол-во")</f>
        <v>Введите кол-во</v>
      </c>
      <c r="L151" s="978">
        <f>INDEX('СВОДНАЯ СПЕЦИФИКАЦИЯ'!$H$10:$H$408,MATCH(D151,Таблица2[Наименование материала],0))</f>
        <v>0</v>
      </c>
      <c r="M151" s="979">
        <f t="shared" si="5"/>
        <v>0</v>
      </c>
      <c r="O151" s="934">
        <f t="shared" si="4"/>
        <v>0</v>
      </c>
      <c r="P151" s="934"/>
      <c r="Q151" s="984" t="s">
        <v>984</v>
      </c>
      <c r="R151" s="985"/>
      <c r="S151" s="985"/>
      <c r="T151" s="986">
        <v>100</v>
      </c>
      <c r="U151" s="985" t="s">
        <v>150</v>
      </c>
      <c r="V151" s="957"/>
      <c r="W151" s="957"/>
      <c r="X151" s="934"/>
      <c r="Y151" s="934"/>
      <c r="Z151" s="934"/>
      <c r="AA151" s="934"/>
      <c r="AB151" s="987"/>
      <c r="AC151" s="934"/>
      <c r="AD151" s="934"/>
      <c r="AE151" s="934"/>
      <c r="AF151" s="934"/>
      <c r="AG151" s="934"/>
      <c r="AH151" s="934"/>
      <c r="AI151" s="934"/>
      <c r="AJ151" s="934"/>
    </row>
    <row r="152" spans="2:36" ht="15" hidden="1" customHeight="1">
      <c r="B152" s="1432"/>
      <c r="C152" s="898" t="s">
        <v>989</v>
      </c>
      <c r="D152" s="732" t="s">
        <v>1278</v>
      </c>
      <c r="E152" s="733"/>
      <c r="F152" s="733"/>
      <c r="G152" s="733"/>
      <c r="H152" s="733"/>
      <c r="I152" s="734" t="s">
        <v>178</v>
      </c>
      <c r="J152" s="755">
        <v>0</v>
      </c>
      <c r="K152" s="977" t="str">
        <f>IFERROR(_xlfn.CEILING.MATH(J152,INDEX('СВОДНАЯ СПЕЦИФИКАЦИЯ'!$C$10:$C$408,MATCH(D152,'СВОДНАЯ СПЕЦИФИКАЦИЯ'!$D$10:$D$408,0))),"Введите кол-во")</f>
        <v>Введите кол-во</v>
      </c>
      <c r="L152" s="978">
        <f>INDEX('СВОДНАЯ СПЕЦИФИКАЦИЯ'!$H$10:$H$408,MATCH(D152,Таблица2[Наименование материала],0))</f>
        <v>0</v>
      </c>
      <c r="M152" s="979">
        <f t="shared" si="5"/>
        <v>0</v>
      </c>
      <c r="O152" s="934">
        <f t="shared" si="4"/>
        <v>0</v>
      </c>
      <c r="P152" s="934"/>
      <c r="Q152" s="984" t="s">
        <v>987</v>
      </c>
      <c r="R152" s="985"/>
      <c r="S152" s="985"/>
      <c r="T152" s="986">
        <v>50</v>
      </c>
      <c r="U152" s="985" t="s">
        <v>150</v>
      </c>
      <c r="V152" s="957"/>
      <c r="W152" s="957"/>
      <c r="X152" s="934"/>
      <c r="Y152" s="934"/>
      <c r="Z152" s="934"/>
      <c r="AA152" s="934"/>
      <c r="AB152" s="987"/>
      <c r="AC152" s="934"/>
      <c r="AD152" s="934"/>
      <c r="AE152" s="934"/>
      <c r="AF152" s="934"/>
      <c r="AG152" s="934"/>
      <c r="AH152" s="934"/>
      <c r="AI152" s="934"/>
      <c r="AJ152" s="934"/>
    </row>
    <row r="153" spans="2:36" ht="15" hidden="1" customHeight="1">
      <c r="B153" s="1432"/>
      <c r="C153" s="898" t="s">
        <v>990</v>
      </c>
      <c r="D153" s="732" t="s">
        <v>1279</v>
      </c>
      <c r="E153" s="733"/>
      <c r="F153" s="733"/>
      <c r="G153" s="733"/>
      <c r="H153" s="733"/>
      <c r="I153" s="734" t="s">
        <v>178</v>
      </c>
      <c r="J153" s="755">
        <v>0</v>
      </c>
      <c r="K153" s="977" t="str">
        <f>IFERROR(_xlfn.CEILING.MATH(J153,INDEX('СВОДНАЯ СПЕЦИФИКАЦИЯ'!$C$10:$C$408,MATCH(D153,'СВОДНАЯ СПЕЦИФИКАЦИЯ'!$D$10:$D$408,0))),"Введите кол-во")</f>
        <v>Введите кол-во</v>
      </c>
      <c r="L153" s="978">
        <f>INDEX('СВОДНАЯ СПЕЦИФИКАЦИЯ'!$H$10:$H$408,MATCH(D153,Таблица2[Наименование материала],0))</f>
        <v>0</v>
      </c>
      <c r="M153" s="979">
        <f t="shared" si="5"/>
        <v>0</v>
      </c>
      <c r="O153" s="934">
        <f t="shared" si="4"/>
        <v>0</v>
      </c>
      <c r="P153" s="934"/>
      <c r="Q153" s="984" t="s">
        <v>988</v>
      </c>
      <c r="R153" s="985"/>
      <c r="S153" s="985"/>
      <c r="T153" s="986">
        <v>50</v>
      </c>
      <c r="U153" s="985" t="s">
        <v>150</v>
      </c>
      <c r="V153" s="957"/>
      <c r="W153" s="957"/>
      <c r="X153" s="934"/>
      <c r="Y153" s="934"/>
      <c r="Z153" s="934"/>
      <c r="AA153" s="934"/>
      <c r="AB153" s="987"/>
      <c r="AC153" s="934"/>
      <c r="AD153" s="934"/>
      <c r="AE153" s="934"/>
      <c r="AF153" s="934"/>
      <c r="AG153" s="934"/>
      <c r="AH153" s="934"/>
      <c r="AI153" s="934"/>
      <c r="AJ153" s="934"/>
    </row>
    <row r="154" spans="2:36" ht="15" hidden="1" customHeight="1">
      <c r="B154" s="1432"/>
      <c r="C154" s="898" t="s">
        <v>790</v>
      </c>
      <c r="D154" s="732" t="s">
        <v>1280</v>
      </c>
      <c r="E154" s="733"/>
      <c r="F154" s="733"/>
      <c r="G154" s="733"/>
      <c r="H154" s="733"/>
      <c r="I154" s="734" t="s">
        <v>112</v>
      </c>
      <c r="J154" s="735">
        <v>0</v>
      </c>
      <c r="K154" s="977" t="str">
        <f>IFERROR(_xlfn.CEILING.MATH(J154,INDEX('СВОДНАЯ СПЕЦИФИКАЦИЯ'!$C$10:$C$408,MATCH(D154,'СВОДНАЯ СПЕЦИФИКАЦИЯ'!$D$10:$D$408,0))),"Введите кол-во")</f>
        <v>Введите кол-во</v>
      </c>
      <c r="L154" s="978">
        <f>INDEX('СВОДНАЯ СПЕЦИФИКАЦИЯ'!$H$10:$H$408,MATCH(D154,Таблица2[Наименование материала],0))</f>
        <v>0</v>
      </c>
      <c r="M154" s="979">
        <f t="shared" si="5"/>
        <v>0</v>
      </c>
      <c r="O154" s="934">
        <f t="shared" si="4"/>
        <v>0</v>
      </c>
      <c r="P154" s="934"/>
      <c r="Q154" s="984" t="s">
        <v>792</v>
      </c>
      <c r="R154" s="985"/>
      <c r="S154" s="985"/>
      <c r="T154" s="986">
        <v>60</v>
      </c>
      <c r="U154" s="985" t="s">
        <v>150</v>
      </c>
      <c r="V154" s="957"/>
      <c r="W154" s="957"/>
      <c r="X154" s="934"/>
      <c r="Y154" s="934"/>
      <c r="Z154" s="934"/>
      <c r="AA154" s="934"/>
      <c r="AB154" s="987"/>
      <c r="AC154" s="934"/>
      <c r="AD154" s="934"/>
      <c r="AE154" s="934"/>
      <c r="AF154" s="934"/>
      <c r="AG154" s="934"/>
      <c r="AH154" s="934"/>
      <c r="AI154" s="934"/>
      <c r="AJ154" s="934"/>
    </row>
    <row r="155" spans="2:36" ht="15" hidden="1" customHeight="1">
      <c r="B155" s="1432"/>
      <c r="C155" s="898" t="s">
        <v>791</v>
      </c>
      <c r="D155" s="732" t="s">
        <v>1281</v>
      </c>
      <c r="E155" s="733"/>
      <c r="F155" s="733"/>
      <c r="G155" s="733"/>
      <c r="H155" s="733"/>
      <c r="I155" s="734" t="s">
        <v>112</v>
      </c>
      <c r="J155" s="735">
        <v>0</v>
      </c>
      <c r="K155" s="977" t="str">
        <f>IFERROR(_xlfn.CEILING.MATH(J155,INDEX('СВОДНАЯ СПЕЦИФИКАЦИЯ'!$C$10:$C$408,MATCH(D155,'СВОДНАЯ СПЕЦИФИКАЦИЯ'!$D$10:$D$408,0))),"Введите кол-во")</f>
        <v>Введите кол-во</v>
      </c>
      <c r="L155" s="978">
        <f>INDEX('СВОДНАЯ СПЕЦИФИКАЦИЯ'!$H$10:$H$408,MATCH(D155,Таблица2[Наименование материала],0))</f>
        <v>0</v>
      </c>
      <c r="M155" s="979">
        <f t="shared" si="5"/>
        <v>0</v>
      </c>
      <c r="O155" s="934">
        <f t="shared" si="4"/>
        <v>0</v>
      </c>
      <c r="P155" s="934"/>
      <c r="Q155" s="984" t="s">
        <v>792</v>
      </c>
      <c r="R155" s="985"/>
      <c r="S155" s="985"/>
      <c r="T155" s="986">
        <v>110</v>
      </c>
      <c r="U155" s="985" t="s">
        <v>150</v>
      </c>
      <c r="V155" s="992"/>
      <c r="W155" s="992"/>
      <c r="X155" s="934"/>
      <c r="Y155" s="934"/>
      <c r="Z155" s="934"/>
      <c r="AA155" s="934"/>
      <c r="AB155" s="987"/>
      <c r="AC155" s="934"/>
      <c r="AD155" s="934"/>
      <c r="AE155" s="934"/>
      <c r="AF155" s="934"/>
      <c r="AG155" s="934"/>
      <c r="AH155" s="934"/>
      <c r="AI155" s="934"/>
      <c r="AJ155" s="934"/>
    </row>
    <row r="156" spans="2:36" ht="15" hidden="1" customHeight="1">
      <c r="B156" s="1432"/>
      <c r="C156" s="898">
        <v>644711</v>
      </c>
      <c r="D156" s="732" t="s">
        <v>1282</v>
      </c>
      <c r="E156" s="733"/>
      <c r="F156" s="733"/>
      <c r="G156" s="733"/>
      <c r="H156" s="733"/>
      <c r="I156" s="734" t="s">
        <v>112</v>
      </c>
      <c r="J156" s="735">
        <v>0</v>
      </c>
      <c r="K156" s="977">
        <f>IFERROR(_xlfn.CEILING.MATH(J156,INDEX('СВОДНАЯ СПЕЦИФИКАЦИЯ'!$C$10:$C$408,MATCH(D156,'СВОДНАЯ СПЕЦИФИКАЦИЯ'!$D$10:$D$408,0))),"Введите кол-во")</f>
        <v>0</v>
      </c>
      <c r="L156" s="978">
        <f>INDEX('СВОДНАЯ СПЕЦИФИКАЦИЯ'!$H$10:$H$408,MATCH(D156,Таблица2[Наименование материала],0))</f>
        <v>0</v>
      </c>
      <c r="M156" s="979">
        <f t="shared" si="5"/>
        <v>0</v>
      </c>
      <c r="O156" s="934">
        <f t="shared" si="4"/>
        <v>0</v>
      </c>
      <c r="P156" s="934"/>
      <c r="Q156" s="984" t="s">
        <v>1157</v>
      </c>
      <c r="R156" s="985"/>
      <c r="S156" s="985"/>
      <c r="T156" s="986">
        <v>30</v>
      </c>
      <c r="U156" s="985" t="s">
        <v>150</v>
      </c>
      <c r="V156" s="992"/>
      <c r="W156" s="992"/>
      <c r="X156" s="934"/>
      <c r="Y156" s="934"/>
      <c r="Z156" s="934"/>
      <c r="AA156" s="934"/>
      <c r="AB156" s="987"/>
      <c r="AC156" s="934"/>
      <c r="AD156" s="934"/>
      <c r="AE156" s="934"/>
      <c r="AF156" s="934"/>
      <c r="AG156" s="934"/>
      <c r="AH156" s="934"/>
      <c r="AI156" s="934"/>
      <c r="AJ156" s="934"/>
    </row>
    <row r="157" spans="2:36" ht="15" hidden="1" customHeight="1">
      <c r="B157" s="1432"/>
      <c r="C157" s="898">
        <v>644712</v>
      </c>
      <c r="D157" s="732" t="s">
        <v>1283</v>
      </c>
      <c r="E157" s="733"/>
      <c r="F157" s="733"/>
      <c r="G157" s="733"/>
      <c r="H157" s="733"/>
      <c r="I157" s="734" t="s">
        <v>112</v>
      </c>
      <c r="J157" s="735">
        <v>0</v>
      </c>
      <c r="K157" s="977">
        <f>IFERROR(_xlfn.CEILING.MATH(J157,INDEX('СВОДНАЯ СПЕЦИФИКАЦИЯ'!$C$10:$C$408,MATCH(D157,'СВОДНАЯ СПЕЦИФИКАЦИЯ'!$D$10:$D$408,0))),"Введите кол-во")</f>
        <v>0</v>
      </c>
      <c r="L157" s="978">
        <f>INDEX('СВОДНАЯ СПЕЦИФИКАЦИЯ'!$H$10:$H$408,MATCH(D157,Таблица2[Наименование материала],0))</f>
        <v>0</v>
      </c>
      <c r="M157" s="979">
        <f t="shared" si="5"/>
        <v>0</v>
      </c>
      <c r="O157" s="934">
        <f t="shared" ref="O157:O201" si="6">IF(J157=0,0,1)</f>
        <v>0</v>
      </c>
      <c r="P157" s="934"/>
      <c r="Q157" s="984" t="s">
        <v>1157</v>
      </c>
      <c r="R157" s="985"/>
      <c r="S157" s="985"/>
      <c r="T157" s="986">
        <v>40</v>
      </c>
      <c r="U157" s="985" t="s">
        <v>150</v>
      </c>
      <c r="V157" s="992"/>
      <c r="W157" s="992"/>
      <c r="X157" s="934"/>
      <c r="Y157" s="934"/>
      <c r="Z157" s="934"/>
      <c r="AA157" s="934"/>
      <c r="AB157" s="987"/>
      <c r="AC157" s="934"/>
      <c r="AD157" s="934"/>
      <c r="AE157" s="934"/>
      <c r="AF157" s="934"/>
      <c r="AG157" s="934"/>
      <c r="AH157" s="934"/>
      <c r="AI157" s="934"/>
      <c r="AJ157" s="934"/>
    </row>
    <row r="158" spans="2:36" ht="15" hidden="1" customHeight="1">
      <c r="B158" s="1432"/>
      <c r="C158" s="898">
        <v>696460</v>
      </c>
      <c r="D158" s="732" t="s">
        <v>1284</v>
      </c>
      <c r="E158" s="733"/>
      <c r="F158" s="733"/>
      <c r="G158" s="733"/>
      <c r="H158" s="733"/>
      <c r="I158" s="734" t="s">
        <v>112</v>
      </c>
      <c r="J158" s="735">
        <v>0</v>
      </c>
      <c r="K158" s="977">
        <f>IFERROR(_xlfn.CEILING.MATH(J158,INDEX('СВОДНАЯ СПЕЦИФИКАЦИЯ'!$C$10:$C$408,MATCH(D158,'СВОДНАЯ СПЕЦИФИКАЦИЯ'!$D$10:$D$408,0))),"Введите кол-во")</f>
        <v>0</v>
      </c>
      <c r="L158" s="978">
        <f>INDEX('СВОДНАЯ СПЕЦИФИКАЦИЯ'!$H$10:$H$408,MATCH(D158,Таблица2[Наименование материала],0))</f>
        <v>0</v>
      </c>
      <c r="M158" s="979">
        <f t="shared" si="5"/>
        <v>0</v>
      </c>
      <c r="O158" s="934">
        <f t="shared" si="6"/>
        <v>0</v>
      </c>
      <c r="P158" s="934"/>
      <c r="Q158" s="984" t="s">
        <v>1157</v>
      </c>
      <c r="R158" s="985"/>
      <c r="S158" s="985"/>
      <c r="T158" s="986">
        <v>45</v>
      </c>
      <c r="U158" s="985" t="s">
        <v>150</v>
      </c>
      <c r="V158" s="992"/>
      <c r="W158" s="992"/>
      <c r="X158" s="934"/>
      <c r="Y158" s="934"/>
      <c r="Z158" s="934"/>
      <c r="AA158" s="934"/>
      <c r="AB158" s="987"/>
      <c r="AC158" s="934"/>
      <c r="AD158" s="934"/>
      <c r="AE158" s="934"/>
      <c r="AF158" s="934"/>
      <c r="AG158" s="934"/>
      <c r="AH158" s="934"/>
      <c r="AI158" s="934"/>
      <c r="AJ158" s="934"/>
    </row>
    <row r="159" spans="2:36" ht="15" hidden="1" customHeight="1">
      <c r="B159" s="1432"/>
      <c r="C159" s="898">
        <v>644713</v>
      </c>
      <c r="D159" s="732" t="s">
        <v>1285</v>
      </c>
      <c r="E159" s="733"/>
      <c r="F159" s="733"/>
      <c r="G159" s="733"/>
      <c r="H159" s="733"/>
      <c r="I159" s="734" t="s">
        <v>112</v>
      </c>
      <c r="J159" s="735">
        <v>0</v>
      </c>
      <c r="K159" s="977">
        <f>IFERROR(_xlfn.CEILING.MATH(J159,INDEX('СВОДНАЯ СПЕЦИФИКАЦИЯ'!$C$10:$C$408,MATCH(D159,'СВОДНАЯ СПЕЦИФИКАЦИЯ'!$D$10:$D$408,0))),"Введите кол-во")</f>
        <v>0</v>
      </c>
      <c r="L159" s="978">
        <f>INDEX('СВОДНАЯ СПЕЦИФИКАЦИЯ'!$H$10:$H$408,MATCH(D159,Таблица2[Наименование материала],0))</f>
        <v>0</v>
      </c>
      <c r="M159" s="979">
        <f t="shared" si="5"/>
        <v>0</v>
      </c>
      <c r="O159" s="934">
        <f t="shared" si="6"/>
        <v>0</v>
      </c>
      <c r="P159" s="934"/>
      <c r="Q159" s="984" t="s">
        <v>1157</v>
      </c>
      <c r="R159" s="985"/>
      <c r="S159" s="985"/>
      <c r="T159" s="986">
        <v>50</v>
      </c>
      <c r="U159" s="985" t="s">
        <v>150</v>
      </c>
      <c r="V159" s="992"/>
      <c r="W159" s="992"/>
      <c r="X159" s="934"/>
      <c r="Y159" s="934"/>
      <c r="Z159" s="934"/>
      <c r="AA159" s="934"/>
      <c r="AB159" s="987"/>
      <c r="AC159" s="934"/>
      <c r="AD159" s="934"/>
      <c r="AE159" s="934"/>
      <c r="AF159" s="934"/>
      <c r="AG159" s="934"/>
      <c r="AH159" s="934"/>
      <c r="AI159" s="934"/>
      <c r="AJ159" s="934"/>
    </row>
    <row r="160" spans="2:36" ht="15" hidden="1" customHeight="1">
      <c r="B160" s="1432"/>
      <c r="C160" s="898">
        <v>693711</v>
      </c>
      <c r="D160" s="732" t="s">
        <v>1286</v>
      </c>
      <c r="E160" s="733"/>
      <c r="F160" s="733"/>
      <c r="G160" s="733"/>
      <c r="H160" s="733"/>
      <c r="I160" s="734" t="s">
        <v>112</v>
      </c>
      <c r="J160" s="735">
        <v>0</v>
      </c>
      <c r="K160" s="977">
        <f>IFERROR(_xlfn.CEILING.MATH(J160,INDEX('СВОДНАЯ СПЕЦИФИКАЦИЯ'!$C$10:$C$408,MATCH(D160,'СВОДНАЯ СПЕЦИФИКАЦИЯ'!$D$10:$D$408,0))),"Введите кол-во")</f>
        <v>0</v>
      </c>
      <c r="L160" s="978">
        <f>INDEX('СВОДНАЯ СПЕЦИФИКАЦИЯ'!$H$10:$H$408,MATCH(D160,Таблица2[Наименование материала],0))</f>
        <v>0</v>
      </c>
      <c r="M160" s="979">
        <f t="shared" si="5"/>
        <v>0</v>
      </c>
      <c r="O160" s="934">
        <f t="shared" si="6"/>
        <v>0</v>
      </c>
      <c r="P160" s="934"/>
      <c r="Q160" s="984" t="s">
        <v>1157</v>
      </c>
      <c r="R160" s="985"/>
      <c r="S160" s="985"/>
      <c r="T160" s="986">
        <v>55</v>
      </c>
      <c r="U160" s="985" t="s">
        <v>150</v>
      </c>
      <c r="V160" s="992"/>
      <c r="W160" s="992"/>
      <c r="X160" s="934"/>
      <c r="Y160" s="934"/>
      <c r="Z160" s="934"/>
      <c r="AA160" s="934"/>
      <c r="AB160" s="987"/>
      <c r="AC160" s="934"/>
      <c r="AD160" s="934"/>
      <c r="AE160" s="934"/>
      <c r="AF160" s="934"/>
      <c r="AG160" s="934"/>
      <c r="AH160" s="934"/>
      <c r="AI160" s="934"/>
      <c r="AJ160" s="934"/>
    </row>
    <row r="161" spans="2:36" ht="15" hidden="1" customHeight="1">
      <c r="B161" s="1432"/>
      <c r="C161" s="898">
        <v>644714</v>
      </c>
      <c r="D161" s="732" t="s">
        <v>1287</v>
      </c>
      <c r="E161" s="733"/>
      <c r="F161" s="733"/>
      <c r="G161" s="733"/>
      <c r="H161" s="733"/>
      <c r="I161" s="734" t="s">
        <v>112</v>
      </c>
      <c r="J161" s="735">
        <v>0</v>
      </c>
      <c r="K161" s="977">
        <f>IFERROR(_xlfn.CEILING.MATH(J161,INDEX('СВОДНАЯ СПЕЦИФИКАЦИЯ'!$C$10:$C$408,MATCH(D161,'СВОДНАЯ СПЕЦИФИКАЦИЯ'!$D$10:$D$408,0))),"Введите кол-во")</f>
        <v>0</v>
      </c>
      <c r="L161" s="978">
        <f>INDEX('СВОДНАЯ СПЕЦИФИКАЦИЯ'!$H$10:$H$408,MATCH(D161,Таблица2[Наименование материала],0))</f>
        <v>0</v>
      </c>
      <c r="M161" s="979">
        <f t="shared" si="5"/>
        <v>0</v>
      </c>
      <c r="O161" s="934">
        <f t="shared" si="6"/>
        <v>0</v>
      </c>
      <c r="Q161" s="984" t="s">
        <v>1157</v>
      </c>
      <c r="R161" s="985"/>
      <c r="S161" s="985"/>
      <c r="T161" s="986">
        <v>60</v>
      </c>
      <c r="U161" s="985" t="s">
        <v>150</v>
      </c>
      <c r="V161" s="992"/>
      <c r="W161" s="992"/>
      <c r="X161" s="934"/>
      <c r="Y161" s="934"/>
      <c r="Z161" s="934"/>
      <c r="AA161" s="934"/>
      <c r="AB161" s="987"/>
      <c r="AC161" s="934"/>
      <c r="AD161" s="934"/>
      <c r="AE161" s="934"/>
      <c r="AF161" s="934"/>
      <c r="AG161" s="934"/>
      <c r="AH161" s="934"/>
      <c r="AI161" s="934"/>
      <c r="AJ161" s="934"/>
    </row>
    <row r="162" spans="2:36" ht="15" hidden="1" customHeight="1">
      <c r="B162" s="1432"/>
      <c r="C162" s="898">
        <v>696170</v>
      </c>
      <c r="D162" s="732" t="s">
        <v>1288</v>
      </c>
      <c r="E162" s="733"/>
      <c r="F162" s="733"/>
      <c r="G162" s="733"/>
      <c r="H162" s="733"/>
      <c r="I162" s="734" t="s">
        <v>112</v>
      </c>
      <c r="J162" s="735">
        <v>0</v>
      </c>
      <c r="K162" s="977">
        <f>IFERROR(_xlfn.CEILING.MATH(J162,INDEX('СВОДНАЯ СПЕЦИФИКАЦИЯ'!$C$10:$C$408,MATCH(D162,'СВОДНАЯ СПЕЦИФИКАЦИЯ'!$D$10:$D$408,0))),"Введите кол-во")</f>
        <v>0</v>
      </c>
      <c r="L162" s="978">
        <f>INDEX('СВОДНАЯ СПЕЦИФИКАЦИЯ'!$H$10:$H$408,MATCH(D162,Таблица2[Наименование материала],0))</f>
        <v>0</v>
      </c>
      <c r="M162" s="979">
        <f t="shared" si="5"/>
        <v>0</v>
      </c>
      <c r="O162" s="934">
        <f t="shared" si="6"/>
        <v>0</v>
      </c>
      <c r="Q162" s="984" t="s">
        <v>1157</v>
      </c>
      <c r="R162" s="985"/>
      <c r="S162" s="985"/>
      <c r="T162" s="986">
        <v>65</v>
      </c>
      <c r="U162" s="985" t="s">
        <v>150</v>
      </c>
      <c r="V162" s="992"/>
      <c r="W162" s="992"/>
      <c r="X162" s="934"/>
      <c r="Y162" s="934"/>
      <c r="Z162" s="934"/>
      <c r="AA162" s="934"/>
      <c r="AB162" s="987"/>
      <c r="AC162" s="934"/>
      <c r="AD162" s="934"/>
      <c r="AE162" s="934"/>
      <c r="AF162" s="934"/>
      <c r="AG162" s="934"/>
      <c r="AH162" s="934"/>
      <c r="AI162" s="934"/>
      <c r="AJ162" s="934"/>
    </row>
    <row r="163" spans="2:36" ht="15" hidden="1" customHeight="1">
      <c r="B163" s="1432"/>
      <c r="C163" s="898">
        <v>644715</v>
      </c>
      <c r="D163" s="732" t="s">
        <v>1289</v>
      </c>
      <c r="E163" s="733"/>
      <c r="F163" s="733"/>
      <c r="G163" s="733"/>
      <c r="H163" s="733"/>
      <c r="I163" s="734" t="s">
        <v>112</v>
      </c>
      <c r="J163" s="735">
        <v>0</v>
      </c>
      <c r="K163" s="977">
        <f>IFERROR(_xlfn.CEILING.MATH(J163,INDEX('СВОДНАЯ СПЕЦИФИКАЦИЯ'!$C$10:$C$408,MATCH(D163,'СВОДНАЯ СПЕЦИФИКАЦИЯ'!$D$10:$D$408,0))),"Введите кол-во")</f>
        <v>0</v>
      </c>
      <c r="L163" s="978">
        <f>INDEX('СВОДНАЯ СПЕЦИФИКАЦИЯ'!$H$10:$H$408,MATCH(D163,Таблица2[Наименование материала],0))</f>
        <v>0</v>
      </c>
      <c r="M163" s="979">
        <f t="shared" si="5"/>
        <v>0</v>
      </c>
      <c r="O163" s="934">
        <f t="shared" si="6"/>
        <v>0</v>
      </c>
      <c r="Q163" s="984" t="s">
        <v>1157</v>
      </c>
      <c r="R163" s="985"/>
      <c r="S163" s="985"/>
      <c r="T163" s="986">
        <v>70</v>
      </c>
      <c r="U163" s="985" t="s">
        <v>150</v>
      </c>
      <c r="V163" s="992"/>
      <c r="W163" s="992"/>
      <c r="X163" s="934"/>
      <c r="Y163" s="934"/>
      <c r="Z163" s="934"/>
      <c r="AA163" s="934"/>
      <c r="AB163" s="987"/>
      <c r="AC163" s="934"/>
      <c r="AD163" s="934"/>
      <c r="AE163" s="934"/>
      <c r="AF163" s="934"/>
      <c r="AG163" s="934"/>
      <c r="AH163" s="934"/>
      <c r="AI163" s="934"/>
      <c r="AJ163" s="934"/>
    </row>
    <row r="164" spans="2:36" ht="15" hidden="1" customHeight="1">
      <c r="B164" s="1432"/>
      <c r="C164" s="898">
        <v>696171</v>
      </c>
      <c r="D164" s="732" t="s">
        <v>1290</v>
      </c>
      <c r="E164" s="733"/>
      <c r="F164" s="733"/>
      <c r="G164" s="733"/>
      <c r="H164" s="733"/>
      <c r="I164" s="734" t="s">
        <v>112</v>
      </c>
      <c r="J164" s="735">
        <v>0</v>
      </c>
      <c r="K164" s="977">
        <f>IFERROR(_xlfn.CEILING.MATH(J164,INDEX('СВОДНАЯ СПЕЦИФИКАЦИЯ'!$C$10:$C$408,MATCH(D164,'СВОДНАЯ СПЕЦИФИКАЦИЯ'!$D$10:$D$408,0))),"Введите кол-во")</f>
        <v>0</v>
      </c>
      <c r="L164" s="978">
        <f>INDEX('СВОДНАЯ СПЕЦИФИКАЦИЯ'!$H$10:$H$408,MATCH(D164,Таблица2[Наименование материала],0))</f>
        <v>0</v>
      </c>
      <c r="M164" s="979">
        <f t="shared" si="5"/>
        <v>0</v>
      </c>
      <c r="O164" s="934">
        <f t="shared" si="6"/>
        <v>0</v>
      </c>
      <c r="Q164" s="984" t="s">
        <v>1157</v>
      </c>
      <c r="R164" s="985"/>
      <c r="S164" s="985"/>
      <c r="T164" s="986">
        <v>75</v>
      </c>
      <c r="U164" s="985" t="s">
        <v>150</v>
      </c>
      <c r="V164" s="992"/>
      <c r="W164" s="992"/>
      <c r="X164" s="934"/>
      <c r="Y164" s="934"/>
      <c r="Z164" s="934"/>
      <c r="AA164" s="934"/>
      <c r="AB164" s="987"/>
      <c r="AC164" s="934"/>
      <c r="AD164" s="934"/>
      <c r="AE164" s="934"/>
      <c r="AF164" s="934"/>
      <c r="AG164" s="934"/>
      <c r="AH164" s="934"/>
      <c r="AI164" s="934"/>
      <c r="AJ164" s="934"/>
    </row>
    <row r="165" spans="2:36" ht="15" hidden="1" customHeight="1">
      <c r="B165" s="1432"/>
      <c r="C165" s="898">
        <v>644716</v>
      </c>
      <c r="D165" s="732" t="s">
        <v>1291</v>
      </c>
      <c r="E165" s="733"/>
      <c r="F165" s="733"/>
      <c r="G165" s="733"/>
      <c r="H165" s="733"/>
      <c r="I165" s="734" t="s">
        <v>112</v>
      </c>
      <c r="J165" s="735">
        <v>0</v>
      </c>
      <c r="K165" s="977">
        <f>IFERROR(_xlfn.CEILING.MATH(J165,INDEX('СВОДНАЯ СПЕЦИФИКАЦИЯ'!$C$10:$C$408,MATCH(D165,'СВОДНАЯ СПЕЦИФИКАЦИЯ'!$D$10:$D$408,0))),"Введите кол-во")</f>
        <v>0</v>
      </c>
      <c r="L165" s="978">
        <f>INDEX('СВОДНАЯ СПЕЦИФИКАЦИЯ'!$H$10:$H$408,MATCH(D165,Таблица2[Наименование материала],0))</f>
        <v>0</v>
      </c>
      <c r="M165" s="979">
        <f t="shared" si="5"/>
        <v>0</v>
      </c>
      <c r="O165" s="934">
        <f t="shared" si="6"/>
        <v>0</v>
      </c>
      <c r="Q165" s="984" t="s">
        <v>1157</v>
      </c>
      <c r="R165" s="985"/>
      <c r="S165" s="985"/>
      <c r="T165" s="986">
        <v>80</v>
      </c>
      <c r="U165" s="985" t="s">
        <v>150</v>
      </c>
      <c r="V165" s="992"/>
      <c r="W165" s="992"/>
      <c r="X165" s="934"/>
      <c r="Y165" s="934"/>
      <c r="Z165" s="934"/>
      <c r="AA165" s="934"/>
      <c r="AB165" s="987"/>
      <c r="AC165" s="934"/>
      <c r="AD165" s="934"/>
      <c r="AE165" s="934"/>
      <c r="AF165" s="934"/>
      <c r="AG165" s="934"/>
      <c r="AH165" s="934"/>
      <c r="AI165" s="934"/>
      <c r="AJ165" s="934"/>
    </row>
    <row r="166" spans="2:36" ht="15" hidden="1" customHeight="1">
      <c r="B166" s="1432"/>
      <c r="C166" s="898">
        <v>646992</v>
      </c>
      <c r="D166" s="732" t="s">
        <v>1292</v>
      </c>
      <c r="E166" s="733"/>
      <c r="F166" s="733"/>
      <c r="G166" s="733"/>
      <c r="H166" s="733"/>
      <c r="I166" s="734" t="s">
        <v>112</v>
      </c>
      <c r="J166" s="735">
        <v>0</v>
      </c>
      <c r="K166" s="977">
        <f>IFERROR(_xlfn.CEILING.MATH(J166,INDEX('СВОДНАЯ СПЕЦИФИКАЦИЯ'!$C$10:$C$408,MATCH(D166,'СВОДНАЯ СПЕЦИФИКАЦИЯ'!$D$10:$D$408,0))),"Введите кол-во")</f>
        <v>0</v>
      </c>
      <c r="L166" s="978">
        <f>INDEX('СВОДНАЯ СПЕЦИФИКАЦИЯ'!$H$10:$H$408,MATCH(D166,Таблица2[Наименование материала],0))</f>
        <v>0</v>
      </c>
      <c r="M166" s="979">
        <f t="shared" si="5"/>
        <v>0</v>
      </c>
      <c r="O166" s="934">
        <f t="shared" si="6"/>
        <v>0</v>
      </c>
      <c r="Q166" s="984" t="s">
        <v>1157</v>
      </c>
      <c r="R166" s="985"/>
      <c r="S166" s="985"/>
      <c r="T166" s="986">
        <v>85</v>
      </c>
      <c r="U166" s="985" t="s">
        <v>150</v>
      </c>
      <c r="V166" s="992"/>
      <c r="W166" s="992"/>
      <c r="X166" s="934"/>
      <c r="Y166" s="934"/>
      <c r="Z166" s="934"/>
      <c r="AA166" s="934"/>
      <c r="AB166" s="987"/>
      <c r="AC166" s="934"/>
      <c r="AD166" s="934"/>
      <c r="AE166" s="934"/>
      <c r="AF166" s="934"/>
      <c r="AG166" s="934"/>
      <c r="AH166" s="934"/>
      <c r="AI166" s="934"/>
      <c r="AJ166" s="934"/>
    </row>
    <row r="167" spans="2:36" ht="15" hidden="1" customHeight="1">
      <c r="B167" s="1432"/>
      <c r="C167" s="898">
        <v>644717</v>
      </c>
      <c r="D167" s="732" t="s">
        <v>1293</v>
      </c>
      <c r="E167" s="733"/>
      <c r="F167" s="733"/>
      <c r="G167" s="733"/>
      <c r="H167" s="733"/>
      <c r="I167" s="734" t="s">
        <v>112</v>
      </c>
      <c r="J167" s="735">
        <v>0</v>
      </c>
      <c r="K167" s="977">
        <f>IFERROR(_xlfn.CEILING.MATH(J167,INDEX('СВОДНАЯ СПЕЦИФИКАЦИЯ'!$C$10:$C$408,MATCH(D167,'СВОДНАЯ СПЕЦИФИКАЦИЯ'!$D$10:$D$408,0))),"Введите кол-во")</f>
        <v>0</v>
      </c>
      <c r="L167" s="978">
        <f>INDEX('СВОДНАЯ СПЕЦИФИКАЦИЯ'!$H$10:$H$408,MATCH(D167,Таблица2[Наименование материала],0))</f>
        <v>0</v>
      </c>
      <c r="M167" s="979">
        <f t="shared" si="5"/>
        <v>0</v>
      </c>
      <c r="O167" s="934">
        <f t="shared" si="6"/>
        <v>0</v>
      </c>
      <c r="Q167" s="984" t="s">
        <v>1157</v>
      </c>
      <c r="R167" s="985"/>
      <c r="S167" s="985"/>
      <c r="T167" s="986">
        <v>90</v>
      </c>
      <c r="U167" s="985" t="s">
        <v>150</v>
      </c>
      <c r="V167" s="992"/>
      <c r="W167" s="992"/>
      <c r="X167" s="934"/>
      <c r="Y167" s="934"/>
      <c r="Z167" s="934"/>
      <c r="AA167" s="934"/>
      <c r="AB167" s="987"/>
      <c r="AC167" s="934"/>
      <c r="AD167" s="934"/>
      <c r="AE167" s="934"/>
      <c r="AF167" s="934"/>
      <c r="AG167" s="934"/>
      <c r="AH167" s="934"/>
      <c r="AI167" s="934"/>
      <c r="AJ167" s="934"/>
    </row>
    <row r="168" spans="2:36" ht="15" hidden="1" customHeight="1">
      <c r="B168" s="1432"/>
      <c r="C168" s="898">
        <v>696172</v>
      </c>
      <c r="D168" s="732" t="s">
        <v>1294</v>
      </c>
      <c r="E168" s="733"/>
      <c r="F168" s="733"/>
      <c r="G168" s="733"/>
      <c r="H168" s="733"/>
      <c r="I168" s="734" t="s">
        <v>112</v>
      </c>
      <c r="J168" s="735">
        <v>0</v>
      </c>
      <c r="K168" s="977">
        <f>IFERROR(_xlfn.CEILING.MATH(J168,INDEX('СВОДНАЯ СПЕЦИФИКАЦИЯ'!$C$10:$C$408,MATCH(D168,'СВОДНАЯ СПЕЦИФИКАЦИЯ'!$D$10:$D$408,0))),"Введите кол-во")</f>
        <v>0</v>
      </c>
      <c r="L168" s="978">
        <f>INDEX('СВОДНАЯ СПЕЦИФИКАЦИЯ'!$H$10:$H$408,MATCH(D168,Таблица2[Наименование материала],0))</f>
        <v>0</v>
      </c>
      <c r="M168" s="979">
        <f t="shared" si="5"/>
        <v>0</v>
      </c>
      <c r="O168" s="934">
        <f t="shared" si="6"/>
        <v>0</v>
      </c>
      <c r="Q168" s="984" t="s">
        <v>1157</v>
      </c>
      <c r="R168" s="985"/>
      <c r="S168" s="985"/>
      <c r="T168" s="986">
        <v>95</v>
      </c>
      <c r="U168" s="985" t="s">
        <v>150</v>
      </c>
      <c r="V168" s="992"/>
      <c r="W168" s="992"/>
      <c r="X168" s="934"/>
      <c r="Y168" s="934"/>
      <c r="Z168" s="934"/>
      <c r="AA168" s="934"/>
      <c r="AB168" s="987"/>
      <c r="AC168" s="934"/>
      <c r="AD168" s="934"/>
      <c r="AE168" s="934"/>
      <c r="AF168" s="934"/>
      <c r="AG168" s="934"/>
      <c r="AH168" s="934"/>
      <c r="AI168" s="934"/>
      <c r="AJ168" s="934"/>
    </row>
    <row r="169" spans="2:36" ht="15" hidden="1" customHeight="1">
      <c r="B169" s="1432"/>
      <c r="C169" s="898">
        <v>695158</v>
      </c>
      <c r="D169" s="732" t="s">
        <v>1295</v>
      </c>
      <c r="E169" s="733"/>
      <c r="F169" s="733"/>
      <c r="G169" s="733"/>
      <c r="H169" s="733"/>
      <c r="I169" s="734" t="s">
        <v>112</v>
      </c>
      <c r="J169" s="735">
        <v>0</v>
      </c>
      <c r="K169" s="977">
        <f>IFERROR(_xlfn.CEILING.MATH(J169,INDEX('СВОДНАЯ СПЕЦИФИКАЦИЯ'!$C$10:$C$408,MATCH(D169,'СВОДНАЯ СПЕЦИФИКАЦИЯ'!$D$10:$D$408,0))),"Введите кол-во")</f>
        <v>0</v>
      </c>
      <c r="L169" s="978">
        <f>INDEX('СВОДНАЯ СПЕЦИФИКАЦИЯ'!$H$10:$H$408,MATCH(D169,Таблица2[Наименование материала],0))</f>
        <v>0</v>
      </c>
      <c r="M169" s="979">
        <f t="shared" si="5"/>
        <v>0</v>
      </c>
      <c r="O169" s="934">
        <f t="shared" si="6"/>
        <v>0</v>
      </c>
      <c r="Q169" s="984" t="s">
        <v>1157</v>
      </c>
      <c r="R169" s="985"/>
      <c r="S169" s="985"/>
      <c r="T169" s="986">
        <v>100</v>
      </c>
      <c r="U169" s="985" t="s">
        <v>150</v>
      </c>
      <c r="V169" s="992"/>
      <c r="W169" s="992"/>
      <c r="X169" s="934"/>
      <c r="Y169" s="934"/>
      <c r="Z169" s="934"/>
      <c r="AA169" s="934"/>
      <c r="AB169" s="987"/>
      <c r="AC169" s="934"/>
      <c r="AD169" s="934"/>
      <c r="AE169" s="934"/>
      <c r="AF169" s="934"/>
      <c r="AG169" s="934"/>
      <c r="AH169" s="934"/>
      <c r="AI169" s="934"/>
      <c r="AJ169" s="934"/>
    </row>
    <row r="170" spans="2:36" ht="15" hidden="1" customHeight="1">
      <c r="B170" s="1432"/>
      <c r="C170" s="898">
        <v>644719</v>
      </c>
      <c r="D170" s="732" t="s">
        <v>1296</v>
      </c>
      <c r="E170" s="733"/>
      <c r="F170" s="733"/>
      <c r="G170" s="733"/>
      <c r="H170" s="733"/>
      <c r="I170" s="734" t="s">
        <v>112</v>
      </c>
      <c r="J170" s="735">
        <v>0</v>
      </c>
      <c r="K170" s="977">
        <f>IFERROR(_xlfn.CEILING.MATH(J170,INDEX('СВОДНАЯ СПЕЦИФИКАЦИЯ'!$C$10:$C$408,MATCH(D170,'СВОДНАЯ СПЕЦИФИКАЦИЯ'!$D$10:$D$408,0))),"Введите кол-во")</f>
        <v>0</v>
      </c>
      <c r="L170" s="978">
        <f>INDEX('СВОДНАЯ СПЕЦИФИКАЦИЯ'!$H$10:$H$408,MATCH(D170,Таблица2[Наименование материала],0))</f>
        <v>0</v>
      </c>
      <c r="M170" s="979">
        <f t="shared" si="5"/>
        <v>0</v>
      </c>
      <c r="O170" s="934">
        <f t="shared" si="6"/>
        <v>0</v>
      </c>
      <c r="Q170" s="984" t="s">
        <v>1157</v>
      </c>
      <c r="R170" s="985"/>
      <c r="S170" s="985"/>
      <c r="T170" s="986">
        <v>110</v>
      </c>
      <c r="U170" s="985" t="s">
        <v>150</v>
      </c>
      <c r="V170" s="992"/>
      <c r="W170" s="992"/>
      <c r="X170" s="934"/>
      <c r="Y170" s="934"/>
      <c r="Z170" s="934"/>
      <c r="AA170" s="934"/>
      <c r="AB170" s="987"/>
      <c r="AC170" s="934"/>
      <c r="AD170" s="934"/>
      <c r="AE170" s="934"/>
      <c r="AF170" s="934"/>
      <c r="AG170" s="934"/>
      <c r="AH170" s="934"/>
      <c r="AI170" s="934"/>
      <c r="AJ170" s="934"/>
    </row>
    <row r="171" spans="2:36" ht="15" hidden="1" customHeight="1">
      <c r="B171" s="1432"/>
      <c r="C171" s="898">
        <v>644720</v>
      </c>
      <c r="D171" s="732" t="s">
        <v>1297</v>
      </c>
      <c r="E171" s="733"/>
      <c r="F171" s="733"/>
      <c r="G171" s="733"/>
      <c r="H171" s="733"/>
      <c r="I171" s="734" t="s">
        <v>112</v>
      </c>
      <c r="J171" s="735">
        <v>0</v>
      </c>
      <c r="K171" s="977">
        <f>IFERROR(_xlfn.CEILING.MATH(J171,INDEX('СВОДНАЯ СПЕЦИФИКАЦИЯ'!$C$10:$C$408,MATCH(D171,'СВОДНАЯ СПЕЦИФИКАЦИЯ'!$D$10:$D$408,0))),"Введите кол-во")</f>
        <v>0</v>
      </c>
      <c r="L171" s="978">
        <f>INDEX('СВОДНАЯ СПЕЦИФИКАЦИЯ'!$H$10:$H$408,MATCH(D171,Таблица2[Наименование материала],0))</f>
        <v>0</v>
      </c>
      <c r="M171" s="979">
        <f t="shared" si="5"/>
        <v>0</v>
      </c>
      <c r="O171" s="934">
        <f t="shared" si="6"/>
        <v>0</v>
      </c>
      <c r="Q171" s="984" t="s">
        <v>1157</v>
      </c>
      <c r="R171" s="985"/>
      <c r="S171" s="985"/>
      <c r="T171" s="986">
        <v>120</v>
      </c>
      <c r="U171" s="985" t="s">
        <v>150</v>
      </c>
      <c r="V171" s="992"/>
      <c r="W171" s="992"/>
      <c r="X171" s="934"/>
      <c r="Y171" s="934"/>
      <c r="Z171" s="934"/>
      <c r="AA171" s="934"/>
      <c r="AB171" s="987"/>
      <c r="AC171" s="934"/>
      <c r="AD171" s="934"/>
      <c r="AE171" s="934"/>
      <c r="AF171" s="934"/>
      <c r="AG171" s="934"/>
      <c r="AH171" s="934"/>
      <c r="AI171" s="934"/>
      <c r="AJ171" s="934"/>
    </row>
    <row r="172" spans="2:36" ht="15" hidden="1" customHeight="1">
      <c r="B172" s="1432"/>
      <c r="C172" s="898">
        <v>644721</v>
      </c>
      <c r="D172" s="732" t="s">
        <v>1298</v>
      </c>
      <c r="E172" s="733"/>
      <c r="F172" s="733"/>
      <c r="G172" s="733"/>
      <c r="H172" s="733"/>
      <c r="I172" s="734" t="s">
        <v>112</v>
      </c>
      <c r="J172" s="735">
        <v>0</v>
      </c>
      <c r="K172" s="977">
        <f>IFERROR(_xlfn.CEILING.MATH(J172,INDEX('СВОДНАЯ СПЕЦИФИКАЦИЯ'!$C$10:$C$408,MATCH(D172,'СВОДНАЯ СПЕЦИФИКАЦИЯ'!$D$10:$D$408,0))),"Введите кол-во")</f>
        <v>0</v>
      </c>
      <c r="L172" s="978">
        <f>INDEX('СВОДНАЯ СПЕЦИФИКАЦИЯ'!$H$10:$H$408,MATCH(D172,Таблица2[Наименование материала],0))</f>
        <v>0</v>
      </c>
      <c r="M172" s="979">
        <f t="shared" si="5"/>
        <v>0</v>
      </c>
      <c r="O172" s="934">
        <f t="shared" si="6"/>
        <v>0</v>
      </c>
      <c r="Q172" s="984" t="s">
        <v>1157</v>
      </c>
      <c r="R172" s="985"/>
      <c r="S172" s="985"/>
      <c r="T172" s="986">
        <v>130</v>
      </c>
      <c r="U172" s="985" t="s">
        <v>150</v>
      </c>
      <c r="V172" s="992"/>
      <c r="W172" s="992"/>
      <c r="X172" s="934"/>
      <c r="Y172" s="934"/>
      <c r="Z172" s="934"/>
      <c r="AA172" s="934"/>
      <c r="AB172" s="987"/>
      <c r="AC172" s="934"/>
      <c r="AD172" s="934"/>
      <c r="AE172" s="934"/>
      <c r="AF172" s="934"/>
      <c r="AG172" s="934"/>
      <c r="AH172" s="934"/>
      <c r="AI172" s="934"/>
      <c r="AJ172" s="934"/>
    </row>
    <row r="173" spans="2:36" ht="15" hidden="1" customHeight="1">
      <c r="B173" s="1432"/>
      <c r="C173" s="898">
        <v>644722</v>
      </c>
      <c r="D173" s="732" t="s">
        <v>1299</v>
      </c>
      <c r="E173" s="733"/>
      <c r="F173" s="733"/>
      <c r="G173" s="733"/>
      <c r="H173" s="733"/>
      <c r="I173" s="734" t="s">
        <v>112</v>
      </c>
      <c r="J173" s="735">
        <v>0</v>
      </c>
      <c r="K173" s="977">
        <f>IFERROR(_xlfn.CEILING.MATH(J173,INDEX('СВОДНАЯ СПЕЦИФИКАЦИЯ'!$C$10:$C$408,MATCH(D173,'СВОДНАЯ СПЕЦИФИКАЦИЯ'!$D$10:$D$408,0))),"Введите кол-во")</f>
        <v>0</v>
      </c>
      <c r="L173" s="978">
        <f>INDEX('СВОДНАЯ СПЕЦИФИКАЦИЯ'!$H$10:$H$408,MATCH(D173,Таблица2[Наименование материала],0))</f>
        <v>0</v>
      </c>
      <c r="M173" s="979">
        <f t="shared" si="5"/>
        <v>0</v>
      </c>
      <c r="O173" s="934">
        <f t="shared" si="6"/>
        <v>0</v>
      </c>
      <c r="Q173" s="984" t="s">
        <v>1157</v>
      </c>
      <c r="R173" s="985"/>
      <c r="S173" s="985"/>
      <c r="T173" s="986">
        <v>140</v>
      </c>
      <c r="U173" s="985" t="s">
        <v>150</v>
      </c>
      <c r="V173" s="992"/>
      <c r="W173" s="992"/>
      <c r="X173" s="934"/>
      <c r="Y173" s="934"/>
      <c r="Z173" s="934"/>
      <c r="AA173" s="934"/>
      <c r="AB173" s="987"/>
      <c r="AC173" s="934"/>
      <c r="AD173" s="934"/>
      <c r="AE173" s="934"/>
      <c r="AF173" s="934"/>
      <c r="AG173" s="934"/>
      <c r="AH173" s="934"/>
      <c r="AI173" s="934"/>
      <c r="AJ173" s="934"/>
    </row>
    <row r="174" spans="2:36" ht="15" hidden="1" customHeight="1">
      <c r="B174" s="1432"/>
      <c r="C174" s="898">
        <v>644723</v>
      </c>
      <c r="D174" s="732" t="s">
        <v>1300</v>
      </c>
      <c r="E174" s="733"/>
      <c r="F174" s="733"/>
      <c r="G174" s="733"/>
      <c r="H174" s="733"/>
      <c r="I174" s="734" t="s">
        <v>112</v>
      </c>
      <c r="J174" s="735">
        <v>0</v>
      </c>
      <c r="K174" s="977">
        <f>IFERROR(_xlfn.CEILING.MATH(J174,INDEX('СВОДНАЯ СПЕЦИФИКАЦИЯ'!$C$10:$C$408,MATCH(D174,'СВОДНАЯ СПЕЦИФИКАЦИЯ'!$D$10:$D$408,0))),"Введите кол-во")</f>
        <v>0</v>
      </c>
      <c r="L174" s="978">
        <f>INDEX('СВОДНАЯ СПЕЦИФИКАЦИЯ'!$H$10:$H$408,MATCH(D174,Таблица2[Наименование материала],0))</f>
        <v>0</v>
      </c>
      <c r="M174" s="979">
        <f t="shared" si="5"/>
        <v>0</v>
      </c>
      <c r="O174" s="934">
        <f t="shared" si="6"/>
        <v>0</v>
      </c>
      <c r="Q174" s="984" t="s">
        <v>1157</v>
      </c>
      <c r="R174" s="985"/>
      <c r="S174" s="985"/>
      <c r="T174" s="986">
        <v>150</v>
      </c>
      <c r="U174" s="985" t="s">
        <v>150</v>
      </c>
      <c r="V174" s="992"/>
      <c r="W174" s="992"/>
      <c r="X174" s="934"/>
      <c r="Y174" s="934"/>
      <c r="Z174" s="934"/>
      <c r="AA174" s="934"/>
      <c r="AB174" s="987"/>
      <c r="AC174" s="934"/>
      <c r="AD174" s="934"/>
      <c r="AE174" s="934"/>
      <c r="AF174" s="934"/>
      <c r="AG174" s="934"/>
      <c r="AH174" s="934"/>
      <c r="AI174" s="934"/>
      <c r="AJ174" s="934"/>
    </row>
    <row r="175" spans="2:36" ht="15" hidden="1" customHeight="1">
      <c r="B175" s="1432"/>
      <c r="C175" s="898">
        <v>644856</v>
      </c>
      <c r="D175" s="732" t="s">
        <v>1301</v>
      </c>
      <c r="E175" s="733"/>
      <c r="F175" s="733"/>
      <c r="G175" s="733"/>
      <c r="H175" s="733"/>
      <c r="I175" s="734" t="s">
        <v>112</v>
      </c>
      <c r="J175" s="735">
        <v>0</v>
      </c>
      <c r="K175" s="977">
        <f>IFERROR(_xlfn.CEILING.MATH(J175,INDEX('СВОДНАЯ СПЕЦИФИКАЦИЯ'!$C$10:$C$408,MATCH(D175,'СВОДНАЯ СПЕЦИФИКАЦИЯ'!$D$10:$D$408,0))),"Введите кол-во")</f>
        <v>0</v>
      </c>
      <c r="L175" s="978">
        <f>INDEX('СВОДНАЯ СПЕЦИФИКАЦИЯ'!$H$10:$H$408,MATCH(D175,Таблица2[Наименование материала],0))</f>
        <v>0</v>
      </c>
      <c r="M175" s="979">
        <f t="shared" si="5"/>
        <v>0</v>
      </c>
      <c r="O175" s="934">
        <f t="shared" si="6"/>
        <v>0</v>
      </c>
      <c r="Q175" s="984" t="s">
        <v>1158</v>
      </c>
      <c r="R175" s="985"/>
      <c r="S175" s="985"/>
      <c r="T175" s="986">
        <v>30</v>
      </c>
      <c r="U175" s="985" t="s">
        <v>150</v>
      </c>
      <c r="V175" s="992">
        <v>110.222775</v>
      </c>
      <c r="W175" s="992"/>
      <c r="X175" s="934"/>
      <c r="Y175" s="934"/>
      <c r="Z175" s="934"/>
      <c r="AA175" s="934"/>
      <c r="AB175" s="987"/>
      <c r="AC175" s="934"/>
      <c r="AD175" s="934"/>
      <c r="AE175" s="934"/>
      <c r="AF175" s="934"/>
      <c r="AG175" s="934"/>
      <c r="AH175" s="934"/>
      <c r="AI175" s="934"/>
      <c r="AJ175" s="934"/>
    </row>
    <row r="176" spans="2:36" ht="15" hidden="1" customHeight="1">
      <c r="B176" s="1432"/>
      <c r="C176" s="898">
        <v>644866</v>
      </c>
      <c r="D176" s="732" t="s">
        <v>1302</v>
      </c>
      <c r="E176" s="733"/>
      <c r="F176" s="733"/>
      <c r="G176" s="733"/>
      <c r="H176" s="733"/>
      <c r="I176" s="734" t="s">
        <v>112</v>
      </c>
      <c r="J176" s="735">
        <v>0</v>
      </c>
      <c r="K176" s="977">
        <f>IFERROR(_xlfn.CEILING.MATH(J176,INDEX('СВОДНАЯ СПЕЦИФИКАЦИЯ'!$C$10:$C$408,MATCH(D176,'СВОДНАЯ СПЕЦИФИКАЦИЯ'!$D$10:$D$408,0))),"Введите кол-во")</f>
        <v>0</v>
      </c>
      <c r="L176" s="978">
        <f>INDEX('СВОДНАЯ СПЕЦИФИКАЦИЯ'!$H$10:$H$408,MATCH(D176,Таблица2[Наименование материала],0))</f>
        <v>0</v>
      </c>
      <c r="M176" s="979">
        <f t="shared" si="5"/>
        <v>0</v>
      </c>
      <c r="O176" s="934">
        <f t="shared" si="6"/>
        <v>0</v>
      </c>
      <c r="Q176" s="984" t="s">
        <v>1158</v>
      </c>
      <c r="R176" s="985"/>
      <c r="S176" s="985"/>
      <c r="T176" s="986">
        <v>40</v>
      </c>
      <c r="U176" s="985" t="s">
        <v>150</v>
      </c>
      <c r="V176" s="985">
        <v>84.786749999999998</v>
      </c>
      <c r="W176" s="957"/>
      <c r="X176" s="934"/>
      <c r="Y176" s="934"/>
      <c r="Z176" s="934"/>
      <c r="AA176" s="934"/>
      <c r="AB176" s="987"/>
      <c r="AC176" s="934"/>
      <c r="AD176" s="934"/>
      <c r="AE176" s="934"/>
      <c r="AF176" s="934"/>
      <c r="AG176" s="934"/>
      <c r="AH176" s="934"/>
      <c r="AI176" s="934"/>
      <c r="AJ176" s="934"/>
    </row>
    <row r="177" spans="2:36" ht="15" hidden="1" customHeight="1">
      <c r="B177" s="1432"/>
      <c r="C177" s="898" t="s">
        <v>1078</v>
      </c>
      <c r="D177" s="732" t="s">
        <v>1303</v>
      </c>
      <c r="E177" s="733"/>
      <c r="F177" s="733"/>
      <c r="G177" s="733"/>
      <c r="H177" s="733"/>
      <c r="I177" s="734" t="s">
        <v>112</v>
      </c>
      <c r="J177" s="735">
        <v>0</v>
      </c>
      <c r="K177" s="977">
        <f>IFERROR(_xlfn.CEILING.MATH(J177,INDEX('СВОДНАЯ СПЕЦИФИКАЦИЯ'!$C$10:$C$408,MATCH(D177,'СВОДНАЯ СПЕЦИФИКАЦИЯ'!$D$10:$D$408,0))),"Введите кол-во")</f>
        <v>0</v>
      </c>
      <c r="L177" s="978">
        <f>INDEX('СВОДНАЯ СПЕЦИФИКАЦИЯ'!$H$10:$H$408,MATCH(D177,Таблица2[Наименование материала],0))</f>
        <v>0</v>
      </c>
      <c r="M177" s="979">
        <f t="shared" si="5"/>
        <v>0</v>
      </c>
      <c r="O177" s="934">
        <f t="shared" si="6"/>
        <v>0</v>
      </c>
      <c r="Q177" s="984" t="s">
        <v>1158</v>
      </c>
      <c r="R177" s="985"/>
      <c r="S177" s="985"/>
      <c r="T177" s="986">
        <v>45</v>
      </c>
      <c r="U177" s="985" t="s">
        <v>150</v>
      </c>
      <c r="V177" s="985">
        <v>67.829400000000007</v>
      </c>
      <c r="W177" s="957"/>
      <c r="X177" s="934"/>
      <c r="Y177" s="934"/>
      <c r="Z177" s="934"/>
      <c r="AA177" s="934"/>
      <c r="AB177" s="987"/>
      <c r="AC177" s="934"/>
      <c r="AD177" s="934"/>
      <c r="AE177" s="934"/>
      <c r="AF177" s="934"/>
      <c r="AG177" s="934"/>
      <c r="AH177" s="934"/>
      <c r="AI177" s="934"/>
      <c r="AJ177" s="934"/>
    </row>
    <row r="178" spans="2:36" ht="15" hidden="1" customHeight="1">
      <c r="B178" s="1432"/>
      <c r="C178" s="898">
        <v>644869</v>
      </c>
      <c r="D178" s="732" t="s">
        <v>1304</v>
      </c>
      <c r="E178" s="733"/>
      <c r="F178" s="733"/>
      <c r="G178" s="733"/>
      <c r="H178" s="733"/>
      <c r="I178" s="734" t="s">
        <v>112</v>
      </c>
      <c r="J178" s="735">
        <v>0</v>
      </c>
      <c r="K178" s="977">
        <f>IFERROR(_xlfn.CEILING.MATH(J178,INDEX('СВОДНАЯ СПЕЦИФИКАЦИЯ'!$C$10:$C$408,MATCH(D178,'СВОДНАЯ СПЕЦИФИКАЦИЯ'!$D$10:$D$408,0))),"Введите кол-во")</f>
        <v>0</v>
      </c>
      <c r="L178" s="978">
        <f>INDEX('СВОДНАЯ СПЕЦИФИКАЦИЯ'!$H$10:$H$408,MATCH(D178,Таблица2[Наименование материала],0))</f>
        <v>0</v>
      </c>
      <c r="M178" s="979">
        <f t="shared" si="5"/>
        <v>0</v>
      </c>
      <c r="O178" s="934">
        <f t="shared" si="6"/>
        <v>0</v>
      </c>
      <c r="Q178" s="984" t="s">
        <v>1158</v>
      </c>
      <c r="R178" s="985"/>
      <c r="S178" s="985"/>
      <c r="T178" s="986">
        <v>50</v>
      </c>
      <c r="U178" s="985" t="s">
        <v>150</v>
      </c>
      <c r="V178" s="985">
        <v>67.829400000000007</v>
      </c>
      <c r="W178" s="957"/>
      <c r="X178" s="934"/>
      <c r="Y178" s="934"/>
      <c r="Z178" s="934"/>
      <c r="AA178" s="934"/>
      <c r="AB178" s="987"/>
      <c r="AC178" s="934"/>
      <c r="AD178" s="934"/>
      <c r="AE178" s="934"/>
      <c r="AF178" s="934"/>
      <c r="AG178" s="934"/>
      <c r="AH178" s="934"/>
      <c r="AI178" s="934"/>
      <c r="AJ178" s="934"/>
    </row>
    <row r="179" spans="2:36" ht="15" hidden="1" customHeight="1">
      <c r="B179" s="1432"/>
      <c r="C179" s="898" t="s">
        <v>1079</v>
      </c>
      <c r="D179" s="732" t="s">
        <v>1305</v>
      </c>
      <c r="E179" s="733"/>
      <c r="F179" s="733"/>
      <c r="G179" s="733"/>
      <c r="H179" s="733"/>
      <c r="I179" s="734" t="s">
        <v>112</v>
      </c>
      <c r="J179" s="735">
        <v>0</v>
      </c>
      <c r="K179" s="977">
        <f>IFERROR(_xlfn.CEILING.MATH(J179,INDEX('СВОДНАЯ СПЕЦИФИКАЦИЯ'!$C$10:$C$408,MATCH(D179,'СВОДНАЯ СПЕЦИФИКАЦИЯ'!$D$10:$D$408,0))),"Введите кол-во")</f>
        <v>0</v>
      </c>
      <c r="L179" s="978">
        <f>INDEX('СВОДНАЯ СПЕЦИФИКАЦИЯ'!$H$10:$H$408,MATCH(D179,Таблица2[Наименование материала],0))</f>
        <v>0</v>
      </c>
      <c r="M179" s="979">
        <f t="shared" si="5"/>
        <v>0</v>
      </c>
      <c r="O179" s="934">
        <f t="shared" si="6"/>
        <v>0</v>
      </c>
      <c r="Q179" s="984" t="s">
        <v>1158</v>
      </c>
      <c r="R179" s="985"/>
      <c r="S179" s="985"/>
      <c r="T179" s="986">
        <v>55</v>
      </c>
      <c r="U179" s="985" t="s">
        <v>150</v>
      </c>
      <c r="V179" s="985">
        <v>59.350724999999997</v>
      </c>
      <c r="W179" s="957"/>
      <c r="X179" s="934"/>
      <c r="Y179" s="934"/>
      <c r="Z179" s="934"/>
      <c r="AA179" s="934"/>
      <c r="AB179" s="987"/>
      <c r="AC179" s="934"/>
      <c r="AD179" s="934"/>
      <c r="AE179" s="934"/>
      <c r="AF179" s="934"/>
      <c r="AG179" s="934"/>
      <c r="AH179" s="934"/>
      <c r="AI179" s="934"/>
      <c r="AJ179" s="934"/>
    </row>
    <row r="180" spans="2:36" ht="15" hidden="1" customHeight="1">
      <c r="B180" s="1432"/>
      <c r="C180" s="898">
        <v>644872</v>
      </c>
      <c r="D180" s="732" t="s">
        <v>1306</v>
      </c>
      <c r="E180" s="733"/>
      <c r="F180" s="733"/>
      <c r="G180" s="733"/>
      <c r="H180" s="733"/>
      <c r="I180" s="734" t="s">
        <v>112</v>
      </c>
      <c r="J180" s="735">
        <v>0</v>
      </c>
      <c r="K180" s="977">
        <f>IFERROR(_xlfn.CEILING.MATH(J180,INDEX('СВОДНАЯ СПЕЦИФИКАЦИЯ'!$C$10:$C$408,MATCH(D180,'СВОДНАЯ СПЕЦИФИКАЦИЯ'!$D$10:$D$408,0))),"Введите кол-во")</f>
        <v>0</v>
      </c>
      <c r="L180" s="978">
        <f>INDEX('СВОДНАЯ СПЕЦИФИКАЦИЯ'!$H$10:$H$408,MATCH(D180,Таблица2[Наименование материала],0))</f>
        <v>0</v>
      </c>
      <c r="M180" s="979">
        <f t="shared" si="5"/>
        <v>0</v>
      </c>
      <c r="O180" s="934">
        <f t="shared" si="6"/>
        <v>0</v>
      </c>
      <c r="Q180" s="984" t="s">
        <v>1158</v>
      </c>
      <c r="R180" s="985"/>
      <c r="S180" s="985"/>
      <c r="T180" s="986">
        <v>60</v>
      </c>
      <c r="U180" s="985" t="s">
        <v>150</v>
      </c>
      <c r="V180" s="985">
        <v>56.524500000000003</v>
      </c>
      <c r="W180" s="957"/>
      <c r="X180" s="934"/>
      <c r="Y180" s="934"/>
      <c r="Z180" s="934"/>
      <c r="AA180" s="934"/>
      <c r="AB180" s="987"/>
      <c r="AC180" s="934"/>
      <c r="AD180" s="934"/>
      <c r="AE180" s="934"/>
      <c r="AF180" s="934"/>
      <c r="AG180" s="934"/>
      <c r="AH180" s="934"/>
      <c r="AI180" s="934"/>
      <c r="AJ180" s="934"/>
    </row>
    <row r="181" spans="2:36" ht="15" hidden="1" customHeight="1">
      <c r="B181" s="1432"/>
      <c r="C181" s="898" t="s">
        <v>1080</v>
      </c>
      <c r="D181" s="732" t="s">
        <v>1307</v>
      </c>
      <c r="E181" s="733"/>
      <c r="F181" s="733"/>
      <c r="G181" s="733"/>
      <c r="H181" s="733"/>
      <c r="I181" s="734" t="s">
        <v>112</v>
      </c>
      <c r="J181" s="735">
        <v>0</v>
      </c>
      <c r="K181" s="977">
        <f>IFERROR(_xlfn.CEILING.MATH(J181,INDEX('СВОДНАЯ СПЕЦИФИКАЦИЯ'!$C$10:$C$408,MATCH(D181,'СВОДНАЯ СПЕЦИФИКАЦИЯ'!$D$10:$D$408,0))),"Введите кол-во")</f>
        <v>0</v>
      </c>
      <c r="L181" s="978">
        <f>INDEX('СВОДНАЯ СПЕЦИФИКАЦИЯ'!$H$10:$H$408,MATCH(D181,Таблица2[Наименование материала],0))</f>
        <v>0</v>
      </c>
      <c r="M181" s="979">
        <f t="shared" si="5"/>
        <v>0</v>
      </c>
      <c r="O181" s="934">
        <f t="shared" si="6"/>
        <v>0</v>
      </c>
      <c r="Q181" s="984" t="s">
        <v>1158</v>
      </c>
      <c r="R181" s="985"/>
      <c r="S181" s="985"/>
      <c r="T181" s="986">
        <v>65</v>
      </c>
      <c r="U181" s="985" t="s">
        <v>150</v>
      </c>
      <c r="V181" s="985">
        <v>50.872050000000002</v>
      </c>
      <c r="W181" s="957"/>
      <c r="X181" s="934"/>
      <c r="Y181" s="934"/>
      <c r="Z181" s="934"/>
      <c r="AA181" s="934"/>
      <c r="AB181" s="987"/>
      <c r="AC181" s="934"/>
      <c r="AD181" s="934"/>
      <c r="AE181" s="934"/>
      <c r="AF181" s="934"/>
      <c r="AG181" s="934"/>
      <c r="AH181" s="934"/>
      <c r="AI181" s="934"/>
      <c r="AJ181" s="934"/>
    </row>
    <row r="182" spans="2:36" ht="15" hidden="1" customHeight="1">
      <c r="B182" s="1432"/>
      <c r="C182" s="898">
        <v>644875</v>
      </c>
      <c r="D182" s="732" t="s">
        <v>1308</v>
      </c>
      <c r="E182" s="733"/>
      <c r="F182" s="733"/>
      <c r="G182" s="733"/>
      <c r="H182" s="733"/>
      <c r="I182" s="734" t="s">
        <v>112</v>
      </c>
      <c r="J182" s="735">
        <v>0</v>
      </c>
      <c r="K182" s="977">
        <f>IFERROR(_xlfn.CEILING.MATH(J182,INDEX('СВОДНАЯ СПЕЦИФИКАЦИЯ'!$C$10:$C$408,MATCH(D182,'СВОДНАЯ СПЕЦИФИКАЦИЯ'!$D$10:$D$408,0))),"Введите кол-во")</f>
        <v>0</v>
      </c>
      <c r="L182" s="978">
        <f>INDEX('СВОДНАЯ СПЕЦИФИКАЦИЯ'!$H$10:$H$408,MATCH(D182,Таблица2[Наименование материала],0))</f>
        <v>0</v>
      </c>
      <c r="M182" s="979">
        <f t="shared" si="5"/>
        <v>0</v>
      </c>
      <c r="O182" s="934">
        <f t="shared" si="6"/>
        <v>0</v>
      </c>
      <c r="Q182" s="984" t="s">
        <v>1158</v>
      </c>
      <c r="R182" s="985"/>
      <c r="S182" s="985"/>
      <c r="T182" s="986">
        <v>70</v>
      </c>
      <c r="U182" s="985" t="s">
        <v>150</v>
      </c>
      <c r="V182" s="985">
        <v>45.2196</v>
      </c>
      <c r="W182" s="957"/>
      <c r="X182" s="934"/>
      <c r="Y182" s="934"/>
      <c r="Z182" s="934"/>
      <c r="AA182" s="934"/>
      <c r="AB182" s="987"/>
      <c r="AC182" s="934"/>
      <c r="AD182" s="934"/>
      <c r="AE182" s="934"/>
      <c r="AF182" s="934"/>
      <c r="AG182" s="934"/>
      <c r="AH182" s="934"/>
      <c r="AI182" s="934"/>
      <c r="AJ182" s="934"/>
    </row>
    <row r="183" spans="2:36" ht="15" hidden="1" customHeight="1">
      <c r="B183" s="1432"/>
      <c r="C183" s="898" t="s">
        <v>1081</v>
      </c>
      <c r="D183" s="732" t="s">
        <v>1309</v>
      </c>
      <c r="E183" s="733"/>
      <c r="F183" s="733"/>
      <c r="G183" s="733"/>
      <c r="H183" s="733"/>
      <c r="I183" s="734" t="s">
        <v>112</v>
      </c>
      <c r="J183" s="735">
        <v>0</v>
      </c>
      <c r="K183" s="977">
        <f>IFERROR(_xlfn.CEILING.MATH(J183,INDEX('СВОДНАЯ СПЕЦИФИКАЦИЯ'!$C$10:$C$408,MATCH(D183,'СВОДНАЯ СПЕЦИФИКАЦИЯ'!$D$10:$D$408,0))),"Введите кол-во")</f>
        <v>0</v>
      </c>
      <c r="L183" s="978">
        <f>INDEX('СВОДНАЯ СПЕЦИФИКАЦИЯ'!$H$10:$H$408,MATCH(D183,Таблица2[Наименование материала],0))</f>
        <v>0</v>
      </c>
      <c r="M183" s="979">
        <f t="shared" si="5"/>
        <v>0</v>
      </c>
      <c r="O183" s="934">
        <f t="shared" si="6"/>
        <v>0</v>
      </c>
      <c r="Q183" s="984" t="s">
        <v>1158</v>
      </c>
      <c r="R183" s="985"/>
      <c r="S183" s="985"/>
      <c r="T183" s="986">
        <v>75</v>
      </c>
      <c r="U183" s="985" t="s">
        <v>150</v>
      </c>
      <c r="V183" s="985">
        <v>45.2196</v>
      </c>
      <c r="W183" s="957"/>
      <c r="X183" s="934"/>
      <c r="Y183" s="934"/>
      <c r="Z183" s="934"/>
      <c r="AA183" s="934"/>
      <c r="AB183" s="987"/>
      <c r="AC183" s="934"/>
      <c r="AD183" s="934"/>
      <c r="AE183" s="934"/>
      <c r="AF183" s="934"/>
      <c r="AG183" s="934"/>
      <c r="AH183" s="934"/>
      <c r="AI183" s="934"/>
      <c r="AJ183" s="934"/>
    </row>
    <row r="184" spans="2:36" ht="15" hidden="1" customHeight="1">
      <c r="B184" s="1432"/>
      <c r="C184" s="898">
        <v>644878</v>
      </c>
      <c r="D184" s="732" t="s">
        <v>1310</v>
      </c>
      <c r="E184" s="733"/>
      <c r="F184" s="733"/>
      <c r="G184" s="733"/>
      <c r="H184" s="733"/>
      <c r="I184" s="734" t="s">
        <v>112</v>
      </c>
      <c r="J184" s="735">
        <v>0</v>
      </c>
      <c r="K184" s="977">
        <f>IFERROR(_xlfn.CEILING.MATH(J184,INDEX('СВОДНАЯ СПЕЦИФИКАЦИЯ'!$C$10:$C$408,MATCH(D184,'СВОДНАЯ СПЕЦИФИКАЦИЯ'!$D$10:$D$408,0))),"Введите кол-во")</f>
        <v>0</v>
      </c>
      <c r="L184" s="978">
        <f>INDEX('СВОДНАЯ СПЕЦИФИКАЦИЯ'!$H$10:$H$408,MATCH(D184,Таблица2[Наименование материала],0))</f>
        <v>0</v>
      </c>
      <c r="M184" s="979">
        <f t="shared" si="5"/>
        <v>0</v>
      </c>
      <c r="O184" s="934">
        <f t="shared" si="6"/>
        <v>0</v>
      </c>
      <c r="Q184" s="984" t="s">
        <v>1158</v>
      </c>
      <c r="R184" s="985"/>
      <c r="S184" s="985"/>
      <c r="T184" s="986">
        <v>80</v>
      </c>
      <c r="U184" s="985" t="s">
        <v>150</v>
      </c>
      <c r="V184" s="985">
        <v>39.567149999999998</v>
      </c>
      <c r="W184" s="957"/>
      <c r="X184" s="934"/>
      <c r="Y184" s="934"/>
      <c r="Z184" s="934"/>
      <c r="AA184" s="934"/>
      <c r="AB184" s="987"/>
      <c r="AC184" s="934"/>
      <c r="AD184" s="934"/>
      <c r="AE184" s="934"/>
      <c r="AF184" s="934"/>
      <c r="AG184" s="934"/>
      <c r="AH184" s="934"/>
      <c r="AI184" s="934"/>
      <c r="AJ184" s="934"/>
    </row>
    <row r="185" spans="2:36" ht="15" hidden="1" customHeight="1">
      <c r="B185" s="1432"/>
      <c r="C185" s="898" t="s">
        <v>1082</v>
      </c>
      <c r="D185" s="732" t="s">
        <v>1311</v>
      </c>
      <c r="E185" s="733"/>
      <c r="F185" s="733"/>
      <c r="G185" s="733"/>
      <c r="H185" s="733"/>
      <c r="I185" s="734" t="s">
        <v>112</v>
      </c>
      <c r="J185" s="735">
        <v>0</v>
      </c>
      <c r="K185" s="977">
        <f>IFERROR(_xlfn.CEILING.MATH(J185,INDEX('СВОДНАЯ СПЕЦИФИКАЦИЯ'!$C$10:$C$408,MATCH(D185,'СВОДНАЯ СПЕЦИФИКАЦИЯ'!$D$10:$D$408,0))),"Введите кол-во")</f>
        <v>0</v>
      </c>
      <c r="L185" s="978">
        <f>INDEX('СВОДНАЯ СПЕЦИФИКАЦИЯ'!$H$10:$H$408,MATCH(D185,Таблица2[Наименование материала],0))</f>
        <v>0</v>
      </c>
      <c r="M185" s="979">
        <f t="shared" si="5"/>
        <v>0</v>
      </c>
      <c r="O185" s="934">
        <f t="shared" si="6"/>
        <v>0</v>
      </c>
      <c r="Q185" s="984" t="s">
        <v>1158</v>
      </c>
      <c r="R185" s="985"/>
      <c r="S185" s="985"/>
      <c r="T185" s="986">
        <v>85</v>
      </c>
      <c r="U185" s="985" t="s">
        <v>150</v>
      </c>
      <c r="V185" s="985">
        <v>39.567149999999998</v>
      </c>
      <c r="W185" s="957"/>
      <c r="X185" s="934"/>
      <c r="Y185" s="934"/>
      <c r="Z185" s="934"/>
      <c r="AA185" s="934"/>
      <c r="AB185" s="987"/>
      <c r="AC185" s="934"/>
      <c r="AD185" s="934"/>
      <c r="AE185" s="934"/>
      <c r="AF185" s="934"/>
      <c r="AG185" s="934"/>
      <c r="AH185" s="934"/>
      <c r="AI185" s="934"/>
      <c r="AJ185" s="934"/>
    </row>
    <row r="186" spans="2:36" ht="15" hidden="1" customHeight="1">
      <c r="B186" s="1432"/>
      <c r="C186" s="898">
        <v>644882</v>
      </c>
      <c r="D186" s="732" t="s">
        <v>1312</v>
      </c>
      <c r="E186" s="733"/>
      <c r="F186" s="733"/>
      <c r="G186" s="733"/>
      <c r="H186" s="733"/>
      <c r="I186" s="734" t="s">
        <v>112</v>
      </c>
      <c r="J186" s="735">
        <v>0</v>
      </c>
      <c r="K186" s="977">
        <f>IFERROR(_xlfn.CEILING.MATH(J186,INDEX('СВОДНАЯ СПЕЦИФИКАЦИЯ'!$C$10:$C$408,MATCH(D186,'СВОДНАЯ СПЕЦИФИКАЦИЯ'!$D$10:$D$408,0))),"Введите кол-во")</f>
        <v>0</v>
      </c>
      <c r="L186" s="978">
        <f>INDEX('СВОДНАЯ СПЕЦИФИКАЦИЯ'!$H$10:$H$408,MATCH(D186,Таблица2[Наименование материала],0))</f>
        <v>0</v>
      </c>
      <c r="M186" s="979">
        <f t="shared" si="5"/>
        <v>0</v>
      </c>
      <c r="O186" s="934">
        <f t="shared" si="6"/>
        <v>0</v>
      </c>
      <c r="Q186" s="984" t="s">
        <v>1158</v>
      </c>
      <c r="R186" s="985"/>
      <c r="S186" s="985"/>
      <c r="T186" s="986">
        <v>90</v>
      </c>
      <c r="U186" s="985" t="s">
        <v>150</v>
      </c>
      <c r="V186" s="985">
        <v>33.914700000000003</v>
      </c>
      <c r="W186" s="957"/>
      <c r="X186" s="934"/>
      <c r="Y186" s="934"/>
      <c r="Z186" s="934"/>
      <c r="AA186" s="934"/>
      <c r="AB186" s="987"/>
      <c r="AC186" s="934"/>
      <c r="AD186" s="934"/>
      <c r="AE186" s="934"/>
      <c r="AF186" s="934"/>
      <c r="AG186" s="934"/>
      <c r="AH186" s="934"/>
      <c r="AI186" s="934"/>
      <c r="AJ186" s="934"/>
    </row>
    <row r="187" spans="2:36" ht="15" hidden="1" customHeight="1">
      <c r="B187" s="1432"/>
      <c r="C187" s="898" t="s">
        <v>1083</v>
      </c>
      <c r="D187" s="732" t="s">
        <v>1313</v>
      </c>
      <c r="E187" s="733"/>
      <c r="F187" s="733"/>
      <c r="G187" s="733"/>
      <c r="H187" s="733"/>
      <c r="I187" s="734" t="s">
        <v>112</v>
      </c>
      <c r="J187" s="735">
        <v>0</v>
      </c>
      <c r="K187" s="977">
        <f>IFERROR(_xlfn.CEILING.MATH(J187,INDEX('СВОДНАЯ СПЕЦИФИКАЦИЯ'!$C$10:$C$408,MATCH(D187,'СВОДНАЯ СПЕЦИФИКАЦИЯ'!$D$10:$D$408,0))),"Введите кол-во")</f>
        <v>0</v>
      </c>
      <c r="L187" s="978">
        <f>INDEX('СВОДНАЯ СПЕЦИФИКАЦИЯ'!$H$10:$H$408,MATCH(D187,Таблица2[Наименование материала],0))</f>
        <v>0</v>
      </c>
      <c r="M187" s="979">
        <f t="shared" si="5"/>
        <v>0</v>
      </c>
      <c r="O187" s="934">
        <f t="shared" si="6"/>
        <v>0</v>
      </c>
      <c r="Q187" s="984" t="s">
        <v>1158</v>
      </c>
      <c r="R187" s="985"/>
      <c r="S187" s="985"/>
      <c r="T187" s="986">
        <v>95</v>
      </c>
      <c r="U187" s="985" t="s">
        <v>150</v>
      </c>
      <c r="V187" s="985">
        <v>33.914700000000003</v>
      </c>
      <c r="W187" s="957"/>
      <c r="X187" s="934"/>
      <c r="Y187" s="934"/>
      <c r="Z187" s="934"/>
      <c r="AA187" s="934"/>
      <c r="AB187" s="987"/>
      <c r="AC187" s="934"/>
      <c r="AD187" s="934"/>
      <c r="AE187" s="934"/>
      <c r="AF187" s="934"/>
      <c r="AG187" s="934"/>
      <c r="AH187" s="934"/>
      <c r="AI187" s="934"/>
      <c r="AJ187" s="934"/>
    </row>
    <row r="188" spans="2:36" ht="15" hidden="1" customHeight="1">
      <c r="B188" s="1432"/>
      <c r="C188" s="898">
        <v>695164</v>
      </c>
      <c r="D188" s="732" t="s">
        <v>1314</v>
      </c>
      <c r="E188" s="733"/>
      <c r="F188" s="733"/>
      <c r="G188" s="733"/>
      <c r="H188" s="733"/>
      <c r="I188" s="734" t="s">
        <v>112</v>
      </c>
      <c r="J188" s="735">
        <v>0</v>
      </c>
      <c r="K188" s="977">
        <f>IFERROR(_xlfn.CEILING.MATH(J188,INDEX('СВОДНАЯ СПЕЦИФИКАЦИЯ'!$C$10:$C$408,MATCH(D188,'СВОДНАЯ СПЕЦИФИКАЦИЯ'!$D$10:$D$408,0))),"Введите кол-во")</f>
        <v>0</v>
      </c>
      <c r="L188" s="978">
        <f>INDEX('СВОДНАЯ СПЕЦИФИКАЦИЯ'!$H$10:$H$408,MATCH(D188,Таблица2[Наименование материала],0))</f>
        <v>0</v>
      </c>
      <c r="M188" s="979">
        <f t="shared" si="5"/>
        <v>0</v>
      </c>
      <c r="O188" s="934">
        <f t="shared" si="6"/>
        <v>0</v>
      </c>
      <c r="Q188" s="984" t="s">
        <v>1158</v>
      </c>
      <c r="R188" s="985"/>
      <c r="S188" s="985"/>
      <c r="T188" s="986">
        <v>100</v>
      </c>
      <c r="U188" s="985" t="s">
        <v>150</v>
      </c>
      <c r="V188" s="985">
        <v>33.914700000000003</v>
      </c>
      <c r="W188" s="957"/>
      <c r="X188" s="934"/>
      <c r="Y188" s="934"/>
      <c r="Z188" s="934"/>
      <c r="AA188" s="934"/>
      <c r="AB188" s="987"/>
      <c r="AC188" s="934"/>
      <c r="AD188" s="934"/>
      <c r="AE188" s="934"/>
      <c r="AF188" s="934"/>
      <c r="AG188" s="934"/>
      <c r="AH188" s="934"/>
      <c r="AI188" s="934"/>
      <c r="AJ188" s="934"/>
    </row>
    <row r="189" spans="2:36" ht="15" hidden="1" customHeight="1">
      <c r="B189" s="1432"/>
      <c r="C189" s="898">
        <v>55587</v>
      </c>
      <c r="D189" s="732" t="s">
        <v>1315</v>
      </c>
      <c r="E189" s="733"/>
      <c r="F189" s="733"/>
      <c r="G189" s="733"/>
      <c r="H189" s="733"/>
      <c r="I189" s="734" t="s">
        <v>112</v>
      </c>
      <c r="J189" s="735">
        <v>0</v>
      </c>
      <c r="K189" s="977">
        <f>IFERROR(_xlfn.CEILING.MATH(J189,INDEX('СВОДНАЯ СПЕЦИФИКАЦИЯ'!$C$10:$C$408,MATCH(D189,'СВОДНАЯ СПЕЦИФИКАЦИЯ'!$D$10:$D$408,0))),"Введите кол-во")</f>
        <v>0</v>
      </c>
      <c r="L189" s="978">
        <f>INDEX('СВОДНАЯ СПЕЦИФИКАЦИЯ'!$H$10:$H$408,MATCH(D189,Таблица2[Наименование материала],0))</f>
        <v>0</v>
      </c>
      <c r="M189" s="979">
        <f t="shared" si="5"/>
        <v>0</v>
      </c>
      <c r="O189" s="934">
        <f t="shared" si="6"/>
        <v>0</v>
      </c>
      <c r="Q189" s="984" t="s">
        <v>1156</v>
      </c>
      <c r="R189" s="985"/>
      <c r="S189" s="985"/>
      <c r="T189" s="986">
        <v>30</v>
      </c>
      <c r="U189" s="985" t="s">
        <v>150</v>
      </c>
      <c r="V189" s="985">
        <v>36.740924999999997</v>
      </c>
      <c r="W189" s="957"/>
      <c r="X189" s="934"/>
      <c r="Y189" s="934"/>
      <c r="Z189" s="934"/>
      <c r="AA189" s="934"/>
      <c r="AB189" s="987"/>
      <c r="AC189" s="934"/>
      <c r="AD189" s="934"/>
      <c r="AE189" s="934"/>
      <c r="AF189" s="934"/>
      <c r="AG189" s="934"/>
      <c r="AH189" s="934"/>
      <c r="AI189" s="934"/>
      <c r="AJ189" s="934"/>
    </row>
    <row r="190" spans="2:36" ht="15" hidden="1" customHeight="1">
      <c r="B190" s="1432"/>
      <c r="C190" s="898">
        <v>55588</v>
      </c>
      <c r="D190" s="732" t="s">
        <v>1316</v>
      </c>
      <c r="E190" s="733"/>
      <c r="F190" s="733"/>
      <c r="G190" s="733"/>
      <c r="H190" s="733"/>
      <c r="I190" s="734" t="s">
        <v>112</v>
      </c>
      <c r="J190" s="735">
        <v>0</v>
      </c>
      <c r="K190" s="977">
        <f>IFERROR(_xlfn.CEILING.MATH(J190,INDEX('СВОДНАЯ СПЕЦИФИКАЦИЯ'!$C$10:$C$408,MATCH(D190,'СВОДНАЯ СПЕЦИФИКАЦИЯ'!$D$10:$D$408,0))),"Введите кол-во")</f>
        <v>0</v>
      </c>
      <c r="L190" s="978">
        <f>INDEX('СВОДНАЯ СПЕЦИФИКАЦИЯ'!$H$10:$H$408,MATCH(D190,Таблица2[Наименование материала],0))</f>
        <v>0</v>
      </c>
      <c r="M190" s="979">
        <f t="shared" si="5"/>
        <v>0</v>
      </c>
      <c r="O190" s="934">
        <f t="shared" si="6"/>
        <v>0</v>
      </c>
      <c r="Q190" s="984" t="s">
        <v>1156</v>
      </c>
      <c r="R190" s="985"/>
      <c r="S190" s="985"/>
      <c r="T190" s="986">
        <v>40</v>
      </c>
      <c r="U190" s="985" t="s">
        <v>150</v>
      </c>
      <c r="V190" s="985">
        <v>28.262250000000002</v>
      </c>
      <c r="W190" s="957"/>
      <c r="X190" s="934"/>
      <c r="Y190" s="934"/>
      <c r="Z190" s="934"/>
      <c r="AA190" s="934"/>
      <c r="AB190" s="987"/>
      <c r="AC190" s="934"/>
      <c r="AD190" s="934"/>
      <c r="AE190" s="934"/>
      <c r="AF190" s="934"/>
      <c r="AG190" s="934"/>
      <c r="AH190" s="934"/>
      <c r="AI190" s="934"/>
      <c r="AJ190" s="934"/>
    </row>
    <row r="191" spans="2:36" ht="15" hidden="1" customHeight="1">
      <c r="B191" s="1432"/>
      <c r="C191" s="898">
        <v>56424</v>
      </c>
      <c r="D191" s="732" t="s">
        <v>1317</v>
      </c>
      <c r="E191" s="733"/>
      <c r="F191" s="733"/>
      <c r="G191" s="733"/>
      <c r="H191" s="733"/>
      <c r="I191" s="734" t="s">
        <v>112</v>
      </c>
      <c r="J191" s="735">
        <v>0</v>
      </c>
      <c r="K191" s="977">
        <f>IFERROR(_xlfn.CEILING.MATH(J191,INDEX('СВОДНАЯ СПЕЦИФИКАЦИЯ'!$C$10:$C$408,MATCH(D191,'СВОДНАЯ СПЕЦИФИКАЦИЯ'!$D$10:$D$408,0))),"Введите кол-во")</f>
        <v>0</v>
      </c>
      <c r="L191" s="978">
        <f>INDEX('СВОДНАЯ СПЕЦИФИКАЦИЯ'!$H$10:$H$408,MATCH(D191,Таблица2[Наименование материала],0))</f>
        <v>0</v>
      </c>
      <c r="M191" s="979">
        <f t="shared" si="5"/>
        <v>0</v>
      </c>
      <c r="O191" s="934">
        <f t="shared" si="6"/>
        <v>0</v>
      </c>
      <c r="Q191" s="984" t="s">
        <v>1156</v>
      </c>
      <c r="R191" s="985"/>
      <c r="S191" s="985"/>
      <c r="T191" s="986">
        <v>50</v>
      </c>
      <c r="U191" s="985" t="s">
        <v>150</v>
      </c>
      <c r="V191" s="985">
        <v>22.6098</v>
      </c>
      <c r="W191" s="957"/>
      <c r="X191" s="934"/>
      <c r="Y191" s="934"/>
      <c r="Z191" s="934"/>
      <c r="AA191" s="934"/>
      <c r="AB191" s="987"/>
      <c r="AC191" s="934"/>
      <c r="AD191" s="934"/>
      <c r="AE191" s="934"/>
      <c r="AF191" s="934"/>
      <c r="AG191" s="934"/>
      <c r="AH191" s="934"/>
      <c r="AI191" s="934"/>
      <c r="AJ191" s="934"/>
    </row>
    <row r="192" spans="2:36" ht="15" hidden="1" customHeight="1">
      <c r="B192" s="1432"/>
      <c r="C192" s="898">
        <v>55589</v>
      </c>
      <c r="D192" s="732" t="s">
        <v>1318</v>
      </c>
      <c r="E192" s="733"/>
      <c r="F192" s="733"/>
      <c r="G192" s="733"/>
      <c r="H192" s="733"/>
      <c r="I192" s="734" t="s">
        <v>112</v>
      </c>
      <c r="J192" s="735">
        <v>0</v>
      </c>
      <c r="K192" s="977">
        <f>IFERROR(_xlfn.CEILING.MATH(J192,INDEX('СВОДНАЯ СПЕЦИФИКАЦИЯ'!$C$10:$C$408,MATCH(D192,'СВОДНАЯ СПЕЦИФИКАЦИЯ'!$D$10:$D$408,0))),"Введите кол-во")</f>
        <v>0</v>
      </c>
      <c r="L192" s="978">
        <f>INDEX('СВОДНАЯ СПЕЦИФИКАЦИЯ'!$H$10:$H$408,MATCH(D192,Таблица2[Наименование материала],0))</f>
        <v>0</v>
      </c>
      <c r="M192" s="979">
        <f t="shared" si="5"/>
        <v>0</v>
      </c>
      <c r="O192" s="934">
        <f t="shared" si="6"/>
        <v>0</v>
      </c>
      <c r="Q192" s="984" t="s">
        <v>1156</v>
      </c>
      <c r="R192" s="985"/>
      <c r="S192" s="985"/>
      <c r="T192" s="986">
        <v>60</v>
      </c>
      <c r="U192" s="985" t="s">
        <v>150</v>
      </c>
      <c r="V192" s="985">
        <v>28.262250000000002</v>
      </c>
      <c r="W192" s="957"/>
      <c r="X192" s="934"/>
      <c r="Y192" s="934"/>
      <c r="Z192" s="934"/>
      <c r="AA192" s="934"/>
      <c r="AB192" s="987"/>
      <c r="AC192" s="934"/>
      <c r="AD192" s="934"/>
      <c r="AE192" s="934"/>
      <c r="AF192" s="934"/>
      <c r="AG192" s="934"/>
      <c r="AH192" s="934"/>
      <c r="AI192" s="934"/>
      <c r="AJ192" s="934"/>
    </row>
    <row r="193" spans="1:36" ht="15" hidden="1" customHeight="1">
      <c r="B193" s="1432"/>
      <c r="C193" s="898">
        <v>55591</v>
      </c>
      <c r="D193" s="732" t="s">
        <v>1319</v>
      </c>
      <c r="E193" s="733"/>
      <c r="F193" s="733"/>
      <c r="G193" s="733"/>
      <c r="H193" s="733"/>
      <c r="I193" s="734" t="s">
        <v>112</v>
      </c>
      <c r="J193" s="735">
        <v>0</v>
      </c>
      <c r="K193" s="977">
        <f>IFERROR(_xlfn.CEILING.MATH(J193,INDEX('СВОДНАЯ СПЕЦИФИКАЦИЯ'!$C$10:$C$408,MATCH(D193,'СВОДНАЯ СПЕЦИФИКАЦИЯ'!$D$10:$D$408,0))),"Введите кол-во")</f>
        <v>0</v>
      </c>
      <c r="L193" s="978">
        <f>INDEX('СВОДНАЯ СПЕЦИФИКАЦИЯ'!$H$10:$H$408,MATCH(D193,Таблица2[Наименование материала],0))</f>
        <v>0</v>
      </c>
      <c r="M193" s="979">
        <f t="shared" si="5"/>
        <v>0</v>
      </c>
      <c r="O193" s="934">
        <f t="shared" si="6"/>
        <v>0</v>
      </c>
      <c r="Q193" s="984" t="s">
        <v>1156</v>
      </c>
      <c r="R193" s="985"/>
      <c r="S193" s="985"/>
      <c r="T193" s="986">
        <v>70</v>
      </c>
      <c r="U193" s="985" t="s">
        <v>150</v>
      </c>
      <c r="V193" s="985">
        <v>22.6098</v>
      </c>
      <c r="W193" s="957"/>
      <c r="X193" s="934"/>
      <c r="Y193" s="934"/>
      <c r="Z193" s="934"/>
      <c r="AA193" s="934"/>
      <c r="AB193" s="987"/>
      <c r="AC193" s="934"/>
      <c r="AD193" s="934"/>
      <c r="AE193" s="934"/>
      <c r="AF193" s="934"/>
      <c r="AG193" s="934"/>
      <c r="AH193" s="934"/>
      <c r="AI193" s="934"/>
      <c r="AJ193" s="934"/>
    </row>
    <row r="194" spans="1:36" ht="15" hidden="1" customHeight="1">
      <c r="B194" s="1432"/>
      <c r="C194" s="898">
        <v>56423</v>
      </c>
      <c r="D194" s="732" t="s">
        <v>1320</v>
      </c>
      <c r="E194" s="733"/>
      <c r="F194" s="733"/>
      <c r="G194" s="733"/>
      <c r="H194" s="733"/>
      <c r="I194" s="734" t="s">
        <v>112</v>
      </c>
      <c r="J194" s="735">
        <v>0</v>
      </c>
      <c r="K194" s="977">
        <f>IFERROR(_xlfn.CEILING.MATH(J194,INDEX('СВОДНАЯ СПЕЦИФИКАЦИЯ'!$C$10:$C$408,MATCH(D194,'СВОДНАЯ СПЕЦИФИКАЦИЯ'!$D$10:$D$408,0))),"Введите кол-во")</f>
        <v>0</v>
      </c>
      <c r="L194" s="978">
        <f>INDEX('СВОДНАЯ СПЕЦИФИКАЦИЯ'!$H$10:$H$408,MATCH(D194,Таблица2[Наименование материала],0))</f>
        <v>0</v>
      </c>
      <c r="M194" s="979">
        <f t="shared" si="5"/>
        <v>0</v>
      </c>
      <c r="O194" s="934">
        <f t="shared" si="6"/>
        <v>0</v>
      </c>
      <c r="Q194" s="984" t="s">
        <v>1156</v>
      </c>
      <c r="R194" s="985"/>
      <c r="S194" s="985"/>
      <c r="T194" s="986">
        <v>80</v>
      </c>
      <c r="U194" s="985" t="s">
        <v>150</v>
      </c>
      <c r="V194" s="985">
        <v>19.7835</v>
      </c>
      <c r="W194" s="957"/>
      <c r="X194" s="934"/>
      <c r="Y194" s="934"/>
      <c r="Z194" s="934"/>
      <c r="AA194" s="934"/>
      <c r="AB194" s="987"/>
      <c r="AC194" s="934"/>
      <c r="AD194" s="934"/>
      <c r="AE194" s="934"/>
      <c r="AF194" s="934"/>
      <c r="AG194" s="934"/>
      <c r="AH194" s="934"/>
      <c r="AI194" s="934"/>
      <c r="AJ194" s="934"/>
    </row>
    <row r="195" spans="1:36" ht="15" hidden="1" customHeight="1">
      <c r="B195" s="1432"/>
      <c r="C195" s="898">
        <v>55592</v>
      </c>
      <c r="D195" s="732" t="s">
        <v>1321</v>
      </c>
      <c r="E195" s="733"/>
      <c r="F195" s="733"/>
      <c r="G195" s="733"/>
      <c r="H195" s="733"/>
      <c r="I195" s="734" t="s">
        <v>112</v>
      </c>
      <c r="J195" s="735">
        <v>0</v>
      </c>
      <c r="K195" s="977">
        <f>IFERROR(_xlfn.CEILING.MATH(J195,INDEX('СВОДНАЯ СПЕЦИФИКАЦИЯ'!$C$10:$C$408,MATCH(D195,'СВОДНАЯ СПЕЦИФИКАЦИЯ'!$D$10:$D$408,0))),"Введите кол-во")</f>
        <v>0</v>
      </c>
      <c r="L195" s="978">
        <f>INDEX('СВОДНАЯ СПЕЦИФИКАЦИЯ'!$H$10:$H$408,MATCH(D195,Таблица2[Наименование материала],0))</f>
        <v>0</v>
      </c>
      <c r="M195" s="979">
        <f t="shared" si="5"/>
        <v>0</v>
      </c>
      <c r="O195" s="934">
        <f t="shared" si="6"/>
        <v>0</v>
      </c>
      <c r="Q195" s="984" t="s">
        <v>1156</v>
      </c>
      <c r="R195" s="985"/>
      <c r="S195" s="985"/>
      <c r="T195" s="986">
        <v>90</v>
      </c>
      <c r="U195" s="985" t="s">
        <v>150</v>
      </c>
      <c r="V195" s="985">
        <v>16.957350000000002</v>
      </c>
      <c r="W195" s="957"/>
      <c r="X195" s="934"/>
      <c r="Y195" s="934"/>
      <c r="Z195" s="934"/>
      <c r="AA195" s="934"/>
      <c r="AB195" s="987"/>
      <c r="AC195" s="934"/>
      <c r="AD195" s="934"/>
      <c r="AE195" s="934"/>
      <c r="AF195" s="934"/>
      <c r="AG195" s="934"/>
      <c r="AH195" s="934"/>
      <c r="AI195" s="934"/>
      <c r="AJ195" s="934"/>
    </row>
    <row r="196" spans="1:36" ht="15" hidden="1" customHeight="1">
      <c r="B196" s="1432"/>
      <c r="C196" s="898">
        <v>51182</v>
      </c>
      <c r="D196" s="732" t="s">
        <v>1322</v>
      </c>
      <c r="E196" s="733"/>
      <c r="F196" s="733"/>
      <c r="G196" s="733"/>
      <c r="H196" s="733"/>
      <c r="I196" s="734" t="s">
        <v>112</v>
      </c>
      <c r="J196" s="735">
        <v>0</v>
      </c>
      <c r="K196" s="977">
        <f>IFERROR(_xlfn.CEILING.MATH(J196,INDEX('СВОДНАЯ СПЕЦИФИКАЦИЯ'!$C$10:$C$408,MATCH(D196,'СВОДНАЯ СПЕЦИФИКАЦИЯ'!$D$10:$D$408,0))),"Введите кол-во")</f>
        <v>0</v>
      </c>
      <c r="L196" s="978">
        <f>INDEX('СВОДНАЯ СПЕЦИФИКАЦИЯ'!$H$10:$H$408,MATCH(D196,Таблица2[Наименование материала],0))</f>
        <v>0</v>
      </c>
      <c r="M196" s="979">
        <f t="shared" si="5"/>
        <v>0</v>
      </c>
      <c r="O196" s="934">
        <f t="shared" si="6"/>
        <v>0</v>
      </c>
      <c r="Q196" s="984" t="s">
        <v>1156</v>
      </c>
      <c r="R196" s="985"/>
      <c r="S196" s="985"/>
      <c r="T196" s="986">
        <v>100</v>
      </c>
      <c r="U196" s="985" t="s">
        <v>150</v>
      </c>
      <c r="V196" s="985">
        <v>16.957350000000002</v>
      </c>
      <c r="W196" s="957"/>
      <c r="X196" s="934"/>
      <c r="Y196" s="934"/>
      <c r="Z196" s="934"/>
      <c r="AA196" s="934"/>
      <c r="AB196" s="987"/>
      <c r="AC196" s="934"/>
      <c r="AD196" s="934"/>
      <c r="AE196" s="934"/>
      <c r="AF196" s="934"/>
      <c r="AG196" s="934"/>
      <c r="AH196" s="934"/>
      <c r="AI196" s="934"/>
      <c r="AJ196" s="934"/>
    </row>
    <row r="197" spans="1:36" ht="15" hidden="1" customHeight="1">
      <c r="B197" s="1432"/>
      <c r="C197" s="898">
        <v>489560</v>
      </c>
      <c r="D197" s="732" t="s">
        <v>1323</v>
      </c>
      <c r="E197" s="733"/>
      <c r="F197" s="733"/>
      <c r="G197" s="733"/>
      <c r="H197" s="733"/>
      <c r="I197" s="734" t="s">
        <v>178</v>
      </c>
      <c r="J197" s="755">
        <v>0</v>
      </c>
      <c r="K197" s="977">
        <f>IFERROR(_xlfn.CEILING.MATH(J197,INDEX('СВОДНАЯ СПЕЦИФИКАЦИЯ'!$C$10:$C$408,MATCH(D197,'СВОДНАЯ СПЕЦИФИКАЦИЯ'!$D$10:$D$408,0))),"Введите кол-во")</f>
        <v>0</v>
      </c>
      <c r="L197" s="978">
        <f>INDEX('СВОДНАЯ СПЕЦИФИКАЦИЯ'!$H$10:$H$408,MATCH(D197,Таблица2[Наименование материала],0))</f>
        <v>0</v>
      </c>
      <c r="M197" s="979">
        <f t="shared" si="5"/>
        <v>0</v>
      </c>
      <c r="O197" s="934">
        <f t="shared" si="6"/>
        <v>0</v>
      </c>
      <c r="Q197" s="984" t="s">
        <v>913</v>
      </c>
      <c r="R197" s="985"/>
      <c r="S197" s="985"/>
      <c r="T197" s="986">
        <v>30</v>
      </c>
      <c r="U197" s="985" t="s">
        <v>150</v>
      </c>
      <c r="V197" s="957"/>
      <c r="W197" s="957"/>
      <c r="X197" s="934"/>
      <c r="Y197" s="934"/>
      <c r="Z197" s="934"/>
      <c r="AA197" s="934"/>
      <c r="AB197" s="987"/>
      <c r="AC197" s="934"/>
      <c r="AD197" s="934"/>
      <c r="AE197" s="934"/>
      <c r="AF197" s="934"/>
      <c r="AG197" s="934"/>
      <c r="AH197" s="934"/>
      <c r="AI197" s="934"/>
      <c r="AJ197" s="934"/>
    </row>
    <row r="198" spans="1:36" ht="15" hidden="1" customHeight="1">
      <c r="B198" s="1432"/>
      <c r="C198" s="898">
        <v>469114</v>
      </c>
      <c r="D198" s="732" t="s">
        <v>1324</v>
      </c>
      <c r="E198" s="733"/>
      <c r="F198" s="733"/>
      <c r="G198" s="733"/>
      <c r="H198" s="733"/>
      <c r="I198" s="734" t="s">
        <v>178</v>
      </c>
      <c r="J198" s="755">
        <v>0</v>
      </c>
      <c r="K198" s="977">
        <f>IFERROR(_xlfn.CEILING.MATH(J198,INDEX('СВОДНАЯ СПЕЦИФИКАЦИЯ'!$C$10:$C$408,MATCH(D198,'СВОДНАЯ СПЕЦИФИКАЦИЯ'!$D$10:$D$408,0))),"Введите кол-во")</f>
        <v>0</v>
      </c>
      <c r="L198" s="978">
        <f>INDEX('СВОДНАЯ СПЕЦИФИКАЦИЯ'!$H$10:$H$408,MATCH(D198,Таблица2[Наименование материала],0))</f>
        <v>0</v>
      </c>
      <c r="M198" s="979">
        <f t="shared" si="5"/>
        <v>0</v>
      </c>
      <c r="O198" s="934">
        <f t="shared" si="6"/>
        <v>0</v>
      </c>
      <c r="Q198" s="984" t="s">
        <v>913</v>
      </c>
      <c r="R198" s="985"/>
      <c r="S198" s="985"/>
      <c r="T198" s="986">
        <v>40</v>
      </c>
      <c r="U198" s="985" t="s">
        <v>150</v>
      </c>
      <c r="V198" s="957"/>
      <c r="W198" s="957"/>
      <c r="X198" s="934"/>
      <c r="Y198" s="934"/>
      <c r="Z198" s="934"/>
      <c r="AA198" s="934"/>
      <c r="AB198" s="987"/>
      <c r="AC198" s="934"/>
      <c r="AD198" s="934"/>
      <c r="AE198" s="934"/>
      <c r="AF198" s="934"/>
      <c r="AG198" s="934"/>
      <c r="AH198" s="934"/>
      <c r="AI198" s="934"/>
      <c r="AJ198" s="934"/>
    </row>
    <row r="199" spans="1:36" ht="15" hidden="1" customHeight="1">
      <c r="B199" s="1432"/>
      <c r="C199" s="898">
        <v>469115</v>
      </c>
      <c r="D199" s="732" t="s">
        <v>1325</v>
      </c>
      <c r="E199" s="733"/>
      <c r="F199" s="733"/>
      <c r="G199" s="733"/>
      <c r="H199" s="733"/>
      <c r="I199" s="734" t="s">
        <v>178</v>
      </c>
      <c r="J199" s="755">
        <v>0</v>
      </c>
      <c r="K199" s="977">
        <f>IFERROR(_xlfn.CEILING.MATH(J199,INDEX('СВОДНАЯ СПЕЦИФИКАЦИЯ'!$C$10:$C$408,MATCH(D199,'СВОДНАЯ СПЕЦИФИКАЦИЯ'!$D$10:$D$408,0))),"Введите кол-во")</f>
        <v>0</v>
      </c>
      <c r="L199" s="978">
        <f>INDEX('СВОДНАЯ СПЕЦИФИКАЦИЯ'!$H$10:$H$408,MATCH(D199,Таблица2[Наименование материала],0))</f>
        <v>0</v>
      </c>
      <c r="M199" s="979">
        <f t="shared" si="5"/>
        <v>0</v>
      </c>
      <c r="O199" s="934">
        <f t="shared" si="6"/>
        <v>0</v>
      </c>
      <c r="Q199" s="984" t="s">
        <v>913</v>
      </c>
      <c r="R199" s="985"/>
      <c r="S199" s="985"/>
      <c r="T199" s="986">
        <v>50</v>
      </c>
      <c r="U199" s="985" t="s">
        <v>150</v>
      </c>
      <c r="V199" s="957"/>
      <c r="W199" s="957"/>
      <c r="X199" s="934"/>
      <c r="Y199" s="934"/>
      <c r="Z199" s="934"/>
      <c r="AA199" s="934"/>
      <c r="AB199" s="987"/>
      <c r="AC199" s="934"/>
      <c r="AD199" s="934"/>
      <c r="AE199" s="934"/>
      <c r="AF199" s="934"/>
      <c r="AG199" s="934"/>
      <c r="AH199" s="934"/>
      <c r="AI199" s="934"/>
      <c r="AJ199" s="934"/>
    </row>
    <row r="200" spans="1:36" ht="15" hidden="1" customHeight="1">
      <c r="B200" s="1432"/>
      <c r="C200" s="898">
        <v>469116</v>
      </c>
      <c r="D200" s="732" t="s">
        <v>1326</v>
      </c>
      <c r="E200" s="733"/>
      <c r="F200" s="733"/>
      <c r="G200" s="733"/>
      <c r="H200" s="733"/>
      <c r="I200" s="734" t="s">
        <v>178</v>
      </c>
      <c r="J200" s="755">
        <v>0</v>
      </c>
      <c r="K200" s="977">
        <f>IFERROR(_xlfn.CEILING.MATH(J200,INDEX('СВОДНАЯ СПЕЦИФИКАЦИЯ'!$C$10:$C$408,MATCH(D200,'СВОДНАЯ СПЕЦИФИКАЦИЯ'!$D$10:$D$408,0))),"Введите кол-во")</f>
        <v>0</v>
      </c>
      <c r="L200" s="978">
        <f>INDEX('СВОДНАЯ СПЕЦИФИКАЦИЯ'!$H$10:$H$408,MATCH(D200,Таблица2[Наименование материала],0))</f>
        <v>0</v>
      </c>
      <c r="M200" s="979">
        <f t="shared" si="5"/>
        <v>0</v>
      </c>
      <c r="O200" s="934">
        <f t="shared" si="6"/>
        <v>0</v>
      </c>
      <c r="Q200" s="984" t="s">
        <v>913</v>
      </c>
      <c r="R200" s="985"/>
      <c r="S200" s="985"/>
      <c r="T200" s="986">
        <v>60</v>
      </c>
      <c r="U200" s="985" t="s">
        <v>150</v>
      </c>
      <c r="V200" s="957"/>
      <c r="W200" s="957"/>
      <c r="X200" s="934"/>
      <c r="Y200" s="934"/>
      <c r="Z200" s="934"/>
      <c r="AA200" s="934"/>
      <c r="AB200" s="987"/>
      <c r="AC200" s="934"/>
      <c r="AD200" s="934"/>
      <c r="AE200" s="934"/>
      <c r="AF200" s="934"/>
      <c r="AG200" s="934"/>
      <c r="AH200" s="934"/>
      <c r="AI200" s="934"/>
      <c r="AJ200" s="934"/>
    </row>
    <row r="201" spans="1:36" ht="15" hidden="1" customHeight="1" thickBot="1">
      <c r="B201" s="1432"/>
      <c r="C201" s="898">
        <v>469117</v>
      </c>
      <c r="D201" s="732" t="s">
        <v>1327</v>
      </c>
      <c r="E201" s="733"/>
      <c r="F201" s="733"/>
      <c r="G201" s="733"/>
      <c r="H201" s="733"/>
      <c r="I201" s="734" t="s">
        <v>178</v>
      </c>
      <c r="J201" s="755">
        <v>0</v>
      </c>
      <c r="K201" s="977">
        <f>IFERROR(_xlfn.CEILING.MATH(J201,INDEX('СВОДНАЯ СПЕЦИФИКАЦИЯ'!$C$10:$C$408,MATCH(D201,'СВОДНАЯ СПЕЦИФИКАЦИЯ'!$D$10:$D$408,0))),"Введите кол-во")</f>
        <v>0</v>
      </c>
      <c r="L201" s="978">
        <f>INDEX('СВОДНАЯ СПЕЦИФИКАЦИЯ'!$H$10:$H$408,MATCH(D201,Таблица2[Наименование материала],0))</f>
        <v>0</v>
      </c>
      <c r="M201" s="979">
        <f t="shared" si="5"/>
        <v>0</v>
      </c>
      <c r="O201" s="934">
        <f t="shared" si="6"/>
        <v>0</v>
      </c>
      <c r="Q201" s="984" t="s">
        <v>913</v>
      </c>
      <c r="R201" s="985"/>
      <c r="S201" s="985"/>
      <c r="T201" s="986">
        <v>70</v>
      </c>
      <c r="U201" s="985" t="s">
        <v>150</v>
      </c>
      <c r="V201" s="957"/>
      <c r="W201" s="957"/>
      <c r="X201" s="934"/>
      <c r="Y201" s="934"/>
      <c r="Z201" s="934"/>
      <c r="AA201" s="934"/>
      <c r="AB201" s="987"/>
      <c r="AC201" s="934"/>
      <c r="AD201" s="934"/>
      <c r="AE201" s="934"/>
      <c r="AF201" s="934"/>
      <c r="AG201" s="934"/>
      <c r="AH201" s="934"/>
      <c r="AI201" s="934"/>
      <c r="AJ201" s="934"/>
    </row>
    <row r="202" spans="1:36" ht="20.100000000000001" customHeight="1">
      <c r="A202" s="934">
        <v>3</v>
      </c>
      <c r="B202" s="1431">
        <v>3</v>
      </c>
      <c r="C202" s="747"/>
      <c r="D202" s="728" t="s">
        <v>143</v>
      </c>
      <c r="E202" s="729"/>
      <c r="F202" s="729"/>
      <c r="G202" s="729"/>
      <c r="H202" s="729"/>
      <c r="I202" s="730"/>
      <c r="J202" s="731"/>
      <c r="K202" s="731"/>
      <c r="L202" s="974"/>
      <c r="M202" s="975">
        <f>SUM(M203:M303)</f>
        <v>0</v>
      </c>
      <c r="O202" s="934">
        <f>IF(SUM(J203:J303)=0,0,1)</f>
        <v>1</v>
      </c>
      <c r="P202" s="993" t="s">
        <v>370</v>
      </c>
      <c r="Q202" s="957"/>
      <c r="R202" s="957"/>
      <c r="S202" s="957"/>
      <c r="T202" s="957"/>
      <c r="U202" s="957"/>
      <c r="V202" s="957"/>
      <c r="W202" s="957"/>
      <c r="X202" s="934"/>
      <c r="Y202" s="934"/>
      <c r="Z202" s="934"/>
      <c r="AA202" s="934"/>
      <c r="AB202" s="987"/>
      <c r="AC202" s="934"/>
      <c r="AD202" s="934"/>
      <c r="AE202" s="934"/>
      <c r="AF202" s="934"/>
      <c r="AG202" s="934"/>
      <c r="AH202" s="934"/>
      <c r="AI202" s="934"/>
      <c r="AJ202" s="934"/>
    </row>
    <row r="203" spans="1:36" ht="15" hidden="1" customHeight="1">
      <c r="B203" s="1432"/>
      <c r="C203" s="898" t="s">
        <v>761</v>
      </c>
      <c r="D203" s="732" t="s">
        <v>182</v>
      </c>
      <c r="E203" s="733"/>
      <c r="F203" s="733"/>
      <c r="G203" s="733"/>
      <c r="H203" s="749"/>
      <c r="I203" s="734" t="s">
        <v>183</v>
      </c>
      <c r="J203" s="735">
        <v>0</v>
      </c>
      <c r="K203" s="977">
        <f>IFERROR(_xlfn.CEILING.MATH(J203,INDEX('СВОДНАЯ СПЕЦИФИКАЦИЯ'!$C$10:$C$408,MATCH(D203,'СВОДНАЯ СПЕЦИФИКАЦИЯ'!$D$10:$D$408,0))),"Введите кол-во")</f>
        <v>0</v>
      </c>
      <c r="L203" s="978">
        <f>INDEX('СВОДНАЯ СПЕЦИФИКАЦИЯ'!$H$10:$H$408,MATCH(D203,Таблица2[Наименование материала],0))</f>
        <v>0</v>
      </c>
      <c r="M203" s="979">
        <f t="shared" si="5"/>
        <v>0</v>
      </c>
      <c r="O203" s="934">
        <f t="shared" ref="O203:O266" si="7">IF(J203=0,0,1)</f>
        <v>0</v>
      </c>
      <c r="Q203" s="957"/>
      <c r="R203" s="991"/>
      <c r="S203" s="990"/>
      <c r="T203" s="957"/>
      <c r="U203" s="957"/>
      <c r="V203" s="957"/>
      <c r="W203" s="957"/>
      <c r="X203" s="934"/>
      <c r="Y203" s="934"/>
      <c r="Z203" s="934"/>
      <c r="AA203" s="934"/>
      <c r="AB203" s="987"/>
      <c r="AC203" s="934"/>
      <c r="AD203" s="934"/>
      <c r="AE203" s="934"/>
      <c r="AF203" s="934"/>
      <c r="AG203" s="934"/>
      <c r="AH203" s="934"/>
      <c r="AI203" s="934"/>
      <c r="AJ203" s="934"/>
    </row>
    <row r="204" spans="1:36" ht="15" hidden="1" customHeight="1">
      <c r="B204" s="1432"/>
      <c r="C204" s="898" t="s">
        <v>743</v>
      </c>
      <c r="D204" s="732" t="s">
        <v>741</v>
      </c>
      <c r="E204" s="733"/>
      <c r="F204" s="733"/>
      <c r="G204" s="733"/>
      <c r="H204" s="749"/>
      <c r="I204" s="734" t="s">
        <v>151</v>
      </c>
      <c r="J204" s="750">
        <v>0</v>
      </c>
      <c r="K204" s="977">
        <f>IFERROR(_xlfn.CEILING.MATH(J204,INDEX('СВОДНАЯ СПЕЦИФИКАЦИЯ'!$C$10:$C$408,MATCH(D204,'СВОДНАЯ СПЕЦИФИКАЦИЯ'!$D$10:$D$408,0))),"Введите кол-во")</f>
        <v>0</v>
      </c>
      <c r="L204" s="978">
        <f>INDEX('СВОДНАЯ СПЕЦИФИКАЦИЯ'!$H$10:$H$408,MATCH(D204,Таблица2[Наименование материала],0))</f>
        <v>0</v>
      </c>
      <c r="M204" s="979">
        <f t="shared" si="5"/>
        <v>0</v>
      </c>
      <c r="O204" s="934">
        <f t="shared" si="7"/>
        <v>0</v>
      </c>
      <c r="Q204" s="957"/>
      <c r="R204" s="957"/>
      <c r="S204" s="957"/>
      <c r="T204" s="957"/>
      <c r="U204" s="957"/>
      <c r="V204" s="957"/>
      <c r="W204" s="957"/>
      <c r="X204" s="934"/>
      <c r="Y204" s="934"/>
      <c r="Z204" s="934"/>
      <c r="AA204" s="934"/>
      <c r="AB204" s="987"/>
      <c r="AC204" s="934"/>
      <c r="AD204" s="934"/>
      <c r="AE204" s="934"/>
      <c r="AF204" s="934"/>
      <c r="AG204" s="934"/>
      <c r="AH204" s="934"/>
      <c r="AI204" s="934"/>
      <c r="AJ204" s="934"/>
    </row>
    <row r="205" spans="1:36" ht="15" hidden="1" customHeight="1">
      <c r="B205" s="1432"/>
      <c r="C205" s="898" t="s">
        <v>1036</v>
      </c>
      <c r="D205" s="732" t="s">
        <v>812</v>
      </c>
      <c r="E205" s="733"/>
      <c r="F205" s="733"/>
      <c r="G205" s="733" t="s">
        <v>1477</v>
      </c>
      <c r="H205" s="749"/>
      <c r="I205" s="734" t="s">
        <v>112</v>
      </c>
      <c r="J205" s="736">
        <v>0</v>
      </c>
      <c r="K205" s="977">
        <f>IFERROR(_xlfn.CEILING.MATH(J205,INDEX('СВОДНАЯ СПЕЦИФИКАЦИЯ'!$C$10:$C$408,MATCH(D205,'СВОДНАЯ СПЕЦИФИКАЦИЯ'!$D$10:$D$408,0))),"Введите кол-во")</f>
        <v>0</v>
      </c>
      <c r="L205" s="978">
        <f>INDEX('СВОДНАЯ СПЕЦИФИКАЦИЯ'!$H$10:$H$408,MATCH(D205,Таблица2[Наименование материала],0))</f>
        <v>0</v>
      </c>
      <c r="M205" s="979">
        <f t="shared" si="5"/>
        <v>0</v>
      </c>
      <c r="O205" s="934">
        <f t="shared" si="7"/>
        <v>0</v>
      </c>
      <c r="Q205" s="957"/>
      <c r="R205" s="957"/>
      <c r="S205" s="957"/>
      <c r="T205" s="957"/>
      <c r="U205" s="957"/>
      <c r="V205" s="957"/>
      <c r="W205" s="957"/>
      <c r="X205" s="934"/>
      <c r="Y205" s="934"/>
      <c r="Z205" s="934"/>
      <c r="AA205" s="934"/>
      <c r="AB205" s="987"/>
      <c r="AC205" s="934"/>
      <c r="AD205" s="934"/>
      <c r="AE205" s="934"/>
      <c r="AF205" s="934"/>
      <c r="AG205" s="934"/>
      <c r="AH205" s="934"/>
      <c r="AI205" s="934"/>
      <c r="AJ205" s="934"/>
    </row>
    <row r="206" spans="1:36" ht="15" hidden="1" customHeight="1">
      <c r="B206" s="1432"/>
      <c r="C206" s="898" t="s">
        <v>1146</v>
      </c>
      <c r="D206" s="732" t="s">
        <v>811</v>
      </c>
      <c r="E206" s="733"/>
      <c r="F206" s="733"/>
      <c r="G206" s="733" t="s">
        <v>1478</v>
      </c>
      <c r="H206" s="749"/>
      <c r="I206" s="734" t="s">
        <v>112</v>
      </c>
      <c r="J206" s="736">
        <v>0</v>
      </c>
      <c r="K206" s="977">
        <f>IFERROR(_xlfn.CEILING.MATH(J206,INDEX('СВОДНАЯ СПЕЦИФИКАЦИЯ'!$C$10:$C$408,MATCH(D206,'СВОДНАЯ СПЕЦИФИКАЦИЯ'!$D$10:$D$408,0))),"Введите кол-во")</f>
        <v>0</v>
      </c>
      <c r="L206" s="978">
        <f>INDEX('СВОДНАЯ СПЕЦИФИКАЦИЯ'!$H$10:$H$408,MATCH(D206,Таблица2[Наименование материала],0))</f>
        <v>0</v>
      </c>
      <c r="M206" s="979">
        <f t="shared" si="5"/>
        <v>0</v>
      </c>
      <c r="O206" s="934">
        <f t="shared" si="7"/>
        <v>0</v>
      </c>
      <c r="Q206" s="957"/>
      <c r="R206" s="957"/>
      <c r="S206" s="957"/>
      <c r="T206" s="957"/>
      <c r="U206" s="957"/>
      <c r="V206" s="957"/>
      <c r="W206" s="957"/>
      <c r="X206" s="934"/>
      <c r="Y206" s="934"/>
      <c r="Z206" s="934" t="s">
        <v>1038</v>
      </c>
      <c r="AA206" s="934"/>
      <c r="AB206" s="987"/>
      <c r="AC206" s="934"/>
      <c r="AD206" s="934"/>
      <c r="AE206" s="934"/>
      <c r="AF206" s="934"/>
      <c r="AG206" s="934"/>
      <c r="AH206" s="934"/>
      <c r="AI206" s="934"/>
      <c r="AJ206" s="934"/>
    </row>
    <row r="207" spans="1:36" ht="15" hidden="1" customHeight="1">
      <c r="B207" s="1432"/>
      <c r="C207" s="898" t="s">
        <v>1037</v>
      </c>
      <c r="D207" s="732" t="s">
        <v>813</v>
      </c>
      <c r="E207" s="733"/>
      <c r="F207" s="733"/>
      <c r="G207" s="733" t="s">
        <v>1477</v>
      </c>
      <c r="H207" s="749"/>
      <c r="I207" s="734" t="s">
        <v>112</v>
      </c>
      <c r="J207" s="736">
        <v>0</v>
      </c>
      <c r="K207" s="977">
        <f>IFERROR(_xlfn.CEILING.MATH(J207,INDEX('СВОДНАЯ СПЕЦИФИКАЦИЯ'!$C$10:$C$408,MATCH(D207,'СВОДНАЯ СПЕЦИФИКАЦИЯ'!$D$10:$D$408,0))),"Введите кол-во")</f>
        <v>0</v>
      </c>
      <c r="L207" s="978">
        <f>INDEX('СВОДНАЯ СПЕЦИФИКАЦИЯ'!$H$10:$H$408,MATCH(D207,Таблица2[Наименование материала],0))</f>
        <v>0</v>
      </c>
      <c r="M207" s="979">
        <f t="shared" si="5"/>
        <v>0</v>
      </c>
      <c r="O207" s="934">
        <f t="shared" si="7"/>
        <v>0</v>
      </c>
      <c r="Q207" s="957"/>
      <c r="R207" s="957"/>
      <c r="S207" s="957"/>
      <c r="T207" s="957"/>
      <c r="U207" s="957"/>
      <c r="V207" s="957"/>
      <c r="W207" s="957"/>
      <c r="X207" s="934"/>
      <c r="Y207" s="934"/>
      <c r="Z207" s="934"/>
      <c r="AA207" s="934"/>
      <c r="AB207" s="987"/>
      <c r="AC207" s="934"/>
      <c r="AD207" s="934"/>
      <c r="AE207" s="934"/>
      <c r="AF207" s="934"/>
      <c r="AG207" s="934"/>
      <c r="AH207" s="934"/>
      <c r="AI207" s="934"/>
      <c r="AJ207" s="934"/>
    </row>
    <row r="208" spans="1:36" ht="15" hidden="1" customHeight="1">
      <c r="B208" s="1432"/>
      <c r="C208" s="898" t="s">
        <v>1066</v>
      </c>
      <c r="D208" s="732" t="s">
        <v>814</v>
      </c>
      <c r="E208" s="733"/>
      <c r="F208" s="733"/>
      <c r="G208" s="733" t="s">
        <v>1477</v>
      </c>
      <c r="H208" s="749"/>
      <c r="I208" s="734" t="s">
        <v>112</v>
      </c>
      <c r="J208" s="736">
        <v>0</v>
      </c>
      <c r="K208" s="977">
        <f>IFERROR(_xlfn.CEILING.MATH(J208,INDEX('СВОДНАЯ СПЕЦИФИКАЦИЯ'!$C$10:$C$408,MATCH(D208,'СВОДНАЯ СПЕЦИФИКАЦИЯ'!$D$10:$D$408,0))),"Введите кол-во")</f>
        <v>0</v>
      </c>
      <c r="L208" s="978">
        <f>INDEX('СВОДНАЯ СПЕЦИФИКАЦИЯ'!$H$10:$H$408,MATCH(D208,Таблица2[Наименование материала],0))</f>
        <v>0</v>
      </c>
      <c r="M208" s="979">
        <f t="shared" si="5"/>
        <v>0</v>
      </c>
      <c r="O208" s="934">
        <f t="shared" si="7"/>
        <v>0</v>
      </c>
      <c r="Q208" s="957"/>
      <c r="R208" s="957"/>
      <c r="S208" s="957"/>
      <c r="T208" s="957"/>
      <c r="U208" s="957"/>
      <c r="V208" s="957"/>
      <c r="W208" s="957"/>
      <c r="X208" s="934"/>
      <c r="Y208" s="934"/>
      <c r="Z208" s="934"/>
      <c r="AA208" s="934"/>
      <c r="AB208" s="987"/>
      <c r="AC208" s="934"/>
      <c r="AD208" s="934"/>
      <c r="AE208" s="934"/>
      <c r="AF208" s="934"/>
      <c r="AG208" s="934"/>
      <c r="AH208" s="934"/>
      <c r="AI208" s="934"/>
      <c r="AJ208" s="934"/>
    </row>
    <row r="209" spans="1:36" ht="15" hidden="1" customHeight="1">
      <c r="B209" s="1432"/>
      <c r="C209" s="898" t="s">
        <v>1037</v>
      </c>
      <c r="D209" s="732" t="s">
        <v>813</v>
      </c>
      <c r="E209" s="733"/>
      <c r="F209" s="733"/>
      <c r="G209" s="733" t="s">
        <v>1479</v>
      </c>
      <c r="H209" s="749"/>
      <c r="I209" s="734" t="s">
        <v>112</v>
      </c>
      <c r="J209" s="736">
        <v>0</v>
      </c>
      <c r="K209" s="977">
        <f>IFERROR(_xlfn.CEILING.MATH(J209,INDEX('СВОДНАЯ СПЕЦИФИКАЦИЯ'!$C$10:$C$408,MATCH(D209,'СВОДНАЯ СПЕЦИФИКАЦИЯ'!$D$10:$D$408,0))),"Введите кол-во")</f>
        <v>0</v>
      </c>
      <c r="L209" s="978">
        <f>INDEX('СВОДНАЯ СПЕЦИФИКАЦИЯ'!$H$10:$H$408,MATCH(D209,Таблица2[Наименование материала],0))</f>
        <v>0</v>
      </c>
      <c r="M209" s="979">
        <f t="shared" si="5"/>
        <v>0</v>
      </c>
      <c r="O209" s="934">
        <f t="shared" si="7"/>
        <v>0</v>
      </c>
      <c r="Q209" s="957"/>
      <c r="R209" s="957"/>
      <c r="S209" s="957"/>
      <c r="T209" s="957"/>
      <c r="U209" s="957"/>
      <c r="V209" s="957"/>
      <c r="W209" s="957"/>
      <c r="X209" s="934"/>
      <c r="Y209" s="934"/>
      <c r="Z209" s="934"/>
      <c r="AA209" s="934"/>
      <c r="AB209" s="987"/>
      <c r="AC209" s="934"/>
      <c r="AD209" s="934"/>
      <c r="AE209" s="934"/>
      <c r="AF209" s="934"/>
      <c r="AG209" s="934"/>
      <c r="AH209" s="934"/>
      <c r="AI209" s="934"/>
      <c r="AJ209" s="934"/>
    </row>
    <row r="210" spans="1:36" ht="15" hidden="1" customHeight="1">
      <c r="B210" s="1432"/>
      <c r="C210" s="898" t="s">
        <v>841</v>
      </c>
      <c r="D210" s="732" t="s">
        <v>184</v>
      </c>
      <c r="E210" s="733"/>
      <c r="F210" s="733"/>
      <c r="G210" s="733"/>
      <c r="H210" s="749"/>
      <c r="I210" s="734" t="s">
        <v>112</v>
      </c>
      <c r="J210" s="736">
        <v>0</v>
      </c>
      <c r="K210" s="977">
        <f>IFERROR(_xlfn.CEILING.MATH(J210,INDEX('СВОДНАЯ СПЕЦИФИКАЦИЯ'!$C$10:$C$408,MATCH(D210,'СВОДНАЯ СПЕЦИФИКАЦИЯ'!$D$10:$D$408,0))),"Введите кол-во")</f>
        <v>0</v>
      </c>
      <c r="L210" s="978">
        <f>INDEX('СВОДНАЯ СПЕЦИФИКАЦИЯ'!$H$10:$H$408,MATCH(D210,Таблица2[Наименование материала],0))</f>
        <v>0</v>
      </c>
      <c r="M210" s="979">
        <f t="shared" si="5"/>
        <v>0</v>
      </c>
      <c r="O210" s="934">
        <f t="shared" si="7"/>
        <v>0</v>
      </c>
      <c r="Q210" s="957"/>
      <c r="R210" s="957"/>
      <c r="S210" s="957"/>
      <c r="T210" s="957"/>
      <c r="U210" s="957"/>
      <c r="V210" s="957"/>
      <c r="W210" s="957"/>
      <c r="X210" s="934"/>
      <c r="Y210" s="934"/>
      <c r="Z210" s="934"/>
      <c r="AA210" s="934"/>
      <c r="AB210" s="987"/>
      <c r="AC210" s="934"/>
      <c r="AD210" s="934"/>
      <c r="AE210" s="934"/>
      <c r="AF210" s="934"/>
      <c r="AG210" s="934"/>
      <c r="AH210" s="934"/>
      <c r="AI210" s="934"/>
      <c r="AJ210" s="934"/>
    </row>
    <row r="211" spans="1:36" ht="15" hidden="1" customHeight="1">
      <c r="A211" s="940"/>
      <c r="B211" s="1432"/>
      <c r="C211" s="898" t="s">
        <v>1094</v>
      </c>
      <c r="D211" s="732" t="s">
        <v>1093</v>
      </c>
      <c r="E211" s="733"/>
      <c r="F211" s="733"/>
      <c r="G211" s="733"/>
      <c r="H211" s="749"/>
      <c r="I211" s="734" t="s">
        <v>112</v>
      </c>
      <c r="J211" s="736">
        <v>0</v>
      </c>
      <c r="K211" s="977" t="str">
        <f>IFERROR(_xlfn.CEILING.MATH(J211,INDEX('СВОДНАЯ СПЕЦИФИКАЦИЯ'!$C$10:$C$408,MATCH(D211,'СВОДНАЯ СПЕЦИФИКАЦИЯ'!$D$10:$D$408,0))),"Введите кол-во")</f>
        <v>Введите кол-во</v>
      </c>
      <c r="L211" s="978">
        <f>INDEX('СВОДНАЯ СПЕЦИФИКАЦИЯ'!$H$10:$H$408,MATCH(D211,Таблица2[Наименование материала],0))</f>
        <v>0</v>
      </c>
      <c r="M211" s="979">
        <f t="shared" si="5"/>
        <v>0</v>
      </c>
      <c r="O211" s="934">
        <f t="shared" si="7"/>
        <v>0</v>
      </c>
      <c r="Q211" s="957"/>
      <c r="R211" s="957"/>
      <c r="S211" s="957"/>
      <c r="T211" s="957"/>
      <c r="U211" s="957"/>
      <c r="V211" s="957"/>
      <c r="W211" s="957"/>
      <c r="X211" s="934"/>
      <c r="Y211" s="934"/>
      <c r="Z211" s="934"/>
      <c r="AA211" s="934"/>
      <c r="AB211" s="987"/>
      <c r="AC211" s="934"/>
      <c r="AD211" s="934"/>
      <c r="AE211" s="934"/>
      <c r="AF211" s="934"/>
      <c r="AG211" s="934"/>
      <c r="AH211" s="934"/>
      <c r="AI211" s="934"/>
      <c r="AJ211" s="934"/>
    </row>
    <row r="212" spans="1:36" ht="15" hidden="1" customHeight="1">
      <c r="B212" s="1432"/>
      <c r="C212" s="898" t="s">
        <v>762</v>
      </c>
      <c r="D212" s="732" t="s">
        <v>185</v>
      </c>
      <c r="E212" s="733"/>
      <c r="F212" s="733"/>
      <c r="G212" s="733"/>
      <c r="H212" s="749"/>
      <c r="I212" s="734" t="s">
        <v>183</v>
      </c>
      <c r="J212" s="736">
        <v>0</v>
      </c>
      <c r="K212" s="977">
        <f>IFERROR(_xlfn.CEILING.MATH(J212,INDEX('СВОДНАЯ СПЕЦИФИКАЦИЯ'!$C$10:$C$408,MATCH(D212,'СВОДНАЯ СПЕЦИФИКАЦИЯ'!$D$10:$D$408,0))),"Введите кол-во")</f>
        <v>0</v>
      </c>
      <c r="L212" s="978">
        <f>INDEX('СВОДНАЯ СПЕЦИФИКАЦИЯ'!$H$10:$H$408,MATCH(D212,Таблица2[Наименование материала],0))</f>
        <v>0</v>
      </c>
      <c r="M212" s="979">
        <f t="shared" si="5"/>
        <v>0</v>
      </c>
      <c r="O212" s="934">
        <f t="shared" si="7"/>
        <v>0</v>
      </c>
      <c r="Q212" s="957"/>
      <c r="R212" s="957"/>
      <c r="S212" s="957"/>
      <c r="T212" s="957"/>
      <c r="U212" s="957"/>
      <c r="V212" s="957"/>
      <c r="W212" s="957"/>
      <c r="X212" s="934"/>
      <c r="Y212" s="934"/>
      <c r="Z212" s="934"/>
      <c r="AA212" s="934"/>
      <c r="AB212" s="987"/>
      <c r="AC212" s="934"/>
      <c r="AD212" s="934"/>
      <c r="AE212" s="934"/>
      <c r="AF212" s="934"/>
      <c r="AG212" s="934"/>
      <c r="AH212" s="934"/>
      <c r="AI212" s="934"/>
      <c r="AJ212" s="934"/>
    </row>
    <row r="213" spans="1:36" ht="15" hidden="1" customHeight="1">
      <c r="B213" s="1432"/>
      <c r="C213" s="898" t="s">
        <v>1039</v>
      </c>
      <c r="D213" s="732" t="s">
        <v>816</v>
      </c>
      <c r="E213" s="733"/>
      <c r="F213" s="733"/>
      <c r="G213" s="733" t="s">
        <v>1477</v>
      </c>
      <c r="H213" s="749"/>
      <c r="I213" s="734" t="s">
        <v>112</v>
      </c>
      <c r="J213" s="736">
        <v>0</v>
      </c>
      <c r="K213" s="977">
        <f>IFERROR(_xlfn.CEILING.MATH(J213,INDEX('СВОДНАЯ СПЕЦИФИКАЦИЯ'!$C$10:$C$408,MATCH(D213,'СВОДНАЯ СПЕЦИФИКАЦИЯ'!$D$10:$D$408,0))),"Введите кол-во")</f>
        <v>0</v>
      </c>
      <c r="L213" s="978">
        <f>INDEX('СВОДНАЯ СПЕЦИФИКАЦИЯ'!$H$10:$H$408,MATCH(D213,Таблица2[Наименование материала],0))</f>
        <v>0</v>
      </c>
      <c r="M213" s="979">
        <f t="shared" si="5"/>
        <v>0</v>
      </c>
      <c r="O213" s="934">
        <f t="shared" si="7"/>
        <v>0</v>
      </c>
      <c r="Q213" s="957"/>
      <c r="R213" s="957"/>
      <c r="S213" s="957"/>
      <c r="T213" s="957"/>
      <c r="U213" s="957"/>
      <c r="V213" s="957"/>
      <c r="W213" s="957"/>
      <c r="X213" s="934"/>
      <c r="Y213" s="934"/>
      <c r="Z213" s="934"/>
      <c r="AA213" s="934"/>
      <c r="AB213" s="987"/>
      <c r="AC213" s="934"/>
      <c r="AD213" s="934"/>
      <c r="AE213" s="934"/>
      <c r="AF213" s="934"/>
      <c r="AG213" s="934"/>
      <c r="AH213" s="934"/>
      <c r="AI213" s="934"/>
      <c r="AJ213" s="934"/>
    </row>
    <row r="214" spans="1:36" ht="15" hidden="1" customHeight="1">
      <c r="B214" s="1432"/>
      <c r="C214" s="898" t="s">
        <v>1040</v>
      </c>
      <c r="D214" s="732" t="s">
        <v>817</v>
      </c>
      <c r="E214" s="733"/>
      <c r="F214" s="733"/>
      <c r="G214" s="733" t="s">
        <v>1478</v>
      </c>
      <c r="H214" s="749"/>
      <c r="I214" s="734" t="s">
        <v>112</v>
      </c>
      <c r="J214" s="736">
        <v>0</v>
      </c>
      <c r="K214" s="977">
        <f>IFERROR(_xlfn.CEILING.MATH(J214,INDEX('СВОДНАЯ СПЕЦИФИКАЦИЯ'!$C$10:$C$408,MATCH(D214,'СВОДНАЯ СПЕЦИФИКАЦИЯ'!$D$10:$D$408,0))),"Введите кол-во")</f>
        <v>0</v>
      </c>
      <c r="L214" s="978">
        <f>INDEX('СВОДНАЯ СПЕЦИФИКАЦИЯ'!$H$10:$H$408,MATCH(D214,Таблица2[Наименование материала],0))</f>
        <v>0</v>
      </c>
      <c r="M214" s="979">
        <f t="shared" si="5"/>
        <v>0</v>
      </c>
      <c r="O214" s="934">
        <f t="shared" si="7"/>
        <v>0</v>
      </c>
      <c r="Q214" s="957"/>
      <c r="R214" s="957"/>
      <c r="S214" s="957"/>
      <c r="T214" s="957"/>
      <c r="U214" s="957"/>
      <c r="V214" s="957"/>
      <c r="W214" s="957"/>
      <c r="X214" s="934"/>
      <c r="Y214" s="934"/>
      <c r="Z214" s="934"/>
      <c r="AA214" s="934"/>
      <c r="AB214" s="987"/>
      <c r="AC214" s="934"/>
      <c r="AD214" s="934"/>
      <c r="AE214" s="934"/>
      <c r="AF214" s="934"/>
      <c r="AG214" s="934"/>
      <c r="AH214" s="934"/>
      <c r="AI214" s="934"/>
      <c r="AJ214" s="934"/>
    </row>
    <row r="215" spans="1:36" ht="15" hidden="1" customHeight="1">
      <c r="B215" s="1432"/>
      <c r="C215" s="898" t="s">
        <v>1041</v>
      </c>
      <c r="D215" s="732" t="s">
        <v>815</v>
      </c>
      <c r="E215" s="733"/>
      <c r="F215" s="733"/>
      <c r="G215" s="733" t="s">
        <v>1477</v>
      </c>
      <c r="H215" s="749"/>
      <c r="I215" s="734" t="s">
        <v>112</v>
      </c>
      <c r="J215" s="736">
        <v>0</v>
      </c>
      <c r="K215" s="977">
        <f>IFERROR(_xlfn.CEILING.MATH(J215,INDEX('СВОДНАЯ СПЕЦИФИКАЦИЯ'!$C$10:$C$408,MATCH(D215,'СВОДНАЯ СПЕЦИФИКАЦИЯ'!$D$10:$D$408,0))),"Введите кол-во")</f>
        <v>0</v>
      </c>
      <c r="L215" s="978">
        <f>INDEX('СВОДНАЯ СПЕЦИФИКАЦИЯ'!$H$10:$H$408,MATCH(D215,Таблица2[Наименование материала],0))</f>
        <v>0</v>
      </c>
      <c r="M215" s="979">
        <f t="shared" si="5"/>
        <v>0</v>
      </c>
      <c r="O215" s="934">
        <f t="shared" si="7"/>
        <v>0</v>
      </c>
      <c r="Q215" s="957"/>
      <c r="R215" s="957"/>
      <c r="S215" s="957"/>
      <c r="T215" s="957"/>
      <c r="U215" s="957"/>
      <c r="V215" s="957"/>
      <c r="W215" s="957"/>
      <c r="X215" s="934"/>
      <c r="Y215" s="934"/>
      <c r="Z215" s="934"/>
      <c r="AA215" s="934"/>
      <c r="AB215" s="987"/>
      <c r="AC215" s="934"/>
      <c r="AD215" s="934"/>
      <c r="AE215" s="934"/>
      <c r="AF215" s="934"/>
      <c r="AG215" s="934"/>
      <c r="AH215" s="934"/>
      <c r="AI215" s="934"/>
      <c r="AJ215" s="934"/>
    </row>
    <row r="216" spans="1:36" ht="15" hidden="1" customHeight="1">
      <c r="B216" s="1432"/>
      <c r="C216" s="898" t="s">
        <v>1067</v>
      </c>
      <c r="D216" s="732" t="s">
        <v>187</v>
      </c>
      <c r="E216" s="733"/>
      <c r="F216" s="733"/>
      <c r="G216" s="733" t="s">
        <v>1477</v>
      </c>
      <c r="H216" s="749"/>
      <c r="I216" s="734" t="s">
        <v>112</v>
      </c>
      <c r="J216" s="736">
        <v>0</v>
      </c>
      <c r="K216" s="977">
        <f>IFERROR(_xlfn.CEILING.MATH(J216,INDEX('СВОДНАЯ СПЕЦИФИКАЦИЯ'!$C$10:$C$408,MATCH(D216,'СВОДНАЯ СПЕЦИФИКАЦИЯ'!$D$10:$D$408,0))),"Введите кол-во")</f>
        <v>0</v>
      </c>
      <c r="L216" s="978">
        <f>INDEX('СВОДНАЯ СПЕЦИФИКАЦИЯ'!$H$10:$H$408,MATCH(D216,Таблица2[Наименование материала],0))</f>
        <v>0</v>
      </c>
      <c r="M216" s="979">
        <f t="shared" si="5"/>
        <v>0</v>
      </c>
      <c r="O216" s="934">
        <f t="shared" si="7"/>
        <v>0</v>
      </c>
      <c r="Q216" s="957"/>
      <c r="R216" s="957"/>
      <c r="S216" s="957"/>
      <c r="T216" s="957"/>
      <c r="U216" s="957"/>
      <c r="V216" s="957"/>
      <c r="W216" s="957"/>
      <c r="X216" s="934"/>
      <c r="Y216" s="934"/>
      <c r="Z216" s="934"/>
      <c r="AA216" s="934"/>
      <c r="AB216" s="987"/>
      <c r="AC216" s="934"/>
      <c r="AD216" s="934"/>
      <c r="AE216" s="934"/>
      <c r="AF216" s="934"/>
      <c r="AG216" s="934"/>
      <c r="AH216" s="934"/>
      <c r="AI216" s="934"/>
      <c r="AJ216" s="934"/>
    </row>
    <row r="217" spans="1:36" ht="15" hidden="1" customHeight="1">
      <c r="A217" s="940"/>
      <c r="B217" s="1432"/>
      <c r="C217" s="911" t="s">
        <v>296</v>
      </c>
      <c r="D217" s="732" t="s">
        <v>526</v>
      </c>
      <c r="E217" s="733"/>
      <c r="F217" s="733"/>
      <c r="G217" s="733"/>
      <c r="H217" s="749"/>
      <c r="I217" s="734" t="s">
        <v>183</v>
      </c>
      <c r="J217" s="736">
        <v>0</v>
      </c>
      <c r="K217" s="977" t="str">
        <f>IFERROR(_xlfn.CEILING.MATH(J217,INDEX('СВОДНАЯ СПЕЦИФИКАЦИЯ'!$C$10:$C$408,MATCH(D217,'СВОДНАЯ СПЕЦИФИКАЦИЯ'!$D$10:$D$408,0))),"Введите кол-во")</f>
        <v>Введите кол-во</v>
      </c>
      <c r="L217" s="978">
        <f>INDEX('СВОДНАЯ СПЕЦИФИКАЦИЯ'!$H$10:$H$408,MATCH(D217,Таблица2[Наименование материала],0))</f>
        <v>0</v>
      </c>
      <c r="M217" s="979">
        <f t="shared" si="5"/>
        <v>0</v>
      </c>
      <c r="O217" s="934">
        <f t="shared" si="7"/>
        <v>0</v>
      </c>
      <c r="Q217" s="957"/>
      <c r="R217" s="957"/>
      <c r="S217" s="957"/>
      <c r="T217" s="957"/>
      <c r="U217" s="957"/>
      <c r="V217" s="957"/>
      <c r="W217" s="957"/>
      <c r="X217" s="934"/>
      <c r="Y217" s="934"/>
      <c r="Z217" s="934"/>
      <c r="AA217" s="934"/>
      <c r="AB217" s="987"/>
      <c r="AC217" s="934"/>
      <c r="AD217" s="934"/>
      <c r="AE217" s="934"/>
      <c r="AF217" s="934"/>
      <c r="AG217" s="934"/>
      <c r="AH217" s="934"/>
      <c r="AI217" s="934"/>
      <c r="AJ217" s="934"/>
    </row>
    <row r="218" spans="1:36" ht="15" hidden="1" customHeight="1">
      <c r="B218" s="1432"/>
      <c r="C218" s="898">
        <v>22450</v>
      </c>
      <c r="D218" s="732" t="s">
        <v>819</v>
      </c>
      <c r="E218" s="733"/>
      <c r="F218" s="733"/>
      <c r="G218" s="733" t="s">
        <v>1478</v>
      </c>
      <c r="H218" s="749"/>
      <c r="I218" s="751" t="s">
        <v>112</v>
      </c>
      <c r="J218" s="736">
        <v>0</v>
      </c>
      <c r="K218" s="977">
        <f>IFERROR(_xlfn.CEILING.MATH(J218,INDEX('СВОДНАЯ СПЕЦИФИКАЦИЯ'!$C$10:$C$408,MATCH(D218,'СВОДНАЯ СПЕЦИФИКАЦИЯ'!$D$10:$D$408,0))),"Введите кол-во")</f>
        <v>0</v>
      </c>
      <c r="L218" s="978">
        <f>INDEX('СВОДНАЯ СПЕЦИФИКАЦИЯ'!$H$10:$H$408,MATCH(D218,Таблица2[Наименование материала],0))</f>
        <v>0</v>
      </c>
      <c r="M218" s="979">
        <f t="shared" si="5"/>
        <v>0</v>
      </c>
      <c r="O218" s="934">
        <f t="shared" si="7"/>
        <v>0</v>
      </c>
      <c r="Q218" s="957"/>
      <c r="R218" s="957"/>
      <c r="S218" s="957"/>
      <c r="T218" s="957"/>
      <c r="U218" s="957"/>
      <c r="V218" s="957"/>
      <c r="W218" s="957"/>
      <c r="X218" s="934"/>
      <c r="Y218" s="934"/>
      <c r="Z218" s="934"/>
      <c r="AA218" s="934"/>
      <c r="AB218" s="987"/>
      <c r="AC218" s="934"/>
      <c r="AD218" s="934"/>
      <c r="AE218" s="934"/>
      <c r="AF218" s="934"/>
      <c r="AG218" s="934"/>
      <c r="AH218" s="934"/>
      <c r="AI218" s="934"/>
      <c r="AJ218" s="934"/>
    </row>
    <row r="219" spans="1:36" ht="15" hidden="1" customHeight="1">
      <c r="B219" s="1432"/>
      <c r="C219" s="911" t="s">
        <v>296</v>
      </c>
      <c r="D219" s="732" t="s">
        <v>820</v>
      </c>
      <c r="E219" s="733"/>
      <c r="F219" s="733"/>
      <c r="G219" s="733" t="s">
        <v>1478</v>
      </c>
      <c r="H219" s="749"/>
      <c r="I219" s="751" t="s">
        <v>112</v>
      </c>
      <c r="J219" s="736">
        <v>0</v>
      </c>
      <c r="K219" s="977">
        <f>IFERROR(_xlfn.CEILING.MATH(J219,INDEX('СВОДНАЯ СПЕЦИФИКАЦИЯ'!$C$10:$C$408,MATCH(D219,'СВОДНАЯ СПЕЦИФИКАЦИЯ'!$D$10:$D$408,0))),"Введите кол-во")</f>
        <v>0</v>
      </c>
      <c r="L219" s="978">
        <f>INDEX('СВОДНАЯ СПЕЦИФИКАЦИЯ'!$H$10:$H$408,MATCH(D219,Таблица2[Наименование материала],0))</f>
        <v>0</v>
      </c>
      <c r="M219" s="979">
        <f t="shared" si="5"/>
        <v>0</v>
      </c>
      <c r="O219" s="934">
        <f t="shared" si="7"/>
        <v>0</v>
      </c>
      <c r="Q219" s="957"/>
      <c r="R219" s="957"/>
      <c r="S219" s="957"/>
      <c r="T219" s="957"/>
      <c r="U219" s="957"/>
      <c r="V219" s="957"/>
      <c r="W219" s="957"/>
      <c r="X219" s="934"/>
      <c r="Y219" s="934"/>
      <c r="Z219" s="934" t="s">
        <v>1038</v>
      </c>
      <c r="AA219" s="934"/>
      <c r="AB219" s="987"/>
      <c r="AC219" s="934"/>
      <c r="AD219" s="934"/>
      <c r="AE219" s="934"/>
      <c r="AF219" s="934"/>
      <c r="AG219" s="934"/>
      <c r="AH219" s="934"/>
      <c r="AI219" s="934"/>
      <c r="AJ219" s="934"/>
    </row>
    <row r="220" spans="1:36" ht="15" hidden="1" customHeight="1">
      <c r="B220" s="1432"/>
      <c r="C220" s="898" t="s">
        <v>1042</v>
      </c>
      <c r="D220" s="732" t="s">
        <v>821</v>
      </c>
      <c r="E220" s="733"/>
      <c r="F220" s="733"/>
      <c r="G220" s="733" t="s">
        <v>1477</v>
      </c>
      <c r="H220" s="749"/>
      <c r="I220" s="751" t="s">
        <v>112</v>
      </c>
      <c r="J220" s="736">
        <v>0</v>
      </c>
      <c r="K220" s="977">
        <f>IFERROR(_xlfn.CEILING.MATH(J220,INDEX('СВОДНАЯ СПЕЦИФИКАЦИЯ'!$C$10:$C$408,MATCH(D220,'СВОДНАЯ СПЕЦИФИКАЦИЯ'!$D$10:$D$408,0))),"Введите кол-во")</f>
        <v>0</v>
      </c>
      <c r="L220" s="978">
        <f>INDEX('СВОДНАЯ СПЕЦИФИКАЦИЯ'!$H$10:$H$408,MATCH(D220,Таблица2[Наименование материала],0))</f>
        <v>0</v>
      </c>
      <c r="M220" s="979">
        <f t="shared" si="5"/>
        <v>0</v>
      </c>
      <c r="O220" s="934">
        <f t="shared" si="7"/>
        <v>0</v>
      </c>
      <c r="Q220" s="957"/>
      <c r="R220" s="957"/>
      <c r="S220" s="957"/>
      <c r="T220" s="957"/>
      <c r="U220" s="957"/>
      <c r="V220" s="957"/>
      <c r="W220" s="957"/>
      <c r="X220" s="934"/>
      <c r="Y220" s="934"/>
      <c r="Z220" s="934"/>
      <c r="AA220" s="934"/>
      <c r="AB220" s="987"/>
      <c r="AC220" s="934"/>
      <c r="AD220" s="934"/>
      <c r="AE220" s="934"/>
      <c r="AF220" s="934"/>
      <c r="AG220" s="934"/>
      <c r="AH220" s="934"/>
      <c r="AI220" s="934"/>
      <c r="AJ220" s="934"/>
    </row>
    <row r="221" spans="1:36" ht="15" hidden="1" customHeight="1">
      <c r="A221" s="940"/>
      <c r="B221" s="1432"/>
      <c r="C221" s="898" t="s">
        <v>1098</v>
      </c>
      <c r="D221" s="732" t="s">
        <v>1103</v>
      </c>
      <c r="E221" s="733"/>
      <c r="F221" s="733"/>
      <c r="G221" s="733"/>
      <c r="H221" s="749"/>
      <c r="I221" s="734" t="s">
        <v>112</v>
      </c>
      <c r="J221" s="736">
        <v>0</v>
      </c>
      <c r="K221" s="977">
        <f>IFERROR(_xlfn.CEILING.MATH(J221,INDEX('СВОДНАЯ СПЕЦИФИКАЦИЯ'!$C$10:$C$408,MATCH(D221,'СВОДНАЯ СПЕЦИФИКАЦИЯ'!$D$10:$D$408,0))),"Введите кол-во")</f>
        <v>0</v>
      </c>
      <c r="L221" s="978">
        <f>INDEX('СВОДНАЯ СПЕЦИФИКАЦИЯ'!$H$10:$H$408,MATCH(D221,Таблица2[Наименование материала],0))</f>
        <v>0</v>
      </c>
      <c r="M221" s="979">
        <f t="shared" si="5"/>
        <v>0</v>
      </c>
      <c r="O221" s="934">
        <f t="shared" si="7"/>
        <v>0</v>
      </c>
      <c r="Q221" s="957"/>
      <c r="R221" s="957"/>
      <c r="S221" s="957"/>
      <c r="T221" s="957"/>
      <c r="U221" s="957"/>
      <c r="V221" s="957"/>
      <c r="W221" s="957"/>
      <c r="X221" s="934"/>
      <c r="Y221" s="934"/>
      <c r="Z221" s="934"/>
      <c r="AA221" s="934"/>
      <c r="AB221" s="987"/>
      <c r="AC221" s="934"/>
      <c r="AD221" s="934"/>
      <c r="AE221" s="934"/>
      <c r="AF221" s="934"/>
      <c r="AG221" s="934"/>
      <c r="AH221" s="934"/>
      <c r="AI221" s="934"/>
      <c r="AJ221" s="934"/>
    </row>
    <row r="222" spans="1:36" ht="15" hidden="1" customHeight="1">
      <c r="B222" s="1432"/>
      <c r="C222" s="910" t="s">
        <v>296</v>
      </c>
      <c r="D222" s="732" t="s">
        <v>818</v>
      </c>
      <c r="E222" s="733"/>
      <c r="F222" s="733"/>
      <c r="G222" s="733" t="s">
        <v>1478</v>
      </c>
      <c r="H222" s="749"/>
      <c r="I222" s="734" t="s">
        <v>112</v>
      </c>
      <c r="J222" s="736">
        <v>0</v>
      </c>
      <c r="K222" s="977">
        <f>IFERROR(_xlfn.CEILING.MATH(J222,INDEX('СВОДНАЯ СПЕЦИФИКАЦИЯ'!$C$10:$C$408,MATCH(D222,'СВОДНАЯ СПЕЦИФИКАЦИЯ'!$D$10:$D$408,0))),"Введите кол-во")</f>
        <v>0</v>
      </c>
      <c r="L222" s="978">
        <f>INDEX('СВОДНАЯ СПЕЦИФИКАЦИЯ'!$H$10:$H$408,MATCH(D222,Таблица2[Наименование материала],0))</f>
        <v>0</v>
      </c>
      <c r="M222" s="979">
        <f t="shared" si="5"/>
        <v>0</v>
      </c>
      <c r="O222" s="934">
        <f t="shared" si="7"/>
        <v>0</v>
      </c>
      <c r="Q222" s="957"/>
      <c r="R222" s="957"/>
      <c r="S222" s="957"/>
      <c r="T222" s="957"/>
      <c r="U222" s="957"/>
      <c r="V222" s="957"/>
      <c r="W222" s="957"/>
      <c r="X222" s="934"/>
      <c r="Y222" s="934"/>
      <c r="Z222" s="934" t="s">
        <v>1038</v>
      </c>
      <c r="AA222" s="934"/>
      <c r="AB222" s="987"/>
      <c r="AC222" s="934"/>
      <c r="AD222" s="934"/>
      <c r="AE222" s="934"/>
      <c r="AF222" s="934"/>
      <c r="AG222" s="934"/>
      <c r="AH222" s="934"/>
      <c r="AI222" s="934"/>
      <c r="AJ222" s="934"/>
    </row>
    <row r="223" spans="1:36" ht="15" hidden="1" customHeight="1">
      <c r="B223" s="1432"/>
      <c r="C223" s="898" t="s">
        <v>704</v>
      </c>
      <c r="D223" s="732" t="s">
        <v>192</v>
      </c>
      <c r="E223" s="733"/>
      <c r="F223" s="733"/>
      <c r="G223" s="733"/>
      <c r="H223" s="749"/>
      <c r="I223" s="734" t="s">
        <v>112</v>
      </c>
      <c r="J223" s="736">
        <v>0</v>
      </c>
      <c r="K223" s="977">
        <f>IFERROR(_xlfn.CEILING.MATH(J223,INDEX('СВОДНАЯ СПЕЦИФИКАЦИЯ'!$C$10:$C$408,MATCH(D223,'СВОДНАЯ СПЕЦИФИКАЦИЯ'!$D$10:$D$408,0))),"Введите кол-во")</f>
        <v>0</v>
      </c>
      <c r="L223" s="978">
        <f>INDEX('СВОДНАЯ СПЕЦИФИКАЦИЯ'!$H$10:$H$408,MATCH(D223,Таблица2[Наименование материала],0))</f>
        <v>0</v>
      </c>
      <c r="M223" s="979">
        <f t="shared" si="5"/>
        <v>0</v>
      </c>
      <c r="O223" s="934">
        <f t="shared" si="7"/>
        <v>0</v>
      </c>
      <c r="Q223" s="957"/>
      <c r="R223" s="957"/>
      <c r="S223" s="957"/>
      <c r="T223" s="957"/>
      <c r="U223" s="957"/>
      <c r="V223" s="957"/>
      <c r="W223" s="957"/>
      <c r="X223" s="934"/>
      <c r="Y223" s="934"/>
      <c r="Z223" s="934"/>
      <c r="AA223" s="934"/>
      <c r="AB223" s="987"/>
      <c r="AC223" s="934"/>
      <c r="AD223" s="934"/>
      <c r="AE223" s="934"/>
      <c r="AF223" s="934"/>
      <c r="AG223" s="934"/>
      <c r="AH223" s="934"/>
      <c r="AI223" s="934"/>
      <c r="AJ223" s="934"/>
    </row>
    <row r="224" spans="1:36" ht="15" hidden="1" customHeight="1">
      <c r="B224" s="1432"/>
      <c r="C224" s="898" t="s">
        <v>766</v>
      </c>
      <c r="D224" s="732" t="s">
        <v>193</v>
      </c>
      <c r="E224" s="733"/>
      <c r="F224" s="733"/>
      <c r="G224" s="733"/>
      <c r="H224" s="749"/>
      <c r="I224" s="734" t="s">
        <v>112</v>
      </c>
      <c r="J224" s="736">
        <v>0</v>
      </c>
      <c r="K224" s="977">
        <f>IFERROR(_xlfn.CEILING.MATH(J224,INDEX('СВОДНАЯ СПЕЦИФИКАЦИЯ'!$C$10:$C$408,MATCH(D224,'СВОДНАЯ СПЕЦИФИКАЦИЯ'!$D$10:$D$408,0))),"Введите кол-во")</f>
        <v>0</v>
      </c>
      <c r="L224" s="978">
        <f>INDEX('СВОДНАЯ СПЕЦИФИКАЦИЯ'!$H$10:$H$408,MATCH(D224,Таблица2[Наименование материала],0))</f>
        <v>0</v>
      </c>
      <c r="M224" s="979">
        <f t="shared" si="5"/>
        <v>0</v>
      </c>
      <c r="O224" s="934">
        <f t="shared" si="7"/>
        <v>0</v>
      </c>
      <c r="Q224" s="957"/>
      <c r="R224" s="957"/>
      <c r="S224" s="957"/>
      <c r="T224" s="957"/>
      <c r="U224" s="957"/>
      <c r="V224" s="957"/>
      <c r="W224" s="957"/>
      <c r="X224" s="934"/>
      <c r="Y224" s="934"/>
      <c r="Z224" s="934"/>
      <c r="AA224" s="934"/>
      <c r="AB224" s="987"/>
      <c r="AC224" s="934"/>
      <c r="AD224" s="934"/>
      <c r="AE224" s="934"/>
      <c r="AF224" s="934"/>
      <c r="AG224" s="934"/>
      <c r="AH224" s="934"/>
      <c r="AI224" s="934"/>
      <c r="AJ224" s="934"/>
    </row>
    <row r="225" spans="1:36" ht="15" customHeight="1">
      <c r="B225" s="1432"/>
      <c r="C225" s="909" t="s">
        <v>296</v>
      </c>
      <c r="D225" s="732" t="s">
        <v>390</v>
      </c>
      <c r="E225" s="733"/>
      <c r="F225" s="733"/>
      <c r="G225" s="733"/>
      <c r="H225" s="749"/>
      <c r="I225" s="734" t="s">
        <v>112</v>
      </c>
      <c r="J225" s="736">
        <v>2015</v>
      </c>
      <c r="K225" s="977">
        <f>IFERROR(_xlfn.CEILING.MATH(J225,INDEX('СВОДНАЯ СПЕЦИФИКАЦИЯ'!$C$10:$C$408,MATCH(D225,'СВОДНАЯ СПЕЦИФИКАЦИЯ'!$D$10:$D$408,0))),"Введите кол-во")</f>
        <v>2047.5</v>
      </c>
      <c r="L225" s="978">
        <f>INDEX('СВОДНАЯ СПЕЦИФИКАЦИЯ'!$H$10:$H$408,MATCH(D225,Таблица2[Наименование материала],0))</f>
        <v>0</v>
      </c>
      <c r="M225" s="979">
        <f t="shared" si="5"/>
        <v>0</v>
      </c>
      <c r="O225" s="934">
        <f t="shared" si="7"/>
        <v>1</v>
      </c>
      <c r="Q225" s="957"/>
      <c r="R225" s="957"/>
      <c r="S225" s="957"/>
      <c r="T225" s="957"/>
      <c r="U225" s="957"/>
      <c r="V225" s="957"/>
      <c r="W225" s="957"/>
      <c r="X225" s="934"/>
      <c r="Y225" s="934"/>
      <c r="Z225" s="934"/>
      <c r="AA225" s="934"/>
      <c r="AB225" s="987"/>
      <c r="AC225" s="934"/>
      <c r="AD225" s="934"/>
      <c r="AE225" s="934"/>
      <c r="AF225" s="934"/>
      <c r="AG225" s="934"/>
      <c r="AH225" s="934"/>
      <c r="AI225" s="934"/>
      <c r="AJ225" s="934"/>
    </row>
    <row r="226" spans="1:36" ht="15" hidden="1" customHeight="1">
      <c r="B226" s="1432"/>
      <c r="C226" s="909" t="s">
        <v>1068</v>
      </c>
      <c r="D226" s="732" t="s">
        <v>391</v>
      </c>
      <c r="E226" s="733"/>
      <c r="F226" s="733"/>
      <c r="G226" s="733"/>
      <c r="H226" s="749"/>
      <c r="I226" s="734" t="s">
        <v>112</v>
      </c>
      <c r="J226" s="736">
        <v>0</v>
      </c>
      <c r="K226" s="977">
        <f>IFERROR(_xlfn.CEILING.MATH(J226,INDEX('СВОДНАЯ СПЕЦИФИКАЦИЯ'!$C$10:$C$408,MATCH(D226,'СВОДНАЯ СПЕЦИФИКАЦИЯ'!$D$10:$D$408,0))),"Введите кол-во")</f>
        <v>0</v>
      </c>
      <c r="L226" s="978">
        <f>INDEX('СВОДНАЯ СПЕЦИФИКАЦИЯ'!$H$10:$H$408,MATCH(D226,Таблица2[Наименование материала],0))</f>
        <v>0</v>
      </c>
      <c r="M226" s="979">
        <f t="shared" si="5"/>
        <v>0</v>
      </c>
      <c r="O226" s="934">
        <f t="shared" si="7"/>
        <v>0</v>
      </c>
      <c r="Q226" s="957"/>
      <c r="R226" s="957"/>
      <c r="S226" s="957"/>
      <c r="T226" s="957"/>
      <c r="U226" s="957"/>
      <c r="V226" s="957"/>
      <c r="W226" s="957"/>
      <c r="X226" s="934"/>
      <c r="Y226" s="934"/>
      <c r="Z226" s="934"/>
      <c r="AA226" s="934"/>
      <c r="AB226" s="987"/>
      <c r="AC226" s="934"/>
      <c r="AD226" s="934"/>
      <c r="AE226" s="934"/>
      <c r="AF226" s="934"/>
      <c r="AG226" s="934"/>
      <c r="AH226" s="934"/>
      <c r="AI226" s="934"/>
      <c r="AJ226" s="934"/>
    </row>
    <row r="227" spans="1:36" ht="15" hidden="1" customHeight="1">
      <c r="B227" s="1432"/>
      <c r="C227" s="909" t="s">
        <v>1070</v>
      </c>
      <c r="D227" s="732" t="s">
        <v>392</v>
      </c>
      <c r="E227" s="733"/>
      <c r="F227" s="733"/>
      <c r="G227" s="733"/>
      <c r="H227" s="749"/>
      <c r="I227" s="734" t="s">
        <v>112</v>
      </c>
      <c r="J227" s="736">
        <v>0</v>
      </c>
      <c r="K227" s="977">
        <f>IFERROR(_xlfn.CEILING.MATH(J227,INDEX('СВОДНАЯ СПЕЦИФИКАЦИЯ'!$C$10:$C$408,MATCH(D227,'СВОДНАЯ СПЕЦИФИКАЦИЯ'!$D$10:$D$408,0))),"Введите кол-во")</f>
        <v>0</v>
      </c>
      <c r="L227" s="978">
        <f>INDEX('СВОДНАЯ СПЕЦИФИКАЦИЯ'!$H$10:$H$408,MATCH(D227,Таблица2[Наименование материала],0))</f>
        <v>0</v>
      </c>
      <c r="M227" s="979">
        <f t="shared" si="5"/>
        <v>0</v>
      </c>
      <c r="O227" s="934">
        <f t="shared" si="7"/>
        <v>0</v>
      </c>
      <c r="Q227" s="957"/>
      <c r="R227" s="957"/>
      <c r="S227" s="957"/>
      <c r="T227" s="957"/>
      <c r="U227" s="957"/>
      <c r="V227" s="957"/>
      <c r="W227" s="957"/>
      <c r="X227" s="934"/>
      <c r="Y227" s="934"/>
      <c r="Z227" s="934"/>
      <c r="AA227" s="934"/>
      <c r="AB227" s="987"/>
      <c r="AC227" s="934"/>
      <c r="AD227" s="934"/>
      <c r="AE227" s="934"/>
      <c r="AF227" s="934"/>
      <c r="AG227" s="934"/>
      <c r="AH227" s="934"/>
      <c r="AI227" s="934"/>
      <c r="AJ227" s="934"/>
    </row>
    <row r="228" spans="1:36" ht="15" hidden="1" customHeight="1">
      <c r="A228" s="940"/>
      <c r="B228" s="1432"/>
      <c r="C228" s="909" t="s">
        <v>1095</v>
      </c>
      <c r="D228" s="732" t="s">
        <v>350</v>
      </c>
      <c r="E228" s="733"/>
      <c r="F228" s="733"/>
      <c r="G228" s="733"/>
      <c r="H228" s="749"/>
      <c r="I228" s="734" t="s">
        <v>112</v>
      </c>
      <c r="J228" s="736">
        <v>0</v>
      </c>
      <c r="K228" s="977">
        <f>IFERROR(_xlfn.CEILING.MATH(J228,INDEX('СВОДНАЯ СПЕЦИФИКАЦИЯ'!$C$10:$C$408,MATCH(D228,'СВОДНАЯ СПЕЦИФИКАЦИЯ'!$D$10:$D$408,0))),"Введите кол-во")</f>
        <v>0</v>
      </c>
      <c r="L228" s="978">
        <f>INDEX('СВОДНАЯ СПЕЦИФИКАЦИЯ'!$H$10:$H$408,MATCH(D228,Таблица2[Наименование материала],0))</f>
        <v>0</v>
      </c>
      <c r="M228" s="979">
        <f t="shared" ref="M228:M291" si="8">IFERROR(K228*L228,0)</f>
        <v>0</v>
      </c>
      <c r="O228" s="934">
        <f t="shared" si="7"/>
        <v>0</v>
      </c>
      <c r="Q228" s="957"/>
      <c r="R228" s="957"/>
      <c r="S228" s="957"/>
      <c r="T228" s="957"/>
      <c r="U228" s="957"/>
      <c r="V228" s="957"/>
      <c r="W228" s="957"/>
      <c r="X228" s="934"/>
      <c r="Y228" s="934"/>
      <c r="Z228" s="934"/>
      <c r="AA228" s="934"/>
      <c r="AB228" s="987"/>
      <c r="AC228" s="934"/>
      <c r="AD228" s="934"/>
      <c r="AE228" s="934"/>
      <c r="AF228" s="934"/>
      <c r="AG228" s="934"/>
      <c r="AH228" s="934"/>
      <c r="AI228" s="934"/>
      <c r="AJ228" s="934"/>
    </row>
    <row r="229" spans="1:36" ht="15" hidden="1" customHeight="1">
      <c r="A229" s="994"/>
      <c r="B229" s="1432"/>
      <c r="C229" s="909" t="s">
        <v>296</v>
      </c>
      <c r="D229" s="732" t="s">
        <v>341</v>
      </c>
      <c r="E229" s="733"/>
      <c r="F229" s="733"/>
      <c r="G229" s="733"/>
      <c r="H229" s="749"/>
      <c r="I229" s="734" t="s">
        <v>151</v>
      </c>
      <c r="J229" s="750">
        <v>0</v>
      </c>
      <c r="K229" s="977" t="str">
        <f>IFERROR(_xlfn.CEILING.MATH(J229,INDEX('СВОДНАЯ СПЕЦИФИКАЦИЯ'!$C$10:$C$408,MATCH(D229,'СВОДНАЯ СПЕЦИФИКАЦИЯ'!$D$10:$D$408,0))),"Введите кол-во")</f>
        <v>Введите кол-во</v>
      </c>
      <c r="L229" s="978">
        <f>INDEX('СВОДНАЯ СПЕЦИФИКАЦИЯ'!$H$10:$H$408,MATCH(D229,Таблица2[Наименование материала],0))</f>
        <v>0</v>
      </c>
      <c r="M229" s="979">
        <f t="shared" si="8"/>
        <v>0</v>
      </c>
      <c r="O229" s="934">
        <f t="shared" si="7"/>
        <v>0</v>
      </c>
      <c r="Q229" s="957"/>
      <c r="R229" s="957"/>
      <c r="S229" s="957"/>
      <c r="T229" s="957"/>
      <c r="U229" s="957"/>
      <c r="V229" s="957"/>
      <c r="W229" s="957"/>
      <c r="X229" s="934"/>
      <c r="Y229" s="934"/>
      <c r="Z229" s="934"/>
      <c r="AA229" s="934"/>
      <c r="AB229" s="987"/>
      <c r="AC229" s="934"/>
      <c r="AD229" s="934"/>
      <c r="AE229" s="934"/>
      <c r="AF229" s="934"/>
      <c r="AG229" s="934"/>
      <c r="AH229" s="934"/>
      <c r="AI229" s="934"/>
      <c r="AJ229" s="934"/>
    </row>
    <row r="230" spans="1:36" ht="15" hidden="1" customHeight="1">
      <c r="A230" s="940"/>
      <c r="B230" s="1432"/>
      <c r="C230" s="909" t="s">
        <v>1091</v>
      </c>
      <c r="D230" s="732" t="s">
        <v>343</v>
      </c>
      <c r="E230" s="733"/>
      <c r="F230" s="733"/>
      <c r="G230" s="733"/>
      <c r="H230" s="749"/>
      <c r="I230" s="734" t="s">
        <v>151</v>
      </c>
      <c r="J230" s="750">
        <v>0</v>
      </c>
      <c r="K230" s="977" t="str">
        <f>IFERROR(_xlfn.CEILING.MATH(J230,INDEX('СВОДНАЯ СПЕЦИФИКАЦИЯ'!$C$10:$C$408,MATCH(D230,'СВОДНАЯ СПЕЦИФИКАЦИЯ'!$D$10:$D$408,0))),"Введите кол-во")</f>
        <v>Введите кол-во</v>
      </c>
      <c r="L230" s="978">
        <f>INDEX('СВОДНАЯ СПЕЦИФИКАЦИЯ'!$H$10:$H$408,MATCH(D230,Таблица2[Наименование материала],0))</f>
        <v>0</v>
      </c>
      <c r="M230" s="979">
        <f t="shared" si="8"/>
        <v>0</v>
      </c>
      <c r="O230" s="934">
        <f t="shared" si="7"/>
        <v>0</v>
      </c>
      <c r="Q230" s="957"/>
      <c r="R230" s="957"/>
      <c r="S230" s="957"/>
      <c r="T230" s="957"/>
      <c r="U230" s="957"/>
      <c r="V230" s="957"/>
      <c r="W230" s="957"/>
      <c r="X230" s="934"/>
      <c r="Y230" s="934"/>
      <c r="Z230" s="934"/>
      <c r="AA230" s="934"/>
      <c r="AB230" s="987"/>
      <c r="AC230" s="934"/>
      <c r="AD230" s="934"/>
      <c r="AE230" s="934"/>
      <c r="AF230" s="934"/>
      <c r="AG230" s="934"/>
      <c r="AH230" s="934"/>
      <c r="AI230" s="934"/>
      <c r="AJ230" s="934"/>
    </row>
    <row r="231" spans="1:36" ht="15" hidden="1" customHeight="1">
      <c r="B231" s="1432"/>
      <c r="C231" s="909" t="s">
        <v>1148</v>
      </c>
      <c r="D231" s="732" t="s">
        <v>1147</v>
      </c>
      <c r="E231" s="733"/>
      <c r="F231" s="733"/>
      <c r="G231" s="733"/>
      <c r="H231" s="749"/>
      <c r="I231" s="734" t="s">
        <v>151</v>
      </c>
      <c r="J231" s="750">
        <v>0</v>
      </c>
      <c r="K231" s="977">
        <f>IFERROR(_xlfn.CEILING.MATH(J231,INDEX('СВОДНАЯ СПЕЦИФИКАЦИЯ'!$C$10:$C$408,MATCH(D231,'СВОДНАЯ СПЕЦИФИКАЦИЯ'!$D$10:$D$408,0))),"Введите кол-во")</f>
        <v>0</v>
      </c>
      <c r="L231" s="978">
        <f>INDEX('СВОДНАЯ СПЕЦИФИКАЦИЯ'!$H$10:$H$408,MATCH(D231,Таблица2[Наименование материала],0))</f>
        <v>0</v>
      </c>
      <c r="M231" s="979">
        <f t="shared" si="8"/>
        <v>0</v>
      </c>
      <c r="O231" s="934">
        <f t="shared" si="7"/>
        <v>0</v>
      </c>
      <c r="Q231" s="957"/>
      <c r="R231" s="957"/>
      <c r="S231" s="992"/>
      <c r="T231" s="957"/>
      <c r="U231" s="957"/>
      <c r="V231" s="957"/>
      <c r="W231" s="957"/>
      <c r="X231" s="934"/>
      <c r="Y231" s="934"/>
      <c r="Z231" s="934"/>
      <c r="AA231" s="934"/>
      <c r="AB231" s="987"/>
      <c r="AC231" s="934"/>
      <c r="AD231" s="934"/>
      <c r="AE231" s="934"/>
      <c r="AF231" s="934"/>
      <c r="AG231" s="934"/>
      <c r="AH231" s="934"/>
      <c r="AI231" s="934"/>
      <c r="AJ231" s="934"/>
    </row>
    <row r="232" spans="1:36" ht="15" hidden="1" customHeight="1">
      <c r="B232" s="1432"/>
      <c r="C232" s="909" t="s">
        <v>705</v>
      </c>
      <c r="D232" s="732" t="s">
        <v>1149</v>
      </c>
      <c r="E232" s="733"/>
      <c r="F232" s="733"/>
      <c r="G232" s="733"/>
      <c r="H232" s="749"/>
      <c r="I232" s="734" t="s">
        <v>112</v>
      </c>
      <c r="J232" s="736">
        <v>0</v>
      </c>
      <c r="K232" s="977">
        <f>IFERROR(_xlfn.CEILING.MATH(J232,INDEX('СВОДНАЯ СПЕЦИФИКАЦИЯ'!$C$10:$C$408,MATCH(D232,'СВОДНАЯ СПЕЦИФИКАЦИЯ'!$D$10:$D$408,0))),"Введите кол-во")</f>
        <v>0</v>
      </c>
      <c r="L232" s="978">
        <f>INDEX('СВОДНАЯ СПЕЦИФИКАЦИЯ'!$H$10:$H$408,MATCH(D232,Таблица2[Наименование материала],0))</f>
        <v>0</v>
      </c>
      <c r="M232" s="979">
        <f t="shared" si="8"/>
        <v>0</v>
      </c>
      <c r="O232" s="934">
        <f t="shared" si="7"/>
        <v>0</v>
      </c>
      <c r="Q232" s="957"/>
      <c r="R232" s="957"/>
      <c r="S232" s="992"/>
      <c r="T232" s="957"/>
      <c r="U232" s="957"/>
      <c r="V232" s="957"/>
      <c r="W232" s="957"/>
      <c r="X232" s="934"/>
      <c r="Y232" s="934"/>
      <c r="Z232" s="934"/>
      <c r="AA232" s="934"/>
      <c r="AB232" s="987"/>
      <c r="AC232" s="934"/>
      <c r="AD232" s="934"/>
      <c r="AE232" s="934"/>
      <c r="AF232" s="934"/>
      <c r="AG232" s="934"/>
      <c r="AH232" s="934"/>
      <c r="AI232" s="934"/>
      <c r="AJ232" s="934"/>
    </row>
    <row r="233" spans="1:36" ht="15" customHeight="1">
      <c r="B233" s="1432"/>
      <c r="C233" s="909" t="s">
        <v>793</v>
      </c>
      <c r="D233" s="732" t="s">
        <v>1151</v>
      </c>
      <c r="E233" s="733"/>
      <c r="F233" s="733"/>
      <c r="G233" s="733"/>
      <c r="H233" s="749"/>
      <c r="I233" s="734" t="s">
        <v>112</v>
      </c>
      <c r="J233" s="736">
        <v>65</v>
      </c>
      <c r="K233" s="977">
        <f>IFERROR(_xlfn.CEILING.MATH(J233,INDEX('СВОДНАЯ СПЕЦИФИКАЦИЯ'!$C$10:$C$408,MATCH(D233,'СВОДНАЯ СПЕЦИФИКАЦИЯ'!$D$10:$D$408,0))),"Введите кол-во")</f>
        <v>80</v>
      </c>
      <c r="L233" s="978">
        <f>INDEX('СВОДНАЯ СПЕЦИФИКАЦИЯ'!$H$10:$H$408,MATCH(D233,Таблица2[Наименование материала],0))</f>
        <v>0</v>
      </c>
      <c r="M233" s="979">
        <f t="shared" si="8"/>
        <v>0</v>
      </c>
      <c r="O233" s="934">
        <f t="shared" si="7"/>
        <v>1</v>
      </c>
      <c r="Q233" s="957"/>
      <c r="R233" s="957"/>
      <c r="S233" s="992"/>
      <c r="T233" s="957"/>
      <c r="U233" s="957"/>
      <c r="V233" s="957"/>
      <c r="W233" s="957"/>
      <c r="X233" s="934"/>
      <c r="Y233" s="934"/>
      <c r="Z233" s="934"/>
      <c r="AA233" s="934"/>
      <c r="AB233" s="987"/>
      <c r="AC233" s="934"/>
      <c r="AD233" s="934"/>
      <c r="AE233" s="934"/>
      <c r="AF233" s="934"/>
      <c r="AG233" s="934"/>
      <c r="AH233" s="934"/>
      <c r="AI233" s="934"/>
      <c r="AJ233" s="934"/>
    </row>
    <row r="234" spans="1:36" ht="15" customHeight="1">
      <c r="B234" s="1432"/>
      <c r="C234" s="909" t="s">
        <v>764</v>
      </c>
      <c r="D234" s="732" t="s">
        <v>442</v>
      </c>
      <c r="E234" s="733"/>
      <c r="F234" s="733"/>
      <c r="G234" s="733"/>
      <c r="H234" s="749"/>
      <c r="I234" s="734" t="s">
        <v>151</v>
      </c>
      <c r="J234" s="736">
        <v>2</v>
      </c>
      <c r="K234" s="977">
        <f>IFERROR(_xlfn.CEILING.MATH(J234,INDEX('СВОДНАЯ СПЕЦИФИКАЦИЯ'!$C$10:$C$408,MATCH(D234,'СВОДНАЯ СПЕЦИФИКАЦИЯ'!$D$10:$D$408,0))),"Введите кол-во")</f>
        <v>2</v>
      </c>
      <c r="L234" s="978">
        <f>INDEX('СВОДНАЯ СПЕЦИФИКАЦИЯ'!$H$10:$H$408,MATCH(D234,Таблица2[Наименование материала],0))</f>
        <v>0</v>
      </c>
      <c r="M234" s="979">
        <f t="shared" si="8"/>
        <v>0</v>
      </c>
      <c r="O234" s="934">
        <f t="shared" si="7"/>
        <v>1</v>
      </c>
      <c r="Q234" s="957"/>
      <c r="R234" s="957"/>
      <c r="S234" s="992"/>
      <c r="T234" s="957"/>
      <c r="U234" s="957"/>
      <c r="V234" s="957"/>
      <c r="W234" s="957"/>
      <c r="X234" s="934"/>
      <c r="Y234" s="934"/>
      <c r="Z234" s="934"/>
      <c r="AA234" s="934"/>
      <c r="AB234" s="987"/>
      <c r="AC234" s="934"/>
      <c r="AD234" s="934"/>
      <c r="AE234" s="934"/>
      <c r="AF234" s="934"/>
      <c r="AG234" s="934"/>
      <c r="AH234" s="934"/>
      <c r="AI234" s="934"/>
      <c r="AJ234" s="934"/>
    </row>
    <row r="235" spans="1:36" ht="15" hidden="1" customHeight="1">
      <c r="A235" s="940"/>
      <c r="B235" s="1432"/>
      <c r="C235" s="909" t="s">
        <v>835</v>
      </c>
      <c r="D235" s="732" t="s">
        <v>1111</v>
      </c>
      <c r="E235" s="733"/>
      <c r="F235" s="733"/>
      <c r="G235" s="733"/>
      <c r="H235" s="749"/>
      <c r="I235" s="734" t="s">
        <v>151</v>
      </c>
      <c r="J235" s="750">
        <v>0</v>
      </c>
      <c r="K235" s="977">
        <f>IFERROR(_xlfn.CEILING.MATH(J235,INDEX('СВОДНАЯ СПЕЦИФИКАЦИЯ'!$C$10:$C$408,MATCH(D235,'СВОДНАЯ СПЕЦИФИКАЦИЯ'!$D$10:$D$408,0))),"Введите кол-во")</f>
        <v>0</v>
      </c>
      <c r="L235" s="978">
        <f>INDEX('СВОДНАЯ СПЕЦИФИКАЦИЯ'!$H$10:$H$408,MATCH(D235,Таблица2[Наименование материала],0))</f>
        <v>0</v>
      </c>
      <c r="M235" s="979">
        <f t="shared" si="8"/>
        <v>0</v>
      </c>
      <c r="O235" s="934">
        <f t="shared" si="7"/>
        <v>0</v>
      </c>
      <c r="Q235" s="957"/>
      <c r="R235" s="957"/>
      <c r="S235" s="992"/>
      <c r="T235" s="957"/>
      <c r="U235" s="957"/>
      <c r="V235" s="957"/>
      <c r="W235" s="957"/>
      <c r="X235" s="934"/>
      <c r="Y235" s="934"/>
      <c r="Z235" s="934"/>
      <c r="AA235" s="934"/>
      <c r="AB235" s="987"/>
      <c r="AC235" s="934"/>
      <c r="AD235" s="934"/>
      <c r="AE235" s="934"/>
      <c r="AF235" s="934"/>
      <c r="AG235" s="934"/>
      <c r="AH235" s="934"/>
      <c r="AI235" s="934"/>
      <c r="AJ235" s="934"/>
    </row>
    <row r="236" spans="1:36" ht="15" hidden="1" customHeight="1">
      <c r="A236" s="940"/>
      <c r="B236" s="1432"/>
      <c r="C236" s="909" t="s">
        <v>836</v>
      </c>
      <c r="D236" s="732" t="s">
        <v>1110</v>
      </c>
      <c r="E236" s="733"/>
      <c r="F236" s="733"/>
      <c r="G236" s="733"/>
      <c r="H236" s="749"/>
      <c r="I236" s="734" t="s">
        <v>151</v>
      </c>
      <c r="J236" s="750">
        <v>0</v>
      </c>
      <c r="K236" s="977">
        <f>IFERROR(_xlfn.CEILING.MATH(J236,INDEX('СВОДНАЯ СПЕЦИФИКАЦИЯ'!$C$10:$C$408,MATCH(D236,'СВОДНАЯ СПЕЦИФИКАЦИЯ'!$D$10:$D$408,0))),"Введите кол-во")</f>
        <v>0</v>
      </c>
      <c r="L236" s="978">
        <f>INDEX('СВОДНАЯ СПЕЦИФИКАЦИЯ'!$H$10:$H$408,MATCH(D236,Таблица2[Наименование материала],0))</f>
        <v>0</v>
      </c>
      <c r="M236" s="979">
        <f t="shared" si="8"/>
        <v>0</v>
      </c>
      <c r="O236" s="934">
        <f t="shared" si="7"/>
        <v>0</v>
      </c>
      <c r="Q236" s="957"/>
      <c r="R236" s="957"/>
      <c r="S236" s="992"/>
      <c r="T236" s="957"/>
      <c r="U236" s="957"/>
      <c r="V236" s="957"/>
      <c r="W236" s="957"/>
      <c r="X236" s="934"/>
      <c r="Y236" s="934"/>
      <c r="Z236" s="934"/>
      <c r="AA236" s="934"/>
      <c r="AB236" s="987"/>
      <c r="AC236" s="934"/>
      <c r="AD236" s="934"/>
      <c r="AE236" s="934"/>
      <c r="AF236" s="934"/>
      <c r="AG236" s="934"/>
      <c r="AH236" s="934"/>
      <c r="AI236" s="934"/>
      <c r="AJ236" s="934"/>
    </row>
    <row r="237" spans="1:36" ht="15" hidden="1" customHeight="1">
      <c r="B237" s="1432"/>
      <c r="C237" s="909" t="s">
        <v>839</v>
      </c>
      <c r="D237" s="732" t="s">
        <v>694</v>
      </c>
      <c r="E237" s="733"/>
      <c r="F237" s="733"/>
      <c r="G237" s="733"/>
      <c r="H237" s="749"/>
      <c r="I237" s="734" t="s">
        <v>151</v>
      </c>
      <c r="J237" s="750">
        <v>0</v>
      </c>
      <c r="K237" s="977">
        <f>IFERROR(_xlfn.CEILING.MATH(J237,INDEX('СВОДНАЯ СПЕЦИФИКАЦИЯ'!$C$10:$C$408,MATCH(D237,'СВОДНАЯ СПЕЦИФИКАЦИЯ'!$D$10:$D$408,0))),"Введите кол-во")</f>
        <v>0</v>
      </c>
      <c r="L237" s="978">
        <f>INDEX('СВОДНАЯ СПЕЦИФИКАЦИЯ'!$H$10:$H$408,MATCH(D237,Таблица2[Наименование материала],0))</f>
        <v>0</v>
      </c>
      <c r="M237" s="979">
        <f t="shared" si="8"/>
        <v>0</v>
      </c>
      <c r="O237" s="934">
        <f t="shared" si="7"/>
        <v>0</v>
      </c>
      <c r="Q237" s="957"/>
      <c r="R237" s="957"/>
      <c r="S237" s="992"/>
      <c r="T237" s="957"/>
      <c r="U237" s="957"/>
      <c r="V237" s="957"/>
      <c r="W237" s="957"/>
      <c r="X237" s="934"/>
      <c r="Y237" s="934"/>
      <c r="Z237" s="934"/>
      <c r="AA237" s="934"/>
      <c r="AB237" s="987"/>
      <c r="AC237" s="934"/>
      <c r="AD237" s="934"/>
      <c r="AE237" s="934"/>
      <c r="AF237" s="934"/>
      <c r="AG237" s="934"/>
      <c r="AH237" s="934"/>
      <c r="AI237" s="934"/>
      <c r="AJ237" s="934"/>
    </row>
    <row r="238" spans="1:36" ht="15" hidden="1" customHeight="1">
      <c r="B238" s="1432"/>
      <c r="C238" s="909" t="s">
        <v>838</v>
      </c>
      <c r="D238" s="732" t="s">
        <v>693</v>
      </c>
      <c r="E238" s="733"/>
      <c r="F238" s="733"/>
      <c r="G238" s="733"/>
      <c r="H238" s="749"/>
      <c r="I238" s="734" t="s">
        <v>151</v>
      </c>
      <c r="J238" s="750">
        <v>0</v>
      </c>
      <c r="K238" s="977">
        <f>IFERROR(_xlfn.CEILING.MATH(J238,INDEX('СВОДНАЯ СПЕЦИФИКАЦИЯ'!$C$10:$C$408,MATCH(D238,'СВОДНАЯ СПЕЦИФИКАЦИЯ'!$D$10:$D$408,0))),"Введите кол-во")</f>
        <v>0</v>
      </c>
      <c r="L238" s="978">
        <f>INDEX('СВОДНАЯ СПЕЦИФИКАЦИЯ'!$H$10:$H$408,MATCH(D238,Таблица2[Наименование материала],0))</f>
        <v>0</v>
      </c>
      <c r="M238" s="979">
        <f t="shared" si="8"/>
        <v>0</v>
      </c>
      <c r="O238" s="934">
        <f t="shared" si="7"/>
        <v>0</v>
      </c>
      <c r="Q238" s="957"/>
      <c r="R238" s="957"/>
      <c r="S238" s="992"/>
      <c r="T238" s="957"/>
      <c r="U238" s="957"/>
      <c r="V238" s="957"/>
      <c r="W238" s="957"/>
      <c r="X238" s="934"/>
      <c r="Y238" s="934"/>
      <c r="Z238" s="934"/>
      <c r="AA238" s="934"/>
      <c r="AB238" s="987"/>
      <c r="AC238" s="934"/>
      <c r="AD238" s="934"/>
      <c r="AE238" s="934"/>
      <c r="AF238" s="934"/>
      <c r="AG238" s="934"/>
      <c r="AH238" s="934"/>
      <c r="AI238" s="934"/>
      <c r="AJ238" s="934"/>
    </row>
    <row r="239" spans="1:36" ht="15" hidden="1" customHeight="1">
      <c r="A239" s="940"/>
      <c r="B239" s="1432"/>
      <c r="C239" s="909" t="s">
        <v>1092</v>
      </c>
      <c r="D239" s="732" t="s">
        <v>1114</v>
      </c>
      <c r="E239" s="733"/>
      <c r="F239" s="733"/>
      <c r="G239" s="733"/>
      <c r="H239" s="749"/>
      <c r="I239" s="734" t="s">
        <v>151</v>
      </c>
      <c r="J239" s="750">
        <v>0</v>
      </c>
      <c r="K239" s="977">
        <f>IFERROR(_xlfn.CEILING.MATH(J239,INDEX('СВОДНАЯ СПЕЦИФИКАЦИЯ'!$C$10:$C$408,MATCH(D239,'СВОДНАЯ СПЕЦИФИКАЦИЯ'!$D$10:$D$408,0))),"Введите кол-во")</f>
        <v>0</v>
      </c>
      <c r="L239" s="978">
        <f>INDEX('СВОДНАЯ СПЕЦИФИКАЦИЯ'!$H$10:$H$408,MATCH(D239,Таблица2[Наименование материала],0))</f>
        <v>0</v>
      </c>
      <c r="M239" s="979">
        <f t="shared" si="8"/>
        <v>0</v>
      </c>
      <c r="O239" s="934">
        <f t="shared" si="7"/>
        <v>0</v>
      </c>
      <c r="Q239" s="957"/>
      <c r="R239" s="957"/>
      <c r="S239" s="992"/>
      <c r="T239" s="957"/>
      <c r="U239" s="957"/>
      <c r="V239" s="957"/>
      <c r="W239" s="957"/>
      <c r="X239" s="934"/>
      <c r="Y239" s="934"/>
      <c r="Z239" s="934"/>
      <c r="AA239" s="934"/>
      <c r="AB239" s="987"/>
      <c r="AC239" s="934"/>
      <c r="AD239" s="934"/>
      <c r="AE239" s="934"/>
      <c r="AF239" s="934"/>
      <c r="AG239" s="934"/>
      <c r="AH239" s="934"/>
      <c r="AI239" s="934"/>
      <c r="AJ239" s="934"/>
    </row>
    <row r="240" spans="1:36" ht="15" hidden="1" customHeight="1">
      <c r="B240" s="1432"/>
      <c r="C240" s="909" t="s">
        <v>903</v>
      </c>
      <c r="D240" s="732" t="s">
        <v>1108</v>
      </c>
      <c r="E240" s="733"/>
      <c r="F240" s="733"/>
      <c r="G240" s="733"/>
      <c r="H240" s="749"/>
      <c r="I240" s="734" t="s">
        <v>151</v>
      </c>
      <c r="J240" s="750">
        <v>0</v>
      </c>
      <c r="K240" s="977">
        <f>IFERROR(_xlfn.CEILING.MATH(J240,INDEX('СВОДНАЯ СПЕЦИФИКАЦИЯ'!$C$10:$C$408,MATCH(D240,'СВОДНАЯ СПЕЦИФИКАЦИЯ'!$D$10:$D$408,0))),"Введите кол-во")</f>
        <v>0</v>
      </c>
      <c r="L240" s="978">
        <f>INDEX('СВОДНАЯ СПЕЦИФИКАЦИЯ'!$H$10:$H$408,MATCH(D240,Таблица2[Наименование материала],0))</f>
        <v>0</v>
      </c>
      <c r="M240" s="979">
        <f t="shared" si="8"/>
        <v>0</v>
      </c>
      <c r="O240" s="934">
        <f t="shared" si="7"/>
        <v>0</v>
      </c>
      <c r="Q240" s="957"/>
      <c r="R240" s="957"/>
      <c r="S240" s="992"/>
      <c r="T240" s="957"/>
      <c r="U240" s="957"/>
      <c r="V240" s="957"/>
      <c r="W240" s="957"/>
      <c r="X240" s="934"/>
      <c r="Y240" s="934"/>
      <c r="Z240" s="934"/>
      <c r="AA240" s="934"/>
      <c r="AB240" s="987"/>
      <c r="AC240" s="934"/>
      <c r="AD240" s="934"/>
      <c r="AE240" s="934"/>
      <c r="AF240" s="934"/>
      <c r="AG240" s="934"/>
      <c r="AH240" s="934"/>
      <c r="AI240" s="934"/>
      <c r="AJ240" s="934"/>
    </row>
    <row r="241" spans="1:36" ht="15" hidden="1" customHeight="1">
      <c r="B241" s="1432"/>
      <c r="C241" s="909" t="s">
        <v>904</v>
      </c>
      <c r="D241" s="732" t="s">
        <v>1109</v>
      </c>
      <c r="E241" s="733"/>
      <c r="F241" s="733"/>
      <c r="G241" s="733"/>
      <c r="H241" s="749"/>
      <c r="I241" s="734" t="s">
        <v>151</v>
      </c>
      <c r="J241" s="750">
        <v>0</v>
      </c>
      <c r="K241" s="977">
        <f>IFERROR(_xlfn.CEILING.MATH(J241,INDEX('СВОДНАЯ СПЕЦИФИКАЦИЯ'!$C$10:$C$408,MATCH(D241,'СВОДНАЯ СПЕЦИФИКАЦИЯ'!$D$10:$D$408,0))),"Введите кол-во")</f>
        <v>0</v>
      </c>
      <c r="L241" s="978">
        <f>INDEX('СВОДНАЯ СПЕЦИФИКАЦИЯ'!$H$10:$H$408,MATCH(D241,Таблица2[Наименование материала],0))</f>
        <v>0</v>
      </c>
      <c r="M241" s="979">
        <f t="shared" si="8"/>
        <v>0</v>
      </c>
      <c r="O241" s="934">
        <f t="shared" si="7"/>
        <v>0</v>
      </c>
      <c r="Q241" s="957"/>
      <c r="R241" s="957"/>
      <c r="S241" s="992"/>
      <c r="T241" s="957"/>
      <c r="U241" s="957"/>
      <c r="V241" s="957"/>
      <c r="W241" s="957"/>
      <c r="X241" s="934"/>
      <c r="Y241" s="934"/>
      <c r="Z241" s="934"/>
      <c r="AA241" s="934"/>
      <c r="AB241" s="987"/>
      <c r="AC241" s="934"/>
      <c r="AD241" s="934"/>
      <c r="AE241" s="934"/>
      <c r="AF241" s="934"/>
      <c r="AG241" s="934"/>
      <c r="AH241" s="934"/>
      <c r="AI241" s="934"/>
      <c r="AJ241" s="934"/>
    </row>
    <row r="242" spans="1:36" ht="15" hidden="1" customHeight="1">
      <c r="B242" s="1432"/>
      <c r="C242" s="909" t="s">
        <v>1112</v>
      </c>
      <c r="D242" s="732" t="s">
        <v>1153</v>
      </c>
      <c r="I242" s="734" t="s">
        <v>151</v>
      </c>
      <c r="J242" s="750">
        <v>0</v>
      </c>
      <c r="K242" s="977">
        <f>IFERROR(_xlfn.CEILING.MATH(J242,INDEX('СВОДНАЯ СПЕЦИФИКАЦИЯ'!$C$10:$C$408,MATCH(D242,'СВОДНАЯ СПЕЦИФИКАЦИЯ'!$D$10:$D$408,0))),"Введите кол-во")</f>
        <v>0</v>
      </c>
      <c r="L242" s="978">
        <f>INDEX('СВОДНАЯ СПЕЦИФИКАЦИЯ'!$H$10:$H$408,MATCH(D242,Таблица2[Наименование материала],0))</f>
        <v>0</v>
      </c>
      <c r="M242" s="979">
        <f t="shared" si="8"/>
        <v>0</v>
      </c>
      <c r="O242" s="934">
        <f t="shared" si="7"/>
        <v>0</v>
      </c>
      <c r="Q242" s="957"/>
      <c r="R242" s="957"/>
      <c r="S242" s="992"/>
      <c r="T242" s="957"/>
      <c r="U242" s="957"/>
      <c r="V242" s="957"/>
      <c r="W242" s="957"/>
      <c r="X242" s="934"/>
      <c r="Y242" s="934"/>
      <c r="Z242" s="934"/>
      <c r="AA242" s="934"/>
      <c r="AB242" s="987"/>
      <c r="AC242" s="934"/>
      <c r="AD242" s="934"/>
      <c r="AE242" s="934"/>
      <c r="AF242" s="934"/>
      <c r="AG242" s="934"/>
      <c r="AH242" s="934"/>
      <c r="AI242" s="934"/>
      <c r="AJ242" s="934"/>
    </row>
    <row r="243" spans="1:36" ht="15" hidden="1" customHeight="1">
      <c r="B243" s="1432"/>
      <c r="C243" s="909" t="s">
        <v>1113</v>
      </c>
      <c r="D243" s="732" t="s">
        <v>1154</v>
      </c>
      <c r="I243" s="734" t="s">
        <v>151</v>
      </c>
      <c r="J243" s="750">
        <v>0</v>
      </c>
      <c r="K243" s="977">
        <f>IFERROR(_xlfn.CEILING.MATH(J243,INDEX('СВОДНАЯ СПЕЦИФИКАЦИЯ'!$C$10:$C$408,MATCH(D243,'СВОДНАЯ СПЕЦИФИКАЦИЯ'!$D$10:$D$408,0))),"Введите кол-во")</f>
        <v>0</v>
      </c>
      <c r="L243" s="978">
        <f>INDEX('СВОДНАЯ СПЕЦИФИКАЦИЯ'!$H$10:$H$408,MATCH(D243,Таблица2[Наименование материала],0))</f>
        <v>0</v>
      </c>
      <c r="M243" s="979">
        <f t="shared" si="8"/>
        <v>0</v>
      </c>
      <c r="O243" s="934">
        <f t="shared" si="7"/>
        <v>0</v>
      </c>
      <c r="Q243" s="957"/>
      <c r="R243" s="957"/>
      <c r="S243" s="992"/>
      <c r="T243" s="957"/>
      <c r="U243" s="957"/>
      <c r="V243" s="957"/>
      <c r="W243" s="957"/>
      <c r="X243" s="934"/>
      <c r="Y243" s="934"/>
      <c r="Z243" s="934"/>
      <c r="AA243" s="934"/>
      <c r="AB243" s="987"/>
      <c r="AC243" s="934"/>
      <c r="AD243" s="934"/>
      <c r="AE243" s="934"/>
      <c r="AF243" s="934"/>
      <c r="AG243" s="934"/>
      <c r="AH243" s="934"/>
      <c r="AI243" s="934"/>
      <c r="AJ243" s="934"/>
    </row>
    <row r="244" spans="1:36" ht="15" hidden="1" customHeight="1">
      <c r="A244" s="940"/>
      <c r="B244" s="1432"/>
      <c r="C244" s="909" t="s">
        <v>1115</v>
      </c>
      <c r="D244" s="732" t="s">
        <v>692</v>
      </c>
      <c r="I244" s="734" t="s">
        <v>151</v>
      </c>
      <c r="J244" s="750">
        <v>0</v>
      </c>
      <c r="K244" s="977">
        <f>IFERROR(_xlfn.CEILING.MATH(J244,INDEX('СВОДНАЯ СПЕЦИФИКАЦИЯ'!$C$10:$C$408,MATCH(D244,'СВОДНАЯ СПЕЦИФИКАЦИЯ'!$D$10:$D$408,0))),"Введите кол-во")</f>
        <v>0</v>
      </c>
      <c r="L244" s="978">
        <f>INDEX('СВОДНАЯ СПЕЦИФИКАЦИЯ'!$H$10:$H$408,MATCH(D244,Таблица2[Наименование материала],0))</f>
        <v>0</v>
      </c>
      <c r="M244" s="979">
        <f t="shared" ref="M244" si="9">IFERROR(K244*L244,0)</f>
        <v>0</v>
      </c>
      <c r="O244" s="934">
        <f t="shared" si="7"/>
        <v>0</v>
      </c>
      <c r="Q244" s="957"/>
      <c r="R244" s="957"/>
      <c r="S244" s="992"/>
      <c r="T244" s="957"/>
      <c r="U244" s="957"/>
      <c r="V244" s="957"/>
      <c r="W244" s="957"/>
      <c r="X244" s="934"/>
      <c r="Y244" s="934"/>
      <c r="Z244" s="934"/>
      <c r="AA244" s="934"/>
      <c r="AB244" s="987"/>
      <c r="AC244" s="934"/>
      <c r="AD244" s="934"/>
      <c r="AE244" s="934"/>
      <c r="AF244" s="934"/>
      <c r="AG244" s="934"/>
      <c r="AH244" s="934"/>
      <c r="AI244" s="934"/>
      <c r="AJ244" s="934"/>
    </row>
    <row r="245" spans="1:36" ht="15" hidden="1" customHeight="1">
      <c r="B245" s="1432"/>
      <c r="C245" s="909" t="s">
        <v>905</v>
      </c>
      <c r="D245" s="732" t="s">
        <v>902</v>
      </c>
      <c r="I245" s="734" t="s">
        <v>151</v>
      </c>
      <c r="J245" s="750">
        <v>0</v>
      </c>
      <c r="K245" s="977">
        <f>IFERROR(_xlfn.CEILING.MATH(J245,INDEX('СВОДНАЯ СПЕЦИФИКАЦИЯ'!$C$10:$C$408,MATCH(D245,'СВОДНАЯ СПЕЦИФИКАЦИЯ'!$D$10:$D$408,0))),"Введите кол-во")</f>
        <v>0</v>
      </c>
      <c r="L245" s="978">
        <f>INDEX('СВОДНАЯ СПЕЦИФИКАЦИЯ'!$H$10:$H$408,MATCH(D245,Таблица2[Наименование материала],0))</f>
        <v>0</v>
      </c>
      <c r="M245" s="979">
        <f t="shared" ref="M245:M267" si="10">IFERROR(K245*L245,0)</f>
        <v>0</v>
      </c>
      <c r="O245" s="934">
        <f t="shared" si="7"/>
        <v>0</v>
      </c>
      <c r="Q245" s="957"/>
      <c r="R245" s="957"/>
      <c r="S245" s="992"/>
      <c r="T245" s="957"/>
      <c r="U245" s="957"/>
      <c r="V245" s="957"/>
      <c r="W245" s="957"/>
      <c r="X245" s="934"/>
      <c r="Y245" s="934"/>
      <c r="Z245" s="934"/>
      <c r="AA245" s="934"/>
      <c r="AB245" s="987"/>
      <c r="AC245" s="934"/>
      <c r="AD245" s="934"/>
      <c r="AE245" s="934"/>
      <c r="AF245" s="934"/>
      <c r="AG245" s="934"/>
      <c r="AH245" s="934"/>
      <c r="AI245" s="934"/>
      <c r="AJ245" s="934"/>
    </row>
    <row r="246" spans="1:36" ht="15" hidden="1" customHeight="1">
      <c r="A246" s="940"/>
      <c r="B246" s="1432"/>
      <c r="C246" s="909" t="s">
        <v>745</v>
      </c>
      <c r="D246" s="732" t="s">
        <v>530</v>
      </c>
      <c r="E246" s="733"/>
      <c r="F246" s="733"/>
      <c r="G246" s="733"/>
      <c r="H246" s="749"/>
      <c r="I246" s="734" t="s">
        <v>151</v>
      </c>
      <c r="J246" s="750">
        <v>0</v>
      </c>
      <c r="K246" s="977" t="str">
        <f>IFERROR(_xlfn.CEILING.MATH(J246,INDEX('СВОДНАЯ СПЕЦИФИКАЦИЯ'!$C$10:$C$408,MATCH(D246,'СВОДНАЯ СПЕЦИФИКАЦИЯ'!$D$10:$D$408,0))),"Введите кол-во")</f>
        <v>Введите кол-во</v>
      </c>
      <c r="L246" s="978">
        <f>INDEX('СВОДНАЯ СПЕЦИФИКАЦИЯ'!$H$10:$H$408,MATCH(D246,Таблица2[Наименование материала],0))</f>
        <v>0</v>
      </c>
      <c r="M246" s="979">
        <f t="shared" si="10"/>
        <v>0</v>
      </c>
      <c r="O246" s="934">
        <f t="shared" si="7"/>
        <v>0</v>
      </c>
      <c r="Q246" s="957"/>
      <c r="R246" s="957"/>
      <c r="S246" s="992"/>
      <c r="T246" s="957"/>
      <c r="U246" s="957"/>
      <c r="V246" s="957"/>
      <c r="W246" s="957"/>
      <c r="X246" s="934"/>
      <c r="Y246" s="934"/>
      <c r="Z246" s="934"/>
      <c r="AA246" s="934"/>
      <c r="AB246" s="987"/>
      <c r="AC246" s="934"/>
      <c r="AD246" s="934"/>
      <c r="AE246" s="934"/>
      <c r="AF246" s="934"/>
      <c r="AG246" s="934"/>
      <c r="AH246" s="934"/>
      <c r="AI246" s="934"/>
      <c r="AJ246" s="934"/>
    </row>
    <row r="247" spans="1:36" ht="15" hidden="1" customHeight="1">
      <c r="A247" s="994"/>
      <c r="B247" s="1432"/>
      <c r="C247" s="909" t="s">
        <v>296</v>
      </c>
      <c r="D247" s="732" t="s">
        <v>826</v>
      </c>
      <c r="E247" s="733"/>
      <c r="F247" s="733"/>
      <c r="G247" s="733"/>
      <c r="H247" s="749"/>
      <c r="I247" s="734" t="s">
        <v>151</v>
      </c>
      <c r="J247" s="750">
        <v>0</v>
      </c>
      <c r="K247" s="977">
        <f>IFERROR(_xlfn.CEILING.MATH(J247,INDEX('СВОДНАЯ СПЕЦИФИКАЦИЯ'!$C$10:$C$408,MATCH(D247,'СВОДНАЯ СПЕЦИФИКАЦИЯ'!$D$10:$D$408,0))),"Введите кол-во")</f>
        <v>0</v>
      </c>
      <c r="L247" s="978">
        <f>INDEX('СВОДНАЯ СПЕЦИФИКАЦИЯ'!$H$10:$H$408,MATCH(D247,Таблица2[Наименование материала],0))</f>
        <v>0</v>
      </c>
      <c r="M247" s="979">
        <f t="shared" si="10"/>
        <v>0</v>
      </c>
      <c r="O247" s="934">
        <f t="shared" si="7"/>
        <v>0</v>
      </c>
      <c r="Q247" s="957"/>
      <c r="R247" s="957"/>
      <c r="S247" s="957"/>
      <c r="T247" s="957"/>
      <c r="U247" s="957"/>
      <c r="V247" s="957"/>
      <c r="W247" s="957"/>
      <c r="X247" s="934"/>
      <c r="Y247" s="934"/>
      <c r="Z247" s="934"/>
      <c r="AA247" s="934"/>
      <c r="AB247" s="987"/>
      <c r="AC247" s="934"/>
      <c r="AD247" s="934"/>
      <c r="AE247" s="934"/>
      <c r="AF247" s="934"/>
      <c r="AG247" s="934"/>
      <c r="AH247" s="934"/>
      <c r="AI247" s="934"/>
      <c r="AJ247" s="934"/>
    </row>
    <row r="248" spans="1:36" ht="15" customHeight="1">
      <c r="B248" s="1432"/>
      <c r="C248" s="909" t="s">
        <v>744</v>
      </c>
      <c r="D248" s="732" t="s">
        <v>742</v>
      </c>
      <c r="E248" s="733"/>
      <c r="F248" s="733"/>
      <c r="G248" s="733"/>
      <c r="H248" s="749"/>
      <c r="I248" s="734" t="s">
        <v>151</v>
      </c>
      <c r="J248" s="750">
        <v>9</v>
      </c>
      <c r="K248" s="977">
        <f>IFERROR(_xlfn.CEILING.MATH(J248,INDEX('СВОДНАЯ СПЕЦИФИКАЦИЯ'!$C$10:$C$408,MATCH(D248,'СВОДНАЯ СПЕЦИФИКАЦИЯ'!$D$10:$D$408,0))),"Введите кол-во")</f>
        <v>9</v>
      </c>
      <c r="L248" s="978">
        <f>INDEX('СВОДНАЯ СПЕЦИФИКАЦИЯ'!$H$10:$H$408,MATCH(D248,Таблица2[Наименование материала],0))</f>
        <v>0</v>
      </c>
      <c r="M248" s="979">
        <f t="shared" si="10"/>
        <v>0</v>
      </c>
      <c r="O248" s="934">
        <f t="shared" si="7"/>
        <v>1</v>
      </c>
      <c r="Q248" s="957"/>
      <c r="R248" s="957"/>
      <c r="S248" s="957"/>
      <c r="T248" s="957"/>
      <c r="U248" s="957"/>
      <c r="V248" s="957"/>
      <c r="W248" s="957"/>
      <c r="X248" s="934"/>
      <c r="Y248" s="934"/>
      <c r="Z248" s="934"/>
      <c r="AA248" s="934"/>
      <c r="AB248" s="987"/>
      <c r="AC248" s="934"/>
      <c r="AD248" s="934"/>
      <c r="AE248" s="934"/>
      <c r="AF248" s="934"/>
      <c r="AG248" s="934"/>
      <c r="AH248" s="934"/>
      <c r="AI248" s="934"/>
      <c r="AJ248" s="934"/>
    </row>
    <row r="249" spans="1:36" ht="15" hidden="1" customHeight="1" outlineLevel="1">
      <c r="B249" s="1432"/>
      <c r="C249" s="909" t="s">
        <v>296</v>
      </c>
      <c r="D249" s="732" t="s">
        <v>393</v>
      </c>
      <c r="E249" s="733"/>
      <c r="F249" s="733"/>
      <c r="G249" s="733"/>
      <c r="H249" s="749"/>
      <c r="I249" s="734" t="s">
        <v>112</v>
      </c>
      <c r="J249" s="736">
        <v>0</v>
      </c>
      <c r="K249" s="977" t="str">
        <f>IFERROR(_xlfn.CEILING.MATH(J249,INDEX('СВОДНАЯ СПЕЦИФИКАЦИЯ'!$C$10:$C$408,MATCH(D249,'СВОДНАЯ СПЕЦИФИКАЦИЯ'!$D$10:$D$408,0))),"Введите кол-во")</f>
        <v>Введите кол-во</v>
      </c>
      <c r="L249" s="978">
        <f>INDEX('СВОДНАЯ СПЕЦИФИКАЦИЯ'!$H$10:$H$408,MATCH(D249,Таблица2[Наименование материала],0))</f>
        <v>0</v>
      </c>
      <c r="M249" s="979">
        <f t="shared" si="10"/>
        <v>0</v>
      </c>
      <c r="O249" s="934">
        <f t="shared" si="7"/>
        <v>0</v>
      </c>
      <c r="Q249" s="957"/>
      <c r="R249" s="957"/>
      <c r="S249" s="957"/>
      <c r="T249" s="957"/>
      <c r="U249" s="957"/>
      <c r="V249" s="957"/>
      <c r="W249" s="957"/>
      <c r="X249" s="934"/>
      <c r="Y249" s="934"/>
      <c r="Z249" s="934"/>
      <c r="AA249" s="934"/>
      <c r="AB249" s="987"/>
      <c r="AC249" s="934"/>
      <c r="AD249" s="934"/>
      <c r="AE249" s="934"/>
      <c r="AF249" s="934"/>
      <c r="AG249" s="934"/>
      <c r="AH249" s="934"/>
      <c r="AI249" s="934"/>
      <c r="AJ249" s="934"/>
    </row>
    <row r="250" spans="1:36" ht="15" hidden="1" customHeight="1" outlineLevel="1">
      <c r="B250" s="1432"/>
      <c r="C250" s="909">
        <v>500464</v>
      </c>
      <c r="D250" s="732" t="s">
        <v>394</v>
      </c>
      <c r="E250" s="733"/>
      <c r="F250" s="733"/>
      <c r="G250" s="733"/>
      <c r="H250" s="749"/>
      <c r="I250" s="734" t="s">
        <v>112</v>
      </c>
      <c r="J250" s="736">
        <v>0</v>
      </c>
      <c r="K250" s="977">
        <f>IFERROR(_xlfn.CEILING.MATH(J250,INDEX('СВОДНАЯ СПЕЦИФИКАЦИЯ'!$C$10:$C$408,MATCH(D250,'СВОДНАЯ СПЕЦИФИКАЦИЯ'!$D$10:$D$408,0))),"Введите кол-во")</f>
        <v>0</v>
      </c>
      <c r="L250" s="978">
        <f>INDEX('СВОДНАЯ СПЕЦИФИКАЦИЯ'!$H$10:$H$408,MATCH(D250,Таблица2[Наименование материала],0))</f>
        <v>0</v>
      </c>
      <c r="M250" s="979">
        <f t="shared" si="10"/>
        <v>0</v>
      </c>
      <c r="O250" s="934">
        <f t="shared" si="7"/>
        <v>0</v>
      </c>
      <c r="Q250" s="957"/>
      <c r="R250" s="957"/>
      <c r="S250" s="957"/>
      <c r="T250" s="957"/>
      <c r="U250" s="957"/>
      <c r="V250" s="957"/>
      <c r="W250" s="957"/>
      <c r="X250" s="934"/>
      <c r="Y250" s="934"/>
      <c r="Z250" s="934"/>
      <c r="AA250" s="934"/>
      <c r="AB250" s="987"/>
      <c r="AC250" s="934"/>
      <c r="AD250" s="934"/>
      <c r="AE250" s="934"/>
      <c r="AF250" s="934"/>
      <c r="AG250" s="934"/>
      <c r="AH250" s="934"/>
      <c r="AI250" s="934"/>
      <c r="AJ250" s="934"/>
    </row>
    <row r="251" spans="1:36" ht="15" hidden="1" customHeight="1" outlineLevel="1">
      <c r="A251" s="994"/>
      <c r="B251" s="1432"/>
      <c r="C251" s="909" t="s">
        <v>1069</v>
      </c>
      <c r="D251" s="732" t="s">
        <v>395</v>
      </c>
      <c r="E251" s="733"/>
      <c r="F251" s="733"/>
      <c r="G251" s="733"/>
      <c r="H251" s="749"/>
      <c r="I251" s="734" t="s">
        <v>112</v>
      </c>
      <c r="J251" s="736">
        <v>0</v>
      </c>
      <c r="K251" s="977">
        <f>IFERROR(_xlfn.CEILING.MATH(J251,INDEX('СВОДНАЯ СПЕЦИФИКАЦИЯ'!$C$10:$C$408,MATCH(D251,'СВОДНАЯ СПЕЦИФИКАЦИЯ'!$D$10:$D$408,0))),"Введите кол-во")</f>
        <v>0</v>
      </c>
      <c r="L251" s="978">
        <f>INDEX('СВОДНАЯ СПЕЦИФИКАЦИЯ'!$H$10:$H$408,MATCH(D251,Таблица2[Наименование материала],0))</f>
        <v>0</v>
      </c>
      <c r="M251" s="979">
        <f t="shared" si="10"/>
        <v>0</v>
      </c>
      <c r="O251" s="934">
        <f t="shared" si="7"/>
        <v>0</v>
      </c>
      <c r="Q251" s="957"/>
      <c r="R251" s="957"/>
      <c r="S251" s="957"/>
      <c r="T251" s="957"/>
      <c r="U251" s="957"/>
      <c r="V251" s="957"/>
      <c r="W251" s="957"/>
      <c r="X251" s="934"/>
      <c r="Y251" s="934"/>
      <c r="Z251" s="934"/>
      <c r="AA251" s="934"/>
      <c r="AB251" s="987"/>
      <c r="AC251" s="934"/>
      <c r="AD251" s="934"/>
      <c r="AE251" s="934"/>
      <c r="AF251" s="934"/>
      <c r="AG251" s="934"/>
      <c r="AH251" s="934"/>
      <c r="AI251" s="934"/>
      <c r="AJ251" s="934"/>
    </row>
    <row r="252" spans="1:36" ht="15" hidden="1" customHeight="1" outlineLevel="1">
      <c r="B252" s="1432"/>
      <c r="C252" s="909" t="s">
        <v>1071</v>
      </c>
      <c r="D252" s="732" t="s">
        <v>396</v>
      </c>
      <c r="E252" s="733"/>
      <c r="F252" s="733"/>
      <c r="G252" s="733"/>
      <c r="H252" s="749"/>
      <c r="I252" s="734" t="s">
        <v>112</v>
      </c>
      <c r="J252" s="736">
        <v>0</v>
      </c>
      <c r="K252" s="977">
        <f>IFERROR(_xlfn.CEILING.MATH(J252,INDEX('СВОДНАЯ СПЕЦИФИКАЦИЯ'!$C$10:$C$408,MATCH(D252,'СВОДНАЯ СПЕЦИФИКАЦИЯ'!$D$10:$D$408,0))),"Введите кол-во")</f>
        <v>0</v>
      </c>
      <c r="L252" s="978">
        <f>INDEX('СВОДНАЯ СПЕЦИФИКАЦИЯ'!$H$10:$H$408,MATCH(D252,Таблица2[Наименование материала],0))</f>
        <v>0</v>
      </c>
      <c r="M252" s="979">
        <f t="shared" si="10"/>
        <v>0</v>
      </c>
      <c r="O252" s="934">
        <f t="shared" si="7"/>
        <v>0</v>
      </c>
      <c r="Q252" s="957"/>
      <c r="R252" s="957"/>
      <c r="S252" s="957"/>
      <c r="T252" s="957"/>
      <c r="U252" s="957"/>
      <c r="V252" s="957"/>
      <c r="W252" s="957"/>
      <c r="X252" s="934"/>
      <c r="Y252" s="934"/>
      <c r="Z252" s="934"/>
      <c r="AA252" s="934"/>
      <c r="AB252" s="987"/>
      <c r="AC252" s="934"/>
      <c r="AD252" s="934"/>
      <c r="AE252" s="934"/>
      <c r="AF252" s="934"/>
      <c r="AG252" s="934"/>
      <c r="AH252" s="934"/>
      <c r="AI252" s="934"/>
      <c r="AJ252" s="934"/>
    </row>
    <row r="253" spans="1:36" ht="15" hidden="1" customHeight="1" outlineLevel="1">
      <c r="A253" s="994"/>
      <c r="B253" s="1432"/>
      <c r="C253" s="909" t="s">
        <v>296</v>
      </c>
      <c r="D253" s="732" t="s">
        <v>397</v>
      </c>
      <c r="E253" s="733"/>
      <c r="F253" s="733"/>
      <c r="G253" s="733"/>
      <c r="H253" s="749"/>
      <c r="I253" s="734" t="s">
        <v>112</v>
      </c>
      <c r="J253" s="736">
        <v>0</v>
      </c>
      <c r="K253" s="977" t="str">
        <f>IFERROR(_xlfn.CEILING.MATH(J253,INDEX('СВОДНАЯ СПЕЦИФИКАЦИЯ'!$C$10:$C$408,MATCH(D253,'СВОДНАЯ СПЕЦИФИКАЦИЯ'!$D$10:$D$408,0))),"Введите кол-во")</f>
        <v>Введите кол-во</v>
      </c>
      <c r="L253" s="978">
        <f>INDEX('СВОДНАЯ СПЕЦИФИКАЦИЯ'!$H$10:$H$408,MATCH(D253,Таблица2[Наименование материала],0))</f>
        <v>0</v>
      </c>
      <c r="M253" s="979">
        <f t="shared" si="10"/>
        <v>0</v>
      </c>
      <c r="O253" s="934">
        <f t="shared" si="7"/>
        <v>0</v>
      </c>
      <c r="Q253" s="957"/>
      <c r="R253" s="957"/>
      <c r="S253" s="957"/>
      <c r="T253" s="957"/>
      <c r="U253" s="957"/>
      <c r="V253" s="957"/>
      <c r="W253" s="957"/>
      <c r="X253" s="934"/>
      <c r="Y253" s="934"/>
      <c r="Z253" s="934"/>
      <c r="AA253" s="934"/>
      <c r="AB253" s="987"/>
      <c r="AC253" s="934"/>
      <c r="AD253" s="934"/>
      <c r="AE253" s="934"/>
      <c r="AF253" s="934"/>
      <c r="AG253" s="934"/>
      <c r="AH253" s="934"/>
      <c r="AI253" s="934"/>
      <c r="AJ253" s="934"/>
    </row>
    <row r="254" spans="1:36" ht="15" hidden="1" customHeight="1" outlineLevel="1">
      <c r="A254" s="994"/>
      <c r="B254" s="1432"/>
      <c r="C254" s="909" t="s">
        <v>1072</v>
      </c>
      <c r="D254" s="732" t="s">
        <v>398</v>
      </c>
      <c r="E254" s="733"/>
      <c r="F254" s="733"/>
      <c r="G254" s="733"/>
      <c r="H254" s="749"/>
      <c r="I254" s="734" t="s">
        <v>112</v>
      </c>
      <c r="J254" s="736">
        <v>0</v>
      </c>
      <c r="K254" s="977">
        <f>IFERROR(_xlfn.CEILING.MATH(J254,INDEX('СВОДНАЯ СПЕЦИФИКАЦИЯ'!$C$10:$C$408,MATCH(D254,'СВОДНАЯ СПЕЦИФИКАЦИЯ'!$D$10:$D$408,0))),"Введите кол-во")</f>
        <v>0</v>
      </c>
      <c r="L254" s="978">
        <f>INDEX('СВОДНАЯ СПЕЦИФИКАЦИЯ'!$H$10:$H$408,MATCH(D254,Таблица2[Наименование материала],0))</f>
        <v>0</v>
      </c>
      <c r="M254" s="979">
        <f t="shared" si="10"/>
        <v>0</v>
      </c>
      <c r="O254" s="934">
        <f t="shared" si="7"/>
        <v>0</v>
      </c>
      <c r="Q254" s="957"/>
      <c r="R254" s="957"/>
      <c r="S254" s="957"/>
      <c r="T254" s="957"/>
      <c r="U254" s="957"/>
      <c r="V254" s="957"/>
      <c r="W254" s="957"/>
      <c r="X254" s="934"/>
      <c r="Y254" s="934"/>
      <c r="Z254" s="934"/>
      <c r="AA254" s="934"/>
      <c r="AB254" s="987"/>
      <c r="AC254" s="934"/>
      <c r="AD254" s="934"/>
      <c r="AE254" s="934"/>
      <c r="AF254" s="934"/>
      <c r="AG254" s="934"/>
      <c r="AH254" s="934"/>
      <c r="AI254" s="934"/>
      <c r="AJ254" s="934"/>
    </row>
    <row r="255" spans="1:36" ht="15" hidden="1" customHeight="1" outlineLevel="1">
      <c r="A255" s="994"/>
      <c r="B255" s="1432"/>
      <c r="C255" s="909" t="s">
        <v>296</v>
      </c>
      <c r="D255" s="732" t="s">
        <v>399</v>
      </c>
      <c r="E255" s="733"/>
      <c r="F255" s="733"/>
      <c r="G255" s="733"/>
      <c r="H255" s="749"/>
      <c r="I255" s="734" t="s">
        <v>112</v>
      </c>
      <c r="J255" s="736">
        <v>0</v>
      </c>
      <c r="K255" s="977" t="str">
        <f>IFERROR(_xlfn.CEILING.MATH(J255,INDEX('СВОДНАЯ СПЕЦИФИКАЦИЯ'!$C$10:$C$408,MATCH(D255,'СВОДНАЯ СПЕЦИФИКАЦИЯ'!$D$10:$D$408,0))),"Введите кол-во")</f>
        <v>Введите кол-во</v>
      </c>
      <c r="L255" s="978">
        <f>INDEX('СВОДНАЯ СПЕЦИФИКАЦИЯ'!$H$10:$H$408,MATCH(D255,Таблица2[Наименование материала],0))</f>
        <v>0</v>
      </c>
      <c r="M255" s="979">
        <f t="shared" si="10"/>
        <v>0</v>
      </c>
      <c r="O255" s="934">
        <f t="shared" si="7"/>
        <v>0</v>
      </c>
      <c r="Q255" s="957"/>
      <c r="R255" s="957"/>
      <c r="S255" s="957"/>
      <c r="T255" s="957"/>
      <c r="U255" s="957"/>
      <c r="V255" s="957"/>
      <c r="W255" s="957"/>
      <c r="X255" s="934"/>
      <c r="Y255" s="934"/>
      <c r="Z255" s="934"/>
      <c r="AA255" s="934"/>
      <c r="AB255" s="987"/>
      <c r="AC255" s="934"/>
      <c r="AD255" s="934"/>
      <c r="AE255" s="934"/>
      <c r="AF255" s="934"/>
      <c r="AG255" s="934"/>
      <c r="AH255" s="934"/>
      <c r="AI255" s="934"/>
      <c r="AJ255" s="934"/>
    </row>
    <row r="256" spans="1:36" ht="15" hidden="1" customHeight="1" outlineLevel="1">
      <c r="A256" s="994"/>
      <c r="B256" s="1432"/>
      <c r="C256" s="909" t="s">
        <v>296</v>
      </c>
      <c r="D256" s="732" t="s">
        <v>400</v>
      </c>
      <c r="E256" s="733"/>
      <c r="F256" s="733"/>
      <c r="G256" s="733"/>
      <c r="H256" s="749"/>
      <c r="I256" s="734" t="s">
        <v>112</v>
      </c>
      <c r="J256" s="736">
        <v>0</v>
      </c>
      <c r="K256" s="977" t="str">
        <f>IFERROR(_xlfn.CEILING.MATH(J256,INDEX('СВОДНАЯ СПЕЦИФИКАЦИЯ'!$C$10:$C$408,MATCH(D256,'СВОДНАЯ СПЕЦИФИКАЦИЯ'!$D$10:$D$408,0))),"Введите кол-во")</f>
        <v>Введите кол-во</v>
      </c>
      <c r="L256" s="978">
        <f>INDEX('СВОДНАЯ СПЕЦИФИКАЦИЯ'!$H$10:$H$408,MATCH(D256,Таблица2[Наименование материала],0))</f>
        <v>0</v>
      </c>
      <c r="M256" s="979">
        <f t="shared" si="10"/>
        <v>0</v>
      </c>
      <c r="O256" s="934">
        <f t="shared" si="7"/>
        <v>0</v>
      </c>
      <c r="Q256" s="957"/>
      <c r="R256" s="957"/>
      <c r="S256" s="957"/>
      <c r="T256" s="957"/>
      <c r="U256" s="957"/>
      <c r="V256" s="957"/>
      <c r="W256" s="957"/>
      <c r="X256" s="934"/>
      <c r="Y256" s="934"/>
      <c r="Z256" s="934"/>
      <c r="AA256" s="934"/>
      <c r="AB256" s="987"/>
      <c r="AC256" s="934"/>
      <c r="AD256" s="934"/>
      <c r="AE256" s="934"/>
      <c r="AF256" s="934"/>
      <c r="AG256" s="934"/>
      <c r="AH256" s="934"/>
      <c r="AI256" s="934"/>
      <c r="AJ256" s="934"/>
    </row>
    <row r="257" spans="1:36" ht="15" hidden="1" customHeight="1" outlineLevel="1">
      <c r="A257" s="994"/>
      <c r="B257" s="1432"/>
      <c r="C257" s="909" t="s">
        <v>296</v>
      </c>
      <c r="D257" s="732" t="s">
        <v>401</v>
      </c>
      <c r="E257" s="733"/>
      <c r="F257" s="733"/>
      <c r="G257" s="733"/>
      <c r="H257" s="749"/>
      <c r="I257" s="734" t="s">
        <v>112</v>
      </c>
      <c r="J257" s="736">
        <v>0</v>
      </c>
      <c r="K257" s="977" t="str">
        <f>IFERROR(_xlfn.CEILING.MATH(J257,INDEX('СВОДНАЯ СПЕЦИФИКАЦИЯ'!$C$10:$C$408,MATCH(D257,'СВОДНАЯ СПЕЦИФИКАЦИЯ'!$D$10:$D$408,0))),"Введите кол-во")</f>
        <v>Введите кол-во</v>
      </c>
      <c r="L257" s="978">
        <f>INDEX('СВОДНАЯ СПЕЦИФИКАЦИЯ'!$H$10:$H$408,MATCH(D257,Таблица2[Наименование материала],0))</f>
        <v>0</v>
      </c>
      <c r="M257" s="979">
        <f t="shared" si="10"/>
        <v>0</v>
      </c>
      <c r="O257" s="934">
        <f t="shared" si="7"/>
        <v>0</v>
      </c>
      <c r="Q257" s="957"/>
      <c r="R257" s="957"/>
      <c r="S257" s="957"/>
      <c r="T257" s="957"/>
      <c r="U257" s="957"/>
      <c r="V257" s="957"/>
      <c r="W257" s="957"/>
      <c r="X257" s="934"/>
      <c r="Y257" s="934"/>
      <c r="Z257" s="934"/>
      <c r="AA257" s="934"/>
      <c r="AB257" s="987"/>
      <c r="AC257" s="934"/>
      <c r="AD257" s="934"/>
      <c r="AE257" s="934"/>
      <c r="AF257" s="934"/>
      <c r="AG257" s="934"/>
      <c r="AH257" s="934"/>
      <c r="AI257" s="934"/>
      <c r="AJ257" s="934"/>
    </row>
    <row r="258" spans="1:36" ht="15" hidden="1" customHeight="1" outlineLevel="1">
      <c r="A258" s="994"/>
      <c r="B258" s="1432"/>
      <c r="C258" s="909" t="s">
        <v>296</v>
      </c>
      <c r="D258" s="732" t="s">
        <v>402</v>
      </c>
      <c r="E258" s="733"/>
      <c r="F258" s="733"/>
      <c r="G258" s="733"/>
      <c r="H258" s="749"/>
      <c r="I258" s="734" t="s">
        <v>112</v>
      </c>
      <c r="J258" s="736">
        <v>0</v>
      </c>
      <c r="K258" s="977" t="str">
        <f>IFERROR(_xlfn.CEILING.MATH(J258,INDEX('СВОДНАЯ СПЕЦИФИКАЦИЯ'!$C$10:$C$408,MATCH(D258,'СВОДНАЯ СПЕЦИФИКАЦИЯ'!$D$10:$D$408,0))),"Введите кол-во")</f>
        <v>Введите кол-во</v>
      </c>
      <c r="L258" s="978">
        <f>INDEX('СВОДНАЯ СПЕЦИФИКАЦИЯ'!$H$10:$H$408,MATCH(D258,Таблица2[Наименование материала],0))</f>
        <v>0</v>
      </c>
      <c r="M258" s="979">
        <f t="shared" si="10"/>
        <v>0</v>
      </c>
      <c r="O258" s="934">
        <f t="shared" si="7"/>
        <v>0</v>
      </c>
      <c r="Q258" s="957"/>
      <c r="R258" s="957"/>
      <c r="S258" s="957"/>
      <c r="T258" s="957"/>
      <c r="U258" s="957"/>
      <c r="V258" s="957"/>
      <c r="W258" s="957"/>
      <c r="X258" s="934"/>
      <c r="Y258" s="934"/>
      <c r="Z258" s="934"/>
      <c r="AA258" s="934"/>
      <c r="AB258" s="987"/>
      <c r="AC258" s="934"/>
      <c r="AD258" s="934"/>
      <c r="AE258" s="934"/>
      <c r="AF258" s="934"/>
      <c r="AG258" s="934"/>
      <c r="AH258" s="934"/>
      <c r="AI258" s="934"/>
      <c r="AJ258" s="934"/>
    </row>
    <row r="259" spans="1:36" ht="15" hidden="1" customHeight="1" outlineLevel="1">
      <c r="B259" s="1432"/>
      <c r="C259" s="909" t="s">
        <v>296</v>
      </c>
      <c r="D259" s="732" t="s">
        <v>403</v>
      </c>
      <c r="E259" s="733"/>
      <c r="F259" s="733"/>
      <c r="G259" s="733"/>
      <c r="H259" s="749"/>
      <c r="I259" s="734" t="s">
        <v>112</v>
      </c>
      <c r="J259" s="736">
        <v>0</v>
      </c>
      <c r="K259" s="977" t="str">
        <f>IFERROR(_xlfn.CEILING.MATH(J259,INDEX('СВОДНАЯ СПЕЦИФИКАЦИЯ'!$C$10:$C$408,MATCH(D259,'СВОДНАЯ СПЕЦИФИКАЦИЯ'!$D$10:$D$408,0))),"Введите кол-во")</f>
        <v>Введите кол-во</v>
      </c>
      <c r="L259" s="978">
        <f>INDEX('СВОДНАЯ СПЕЦИФИКАЦИЯ'!$H$10:$H$408,MATCH(D259,Таблица2[Наименование материала],0))</f>
        <v>0</v>
      </c>
      <c r="M259" s="979">
        <f t="shared" si="10"/>
        <v>0</v>
      </c>
      <c r="O259" s="934">
        <f t="shared" si="7"/>
        <v>0</v>
      </c>
      <c r="Q259" s="957"/>
      <c r="R259" s="957"/>
      <c r="S259" s="957"/>
      <c r="T259" s="957"/>
      <c r="U259" s="957"/>
      <c r="V259" s="957"/>
      <c r="W259" s="957"/>
      <c r="X259" s="934"/>
      <c r="Y259" s="934"/>
      <c r="Z259" s="934"/>
      <c r="AA259" s="934"/>
      <c r="AB259" s="987"/>
      <c r="AC259" s="934"/>
      <c r="AD259" s="934"/>
      <c r="AE259" s="934"/>
      <c r="AF259" s="934"/>
      <c r="AG259" s="934"/>
      <c r="AH259" s="934"/>
      <c r="AI259" s="934"/>
      <c r="AJ259" s="934"/>
    </row>
    <row r="260" spans="1:36" ht="15" hidden="1" customHeight="1" outlineLevel="1">
      <c r="B260" s="1432"/>
      <c r="C260" s="909" t="s">
        <v>296</v>
      </c>
      <c r="D260" s="732" t="s">
        <v>404</v>
      </c>
      <c r="E260" s="733"/>
      <c r="F260" s="733"/>
      <c r="G260" s="733"/>
      <c r="H260" s="749"/>
      <c r="I260" s="734" t="s">
        <v>112</v>
      </c>
      <c r="J260" s="736">
        <v>0</v>
      </c>
      <c r="K260" s="977" t="str">
        <f>IFERROR(_xlfn.CEILING.MATH(J260,INDEX('СВОДНАЯ СПЕЦИФИКАЦИЯ'!$C$10:$C$408,MATCH(D260,'СВОДНАЯ СПЕЦИФИКАЦИЯ'!$D$10:$D$408,0))),"Введите кол-во")</f>
        <v>Введите кол-во</v>
      </c>
      <c r="L260" s="978">
        <f>INDEX('СВОДНАЯ СПЕЦИФИКАЦИЯ'!$H$10:$H$408,MATCH(D260,Таблица2[Наименование материала],0))</f>
        <v>0</v>
      </c>
      <c r="M260" s="979">
        <f t="shared" si="10"/>
        <v>0</v>
      </c>
      <c r="O260" s="934">
        <f t="shared" si="7"/>
        <v>0</v>
      </c>
      <c r="Q260" s="957"/>
      <c r="R260" s="957"/>
      <c r="S260" s="957"/>
      <c r="T260" s="957"/>
      <c r="U260" s="957"/>
      <c r="V260" s="957"/>
      <c r="W260" s="957"/>
      <c r="X260" s="934"/>
      <c r="Y260" s="934"/>
      <c r="Z260" s="934"/>
      <c r="AA260" s="934"/>
      <c r="AB260" s="987"/>
      <c r="AC260" s="934"/>
      <c r="AD260" s="934"/>
      <c r="AE260" s="934"/>
      <c r="AF260" s="934"/>
      <c r="AG260" s="934"/>
      <c r="AH260" s="934"/>
      <c r="AI260" s="934"/>
      <c r="AJ260" s="934"/>
    </row>
    <row r="261" spans="1:36" ht="15" hidden="1" customHeight="1" outlineLevel="1">
      <c r="B261" s="1432"/>
      <c r="C261" s="909" t="s">
        <v>1053</v>
      </c>
      <c r="D261" s="732" t="s">
        <v>405</v>
      </c>
      <c r="E261" s="733"/>
      <c r="F261" s="733"/>
      <c r="G261" s="733"/>
      <c r="H261" s="749"/>
      <c r="I261" s="734" t="s">
        <v>112</v>
      </c>
      <c r="J261" s="736">
        <v>0</v>
      </c>
      <c r="K261" s="977">
        <f>IFERROR(_xlfn.CEILING.MATH(J261,INDEX('СВОДНАЯ СПЕЦИФИКАЦИЯ'!$C$10:$C$408,MATCH(D261,'СВОДНАЯ СПЕЦИФИКАЦИЯ'!$D$10:$D$408,0))),"Введите кол-во")</f>
        <v>0</v>
      </c>
      <c r="L261" s="978">
        <f>INDEX('СВОДНАЯ СПЕЦИФИКАЦИЯ'!$H$10:$H$408,MATCH(D261,Таблица2[Наименование материала],0))</f>
        <v>0</v>
      </c>
      <c r="M261" s="979">
        <f t="shared" si="10"/>
        <v>0</v>
      </c>
      <c r="O261" s="934">
        <f t="shared" si="7"/>
        <v>0</v>
      </c>
      <c r="Q261" s="957"/>
      <c r="R261" s="957"/>
      <c r="S261" s="957"/>
      <c r="T261" s="957"/>
      <c r="U261" s="957"/>
      <c r="V261" s="957"/>
      <c r="W261" s="957"/>
      <c r="X261" s="934"/>
      <c r="Y261" s="934"/>
      <c r="Z261" s="934"/>
      <c r="AA261" s="934"/>
      <c r="AB261" s="987"/>
      <c r="AC261" s="934"/>
      <c r="AD261" s="934"/>
      <c r="AE261" s="934"/>
      <c r="AF261" s="934"/>
      <c r="AG261" s="934"/>
      <c r="AH261" s="934"/>
      <c r="AI261" s="934"/>
      <c r="AJ261" s="934"/>
    </row>
    <row r="262" spans="1:36" ht="15" hidden="1" customHeight="1" outlineLevel="1">
      <c r="B262" s="1432"/>
      <c r="C262" s="909">
        <v>670881</v>
      </c>
      <c r="D262" s="732" t="s">
        <v>437</v>
      </c>
      <c r="E262" s="733"/>
      <c r="F262" s="733"/>
      <c r="G262" s="733"/>
      <c r="H262" s="749"/>
      <c r="I262" s="734" t="s">
        <v>112</v>
      </c>
      <c r="J262" s="736">
        <v>0</v>
      </c>
      <c r="K262" s="977">
        <f>IFERROR(_xlfn.CEILING.MATH(J262,INDEX('СВОДНАЯ СПЕЦИФИКАЦИЯ'!$C$10:$C$408,MATCH(D262,'СВОДНАЯ СПЕЦИФИКАЦИЯ'!$D$10:$D$408,0))),"Введите кол-во")</f>
        <v>0</v>
      </c>
      <c r="L262" s="978">
        <f>INDEX('СВОДНАЯ СПЕЦИФИКАЦИЯ'!$H$10:$H$408,MATCH(D262,Таблица2[Наименование материала],0))</f>
        <v>0</v>
      </c>
      <c r="M262" s="979">
        <f t="shared" si="10"/>
        <v>0</v>
      </c>
      <c r="O262" s="934">
        <f t="shared" si="7"/>
        <v>0</v>
      </c>
      <c r="Q262" s="957"/>
      <c r="R262" s="957"/>
      <c r="S262" s="957"/>
      <c r="T262" s="957"/>
      <c r="U262" s="957"/>
      <c r="V262" s="957"/>
      <c r="W262" s="957"/>
      <c r="X262" s="934"/>
      <c r="Y262" s="934"/>
      <c r="Z262" s="934"/>
      <c r="AA262" s="934"/>
      <c r="AB262" s="987"/>
      <c r="AC262" s="934"/>
      <c r="AD262" s="934"/>
      <c r="AE262" s="934"/>
      <c r="AF262" s="934"/>
      <c r="AG262" s="934"/>
      <c r="AH262" s="934"/>
      <c r="AI262" s="934"/>
      <c r="AJ262" s="934"/>
    </row>
    <row r="263" spans="1:36" ht="15" hidden="1" customHeight="1" outlineLevel="1">
      <c r="B263" s="1432"/>
      <c r="C263" s="909" t="s">
        <v>1051</v>
      </c>
      <c r="D263" s="732" t="s">
        <v>406</v>
      </c>
      <c r="E263" s="733"/>
      <c r="F263" s="733"/>
      <c r="G263" s="733"/>
      <c r="H263" s="749"/>
      <c r="I263" s="734" t="s">
        <v>112</v>
      </c>
      <c r="J263" s="736">
        <v>0</v>
      </c>
      <c r="K263" s="977">
        <f>IFERROR(_xlfn.CEILING.MATH(J263,INDEX('СВОДНАЯ СПЕЦИФИКАЦИЯ'!$C$10:$C$408,MATCH(D263,'СВОДНАЯ СПЕЦИФИКАЦИЯ'!$D$10:$D$408,0))),"Введите кол-во")</f>
        <v>0</v>
      </c>
      <c r="L263" s="978">
        <f>INDEX('СВОДНАЯ СПЕЦИФИКАЦИЯ'!$H$10:$H$408,MATCH(D263,Таблица2[Наименование материала],0))</f>
        <v>0</v>
      </c>
      <c r="M263" s="979">
        <f t="shared" si="10"/>
        <v>0</v>
      </c>
      <c r="O263" s="934">
        <f t="shared" si="7"/>
        <v>0</v>
      </c>
      <c r="Q263" s="957"/>
      <c r="R263" s="957"/>
      <c r="S263" s="957"/>
      <c r="T263" s="957"/>
      <c r="U263" s="957"/>
      <c r="V263" s="957"/>
      <c r="W263" s="957"/>
      <c r="X263" s="934"/>
      <c r="Y263" s="934"/>
      <c r="Z263" s="934"/>
      <c r="AA263" s="934"/>
      <c r="AB263" s="987"/>
      <c r="AC263" s="934"/>
      <c r="AD263" s="934"/>
      <c r="AE263" s="934"/>
      <c r="AF263" s="934"/>
      <c r="AG263" s="934"/>
      <c r="AH263" s="934"/>
      <c r="AI263" s="934"/>
      <c r="AJ263" s="934"/>
    </row>
    <row r="264" spans="1:36" ht="15" hidden="1" customHeight="1" outlineLevel="1">
      <c r="B264" s="1432"/>
      <c r="C264" s="909" t="s">
        <v>1052</v>
      </c>
      <c r="D264" s="732" t="s">
        <v>407</v>
      </c>
      <c r="E264" s="733"/>
      <c r="F264" s="733"/>
      <c r="G264" s="733"/>
      <c r="H264" s="749"/>
      <c r="I264" s="734" t="s">
        <v>112</v>
      </c>
      <c r="J264" s="736">
        <v>0</v>
      </c>
      <c r="K264" s="977">
        <f>IFERROR(_xlfn.CEILING.MATH(J264,INDEX('СВОДНАЯ СПЕЦИФИКАЦИЯ'!$C$10:$C$408,MATCH(D264,'СВОДНАЯ СПЕЦИФИКАЦИЯ'!$D$10:$D$408,0))),"Введите кол-во")</f>
        <v>0</v>
      </c>
      <c r="L264" s="978">
        <f>INDEX('СВОДНАЯ СПЕЦИФИКАЦИЯ'!$H$10:$H$408,MATCH(D264,Таблица2[Наименование материала],0))</f>
        <v>0</v>
      </c>
      <c r="M264" s="979">
        <f t="shared" si="10"/>
        <v>0</v>
      </c>
      <c r="O264" s="934">
        <f t="shared" si="7"/>
        <v>0</v>
      </c>
      <c r="Q264" s="957"/>
      <c r="R264" s="957"/>
      <c r="S264" s="957"/>
      <c r="T264" s="957"/>
      <c r="U264" s="957"/>
      <c r="V264" s="957"/>
      <c r="W264" s="957"/>
      <c r="X264" s="934"/>
      <c r="Y264" s="934"/>
      <c r="Z264" s="934"/>
      <c r="AA264" s="934"/>
      <c r="AB264" s="987"/>
      <c r="AC264" s="934"/>
      <c r="AD264" s="934"/>
      <c r="AE264" s="934"/>
      <c r="AF264" s="934"/>
      <c r="AG264" s="934"/>
      <c r="AH264" s="934"/>
      <c r="AI264" s="934"/>
      <c r="AJ264" s="934"/>
    </row>
    <row r="265" spans="1:36" ht="15" hidden="1" customHeight="1" outlineLevel="1">
      <c r="B265" s="1432"/>
      <c r="C265" s="909" t="s">
        <v>909</v>
      </c>
      <c r="D265" s="732" t="s">
        <v>908</v>
      </c>
      <c r="E265" s="733"/>
      <c r="F265" s="733"/>
      <c r="G265" s="733"/>
      <c r="H265" s="749"/>
      <c r="I265" s="734" t="s">
        <v>151</v>
      </c>
      <c r="J265" s="750">
        <v>0</v>
      </c>
      <c r="K265" s="977">
        <f>IFERROR(_xlfn.CEILING.MATH(J265,INDEX('СВОДНАЯ СПЕЦИФИКАЦИЯ'!$C$10:$C$408,MATCH(D265,'СВОДНАЯ СПЕЦИФИКАЦИЯ'!$D$10:$D$408,0))),"Введите кол-во")</f>
        <v>0</v>
      </c>
      <c r="L265" s="978">
        <f>INDEX('СВОДНАЯ СПЕЦИФИКАЦИЯ'!$H$10:$H$408,MATCH(D265,Таблица2[Наименование материала],0))</f>
        <v>0</v>
      </c>
      <c r="M265" s="979">
        <f t="shared" si="10"/>
        <v>0</v>
      </c>
      <c r="O265" s="934">
        <f t="shared" si="7"/>
        <v>0</v>
      </c>
      <c r="Q265" s="957"/>
      <c r="R265" s="957"/>
      <c r="S265" s="957"/>
      <c r="T265" s="957"/>
      <c r="U265" s="957"/>
      <c r="V265" s="957"/>
      <c r="W265" s="957"/>
      <c r="X265" s="934"/>
      <c r="Y265" s="934"/>
      <c r="Z265" s="934"/>
      <c r="AA265" s="934"/>
      <c r="AB265" s="987"/>
      <c r="AC265" s="934"/>
      <c r="AD265" s="934"/>
      <c r="AE265" s="934"/>
      <c r="AF265" s="934"/>
      <c r="AG265" s="934"/>
      <c r="AH265" s="934"/>
      <c r="AI265" s="934"/>
      <c r="AJ265" s="934"/>
    </row>
    <row r="266" spans="1:36" ht="15" hidden="1" customHeight="1" outlineLevel="1">
      <c r="B266" s="1432"/>
      <c r="C266" s="909" t="s">
        <v>1077</v>
      </c>
      <c r="D266" s="732" t="s">
        <v>179</v>
      </c>
      <c r="E266" s="733"/>
      <c r="F266" s="733"/>
      <c r="G266" s="733"/>
      <c r="H266" s="749"/>
      <c r="I266" s="734" t="s">
        <v>112</v>
      </c>
      <c r="J266" s="736">
        <v>0</v>
      </c>
      <c r="K266" s="977" t="str">
        <f>IFERROR(_xlfn.CEILING.MATH(J266,INDEX('СВОДНАЯ СПЕЦИФИКАЦИЯ'!$C$10:$C$408,MATCH(D266,'СВОДНАЯ СПЕЦИФИКАЦИЯ'!$D$10:$D$408,0))),"Введите кол-во")</f>
        <v>Введите кол-во</v>
      </c>
      <c r="L266" s="978">
        <f>INDEX('СВОДНАЯ СПЕЦИФИКАЦИЯ'!$H$10:$H$408,MATCH(D266,Таблица2[Наименование материала],0))</f>
        <v>0</v>
      </c>
      <c r="M266" s="979">
        <f t="shared" si="10"/>
        <v>0</v>
      </c>
      <c r="O266" s="934">
        <f t="shared" si="7"/>
        <v>0</v>
      </c>
      <c r="Q266" s="957"/>
      <c r="R266" s="957"/>
      <c r="S266" s="957"/>
      <c r="T266" s="957"/>
      <c r="U266" s="957"/>
      <c r="V266" s="957"/>
      <c r="W266" s="957"/>
      <c r="X266" s="934"/>
      <c r="Y266" s="934"/>
      <c r="Z266" s="934"/>
      <c r="AA266" s="934"/>
      <c r="AB266" s="987"/>
      <c r="AC266" s="934"/>
      <c r="AD266" s="934"/>
      <c r="AE266" s="934"/>
      <c r="AF266" s="934"/>
      <c r="AG266" s="934"/>
      <c r="AH266" s="934"/>
      <c r="AI266" s="934"/>
      <c r="AJ266" s="934"/>
    </row>
    <row r="267" spans="1:36" ht="15" hidden="1" customHeight="1" outlineLevel="1">
      <c r="B267" s="1432"/>
      <c r="C267" s="909" t="s">
        <v>795</v>
      </c>
      <c r="D267" s="732" t="s">
        <v>248</v>
      </c>
      <c r="E267" s="733"/>
      <c r="F267" s="733"/>
      <c r="G267" s="733"/>
      <c r="H267" s="749" t="s">
        <v>296</v>
      </c>
      <c r="I267" s="734" t="s">
        <v>112</v>
      </c>
      <c r="J267" s="736">
        <v>0</v>
      </c>
      <c r="K267" s="977">
        <f>IFERROR(_xlfn.CEILING.MATH(J267,INDEX('СВОДНАЯ СПЕЦИФИКАЦИЯ'!$C$10:$C$408,MATCH(D267,'СВОДНАЯ СПЕЦИФИКАЦИЯ'!$D$10:$D$408,0))),"Введите кол-во")</f>
        <v>0</v>
      </c>
      <c r="L267" s="978">
        <f>INDEX('СВОДНАЯ СПЕЦИФИКАЦИЯ'!$H$10:$H$408,MATCH(D267,Таблица2[Наименование материала],0))</f>
        <v>0</v>
      </c>
      <c r="M267" s="979">
        <f t="shared" si="10"/>
        <v>0</v>
      </c>
      <c r="O267" s="934">
        <f t="shared" ref="O267:O303" si="11">IF(J267=0,0,1)</f>
        <v>0</v>
      </c>
      <c r="Q267" s="957"/>
      <c r="R267" s="957"/>
      <c r="S267" s="957"/>
      <c r="T267" s="957"/>
      <c r="U267" s="957"/>
      <c r="V267" s="957"/>
      <c r="W267" s="957"/>
      <c r="X267" s="934"/>
      <c r="Y267" s="934"/>
      <c r="Z267" s="934"/>
      <c r="AA267" s="934"/>
      <c r="AB267" s="987"/>
      <c r="AC267" s="934"/>
      <c r="AD267" s="934"/>
      <c r="AE267" s="934"/>
      <c r="AF267" s="934"/>
      <c r="AG267" s="934"/>
      <c r="AH267" s="934"/>
      <c r="AI267" s="934"/>
      <c r="AJ267" s="934"/>
    </row>
    <row r="268" spans="1:36" ht="15" hidden="1" customHeight="1" outlineLevel="1">
      <c r="A268" s="994"/>
      <c r="B268" s="1432"/>
      <c r="C268" s="909" t="s">
        <v>296</v>
      </c>
      <c r="D268" s="732" t="s">
        <v>282</v>
      </c>
      <c r="E268" s="733"/>
      <c r="F268" s="733"/>
      <c r="G268" s="733"/>
      <c r="H268" s="749"/>
      <c r="I268" s="751" t="s">
        <v>183</v>
      </c>
      <c r="J268" s="736">
        <v>0</v>
      </c>
      <c r="K268" s="977" t="str">
        <f>IFERROR(_xlfn.CEILING.MATH(J268,INDEX('СВОДНАЯ СПЕЦИФИКАЦИЯ'!$C$10:$C$408,MATCH(D268,'СВОДНАЯ СПЕЦИФИКАЦИЯ'!$D$10:$D$408,0))),"Введите кол-во")</f>
        <v>Введите кол-во</v>
      </c>
      <c r="L268" s="978">
        <f>INDEX('СВОДНАЯ СПЕЦИФИКАЦИЯ'!$H$10:$H$408,MATCH(D268,Таблица2[Наименование материала],0))</f>
        <v>0</v>
      </c>
      <c r="M268" s="979">
        <f t="shared" si="8"/>
        <v>0</v>
      </c>
      <c r="O268" s="934">
        <f t="shared" si="11"/>
        <v>0</v>
      </c>
      <c r="Q268" s="957"/>
      <c r="R268" s="957"/>
      <c r="S268" s="957"/>
      <c r="T268" s="957"/>
      <c r="U268" s="957"/>
      <c r="V268" s="957"/>
      <c r="W268" s="957"/>
      <c r="X268" s="934"/>
      <c r="Y268" s="934"/>
      <c r="Z268" s="934"/>
      <c r="AA268" s="934"/>
      <c r="AB268" s="987"/>
      <c r="AC268" s="934"/>
      <c r="AD268" s="934"/>
      <c r="AE268" s="934"/>
      <c r="AF268" s="934"/>
      <c r="AG268" s="934"/>
      <c r="AH268" s="934"/>
      <c r="AI268" s="934"/>
      <c r="AJ268" s="934"/>
    </row>
    <row r="269" spans="1:36" ht="15" hidden="1" customHeight="1" outlineLevel="1">
      <c r="A269" s="994"/>
      <c r="B269" s="1432"/>
      <c r="C269" s="909" t="s">
        <v>296</v>
      </c>
      <c r="D269" s="732" t="s">
        <v>287</v>
      </c>
      <c r="E269" s="733"/>
      <c r="F269" s="733"/>
      <c r="G269" s="733"/>
      <c r="H269" s="749"/>
      <c r="I269" s="751" t="s">
        <v>183</v>
      </c>
      <c r="J269" s="736">
        <v>0</v>
      </c>
      <c r="K269" s="977" t="str">
        <f>IFERROR(_xlfn.CEILING.MATH(J269,INDEX('СВОДНАЯ СПЕЦИФИКАЦИЯ'!$C$10:$C$408,MATCH(D269,'СВОДНАЯ СПЕЦИФИКАЦИЯ'!$D$10:$D$408,0))),"Введите кол-во")</f>
        <v>Введите кол-во</v>
      </c>
      <c r="L269" s="978">
        <f>INDEX('СВОДНАЯ СПЕЦИФИКАЦИЯ'!$H$10:$H$408,MATCH(D269,Таблица2[Наименование материала],0))</f>
        <v>0</v>
      </c>
      <c r="M269" s="979">
        <f t="shared" si="8"/>
        <v>0</v>
      </c>
      <c r="O269" s="934">
        <f t="shared" si="11"/>
        <v>0</v>
      </c>
      <c r="Q269" s="957"/>
      <c r="R269" s="957"/>
      <c r="S269" s="957"/>
      <c r="T269" s="957"/>
      <c r="U269" s="957"/>
      <c r="V269" s="957"/>
      <c r="W269" s="957"/>
      <c r="X269" s="934"/>
      <c r="Y269" s="934"/>
      <c r="Z269" s="934"/>
      <c r="AA269" s="934"/>
      <c r="AB269" s="987"/>
      <c r="AC269" s="934"/>
      <c r="AD269" s="934"/>
      <c r="AE269" s="934"/>
      <c r="AF269" s="934"/>
      <c r="AG269" s="934"/>
      <c r="AH269" s="934"/>
      <c r="AI269" s="934"/>
      <c r="AJ269" s="934"/>
    </row>
    <row r="270" spans="1:36" ht="15" hidden="1" customHeight="1" outlineLevel="1">
      <c r="A270" s="994"/>
      <c r="B270" s="1432"/>
      <c r="C270" s="909" t="s">
        <v>296</v>
      </c>
      <c r="D270" s="732" t="s">
        <v>283</v>
      </c>
      <c r="E270" s="733"/>
      <c r="F270" s="733"/>
      <c r="G270" s="733"/>
      <c r="H270" s="749"/>
      <c r="I270" s="751" t="s">
        <v>183</v>
      </c>
      <c r="J270" s="736">
        <v>0</v>
      </c>
      <c r="K270" s="977" t="str">
        <f>IFERROR(_xlfn.CEILING.MATH(J270,INDEX('СВОДНАЯ СПЕЦИФИКАЦИЯ'!$C$10:$C$408,MATCH(D270,'СВОДНАЯ СПЕЦИФИКАЦИЯ'!$D$10:$D$408,0))),"Введите кол-во")</f>
        <v>Введите кол-во</v>
      </c>
      <c r="L270" s="978">
        <f>INDEX('СВОДНАЯ СПЕЦИФИКАЦИЯ'!$H$10:$H$408,MATCH(D270,Таблица2[Наименование материала],0))</f>
        <v>0</v>
      </c>
      <c r="M270" s="979">
        <f t="shared" si="8"/>
        <v>0</v>
      </c>
      <c r="O270" s="934">
        <f t="shared" si="11"/>
        <v>0</v>
      </c>
      <c r="Q270" s="957"/>
      <c r="R270" s="957"/>
      <c r="S270" s="957"/>
      <c r="T270" s="957"/>
      <c r="U270" s="957"/>
      <c r="V270" s="957"/>
      <c r="W270" s="957"/>
      <c r="X270" s="934"/>
      <c r="Y270" s="934"/>
      <c r="Z270" s="934"/>
      <c r="AA270" s="934"/>
      <c r="AB270" s="987"/>
      <c r="AC270" s="934"/>
      <c r="AD270" s="934"/>
      <c r="AE270" s="934"/>
      <c r="AF270" s="934"/>
      <c r="AG270" s="934"/>
      <c r="AH270" s="934"/>
      <c r="AI270" s="934"/>
      <c r="AJ270" s="934"/>
    </row>
    <row r="271" spans="1:36" ht="15" hidden="1" customHeight="1" outlineLevel="1">
      <c r="B271" s="1432"/>
      <c r="C271" s="909" t="s">
        <v>703</v>
      </c>
      <c r="D271" s="732" t="s">
        <v>677</v>
      </c>
      <c r="E271" s="733"/>
      <c r="F271" s="733"/>
      <c r="G271" s="733"/>
      <c r="H271" s="749"/>
      <c r="I271" s="739" t="s">
        <v>151</v>
      </c>
      <c r="J271" s="736">
        <v>0</v>
      </c>
      <c r="K271" s="977" t="str">
        <f>IFERROR(_xlfn.CEILING.MATH(J271,INDEX('СВОДНАЯ СПЕЦИФИКАЦИЯ'!$C$10:$C$408,MATCH(D271,'СВОДНАЯ СПЕЦИФИКАЦИЯ'!$D$10:$D$408,0))),"Введите кол-во")</f>
        <v>Введите кол-во</v>
      </c>
      <c r="L271" s="978">
        <f>INDEX('СВОДНАЯ СПЕЦИФИКАЦИЯ'!$H$10:$H$408,MATCH(D271,Таблица2[Наименование материала],0))</f>
        <v>0</v>
      </c>
      <c r="M271" s="979">
        <f t="shared" si="8"/>
        <v>0</v>
      </c>
      <c r="O271" s="934">
        <f t="shared" si="11"/>
        <v>0</v>
      </c>
      <c r="Q271" s="957"/>
      <c r="R271" s="957"/>
      <c r="S271" s="957"/>
      <c r="T271" s="957"/>
      <c r="U271" s="957"/>
      <c r="V271" s="957"/>
      <c r="W271" s="957"/>
      <c r="X271" s="934"/>
      <c r="Y271" s="934"/>
      <c r="Z271" s="934"/>
      <c r="AA271" s="934"/>
      <c r="AB271" s="987"/>
      <c r="AC271" s="934"/>
      <c r="AD271" s="934"/>
      <c r="AE271" s="934"/>
      <c r="AF271" s="934"/>
      <c r="AG271" s="934"/>
      <c r="AH271" s="934"/>
      <c r="AI271" s="934"/>
      <c r="AJ271" s="934"/>
    </row>
    <row r="272" spans="1:36" ht="15" hidden="1" customHeight="1" collapsed="1">
      <c r="B272" s="1432"/>
      <c r="C272" s="909" t="s">
        <v>702</v>
      </c>
      <c r="D272" s="732" t="s">
        <v>344</v>
      </c>
      <c r="E272" s="733"/>
      <c r="F272" s="733"/>
      <c r="G272" s="733"/>
      <c r="H272" s="749"/>
      <c r="I272" s="739" t="s">
        <v>151</v>
      </c>
      <c r="J272" s="750">
        <v>0</v>
      </c>
      <c r="K272" s="977" t="str">
        <f>IFERROR(_xlfn.CEILING.MATH(J272,INDEX('СВОДНАЯ СПЕЦИФИКАЦИЯ'!$C$10:$C$408,MATCH(D272,'СВОДНАЯ СПЕЦИФИКАЦИЯ'!$D$10:$D$408,0))),"Введите кол-во")</f>
        <v>Введите кол-во</v>
      </c>
      <c r="L272" s="978">
        <f>INDEX('СВОДНАЯ СПЕЦИФИКАЦИЯ'!$H$10:$H$408,MATCH(D272,Таблица2[Наименование материала],0))</f>
        <v>0</v>
      </c>
      <c r="M272" s="979">
        <f t="shared" si="8"/>
        <v>0</v>
      </c>
      <c r="O272" s="934">
        <f t="shared" si="11"/>
        <v>0</v>
      </c>
      <c r="Q272" s="957"/>
      <c r="R272" s="957"/>
      <c r="S272" s="957"/>
      <c r="T272" s="957"/>
      <c r="U272" s="957"/>
      <c r="V272" s="957"/>
      <c r="W272" s="957"/>
      <c r="X272" s="934"/>
      <c r="Y272" s="934"/>
      <c r="Z272" s="934"/>
      <c r="AA272" s="934"/>
      <c r="AB272" s="987"/>
      <c r="AC272" s="934"/>
      <c r="AD272" s="934"/>
      <c r="AE272" s="934"/>
      <c r="AF272" s="934"/>
      <c r="AG272" s="934"/>
      <c r="AH272" s="934"/>
      <c r="AI272" s="934"/>
      <c r="AJ272" s="934"/>
    </row>
    <row r="273" spans="1:36" ht="15" hidden="1" customHeight="1">
      <c r="B273" s="1432"/>
      <c r="C273" s="909" t="s">
        <v>701</v>
      </c>
      <c r="D273" s="732" t="s">
        <v>802</v>
      </c>
      <c r="E273" s="733"/>
      <c r="F273" s="733"/>
      <c r="G273" s="733"/>
      <c r="H273" s="749"/>
      <c r="I273" s="739" t="s">
        <v>151</v>
      </c>
      <c r="J273" s="750">
        <v>0</v>
      </c>
      <c r="K273" s="977">
        <f>IFERROR(_xlfn.CEILING.MATH(J273,INDEX('СВОДНАЯ СПЕЦИФИКАЦИЯ'!$C$10:$C$408,MATCH(D273,'СВОДНАЯ СПЕЦИФИКАЦИЯ'!$D$10:$D$408,0))),"Введите кол-во")</f>
        <v>0</v>
      </c>
      <c r="L273" s="978">
        <f>INDEX('СВОДНАЯ СПЕЦИФИКАЦИЯ'!$H$10:$H$408,MATCH(D273,Таблица2[Наименование материала],0))</f>
        <v>0</v>
      </c>
      <c r="M273" s="979">
        <f t="shared" si="8"/>
        <v>0</v>
      </c>
      <c r="O273" s="934">
        <f t="shared" si="11"/>
        <v>0</v>
      </c>
      <c r="Q273" s="957"/>
      <c r="R273" s="957"/>
      <c r="S273" s="957"/>
      <c r="T273" s="957"/>
      <c r="U273" s="957"/>
      <c r="V273" s="957"/>
      <c r="W273" s="957"/>
      <c r="X273" s="934"/>
      <c r="Y273" s="934"/>
      <c r="Z273" s="934"/>
      <c r="AA273" s="934"/>
      <c r="AB273" s="987"/>
      <c r="AC273" s="934"/>
      <c r="AD273" s="934"/>
      <c r="AE273" s="934"/>
      <c r="AF273" s="934"/>
      <c r="AG273" s="934"/>
      <c r="AH273" s="934"/>
      <c r="AI273" s="934"/>
      <c r="AJ273" s="934"/>
    </row>
    <row r="274" spans="1:36" ht="15" hidden="1" customHeight="1">
      <c r="B274" s="1432"/>
      <c r="C274" s="909" t="s">
        <v>1116</v>
      </c>
      <c r="D274" s="732" t="s">
        <v>691</v>
      </c>
      <c r="E274" s="733"/>
      <c r="F274" s="733"/>
      <c r="G274" s="733"/>
      <c r="H274" s="749"/>
      <c r="I274" s="739" t="s">
        <v>151</v>
      </c>
      <c r="J274" s="750">
        <v>0</v>
      </c>
      <c r="K274" s="977">
        <f>IFERROR(_xlfn.CEILING.MATH(J274,INDEX('СВОДНАЯ СПЕЦИФИКАЦИЯ'!$C$10:$C$408,MATCH(D274,'СВОДНАЯ СПЕЦИФИКАЦИЯ'!$D$10:$D$408,0))),"Введите кол-во")</f>
        <v>0</v>
      </c>
      <c r="L274" s="978">
        <f>INDEX('СВОДНАЯ СПЕЦИФИКАЦИЯ'!$H$10:$H$408,MATCH(D274,Таблица2[Наименование материала],0))</f>
        <v>0</v>
      </c>
      <c r="M274" s="979">
        <f t="shared" si="8"/>
        <v>0</v>
      </c>
      <c r="O274" s="934">
        <f t="shared" si="11"/>
        <v>0</v>
      </c>
      <c r="Q274" s="957"/>
      <c r="R274" s="957"/>
      <c r="S274" s="957"/>
      <c r="T274" s="957"/>
      <c r="U274" s="957"/>
      <c r="V274" s="957"/>
      <c r="W274" s="957"/>
      <c r="X274" s="934"/>
      <c r="Y274" s="934"/>
      <c r="Z274" s="934"/>
      <c r="AA274" s="934"/>
      <c r="AB274" s="987"/>
      <c r="AC274" s="934"/>
      <c r="AD274" s="934"/>
      <c r="AE274" s="934"/>
      <c r="AF274" s="934"/>
      <c r="AG274" s="934"/>
      <c r="AH274" s="934"/>
      <c r="AI274" s="934"/>
      <c r="AJ274" s="934"/>
    </row>
    <row r="275" spans="1:36" ht="15" hidden="1" customHeight="1">
      <c r="A275" s="994"/>
      <c r="B275" s="1432"/>
      <c r="C275" s="909" t="s">
        <v>296</v>
      </c>
      <c r="D275" s="732" t="s">
        <v>430</v>
      </c>
      <c r="E275" s="733"/>
      <c r="F275" s="733"/>
      <c r="G275" s="733"/>
      <c r="H275" s="749"/>
      <c r="I275" s="739" t="s">
        <v>151</v>
      </c>
      <c r="J275" s="750">
        <v>0</v>
      </c>
      <c r="K275" s="977" t="str">
        <f>IFERROR(_xlfn.CEILING.MATH(J275,INDEX('СВОДНАЯ СПЕЦИФИКАЦИЯ'!$C$10:$C$408,MATCH(D275,'СВОДНАЯ СПЕЦИФИКАЦИЯ'!$D$10:$D$408,0))),"Введите кол-во")</f>
        <v>Введите кол-во</v>
      </c>
      <c r="L275" s="978">
        <f>INDEX('СВОДНАЯ СПЕЦИФИКАЦИЯ'!$H$10:$H$408,MATCH(D275,Таблица2[Наименование материала],0))</f>
        <v>0</v>
      </c>
      <c r="M275" s="979">
        <f t="shared" si="8"/>
        <v>0</v>
      </c>
      <c r="O275" s="934">
        <f t="shared" si="11"/>
        <v>0</v>
      </c>
      <c r="Q275" s="957"/>
      <c r="R275" s="957"/>
      <c r="S275" s="957"/>
      <c r="T275" s="957"/>
      <c r="U275" s="957"/>
      <c r="V275" s="957"/>
      <c r="W275" s="957"/>
      <c r="X275" s="934"/>
      <c r="Y275" s="934"/>
      <c r="Z275" s="934"/>
      <c r="AA275" s="934"/>
      <c r="AB275" s="987"/>
      <c r="AC275" s="934"/>
      <c r="AD275" s="934"/>
      <c r="AE275" s="934"/>
      <c r="AF275" s="934"/>
      <c r="AG275" s="934"/>
      <c r="AH275" s="934"/>
      <c r="AI275" s="934"/>
      <c r="AJ275" s="934"/>
    </row>
    <row r="276" spans="1:36" ht="15" hidden="1" customHeight="1">
      <c r="B276" s="1432"/>
      <c r="C276" s="909"/>
      <c r="D276" s="732"/>
      <c r="E276" s="733"/>
      <c r="F276" s="733"/>
      <c r="G276" s="733"/>
      <c r="H276" s="749"/>
      <c r="I276" s="739"/>
      <c r="J276" s="736"/>
      <c r="K276" s="735"/>
      <c r="L276" s="995"/>
      <c r="M276" s="979">
        <f t="shared" si="8"/>
        <v>0</v>
      </c>
      <c r="O276" s="934">
        <f t="shared" si="11"/>
        <v>0</v>
      </c>
      <c r="Q276" s="957"/>
      <c r="R276" s="957"/>
      <c r="S276" s="957"/>
      <c r="T276" s="957"/>
      <c r="U276" s="957"/>
      <c r="V276" s="957"/>
      <c r="W276" s="957"/>
      <c r="X276" s="934"/>
      <c r="Y276" s="934"/>
      <c r="Z276" s="934"/>
      <c r="AA276" s="934"/>
      <c r="AB276" s="987"/>
      <c r="AC276" s="934"/>
      <c r="AD276" s="934"/>
      <c r="AE276" s="934"/>
      <c r="AF276" s="934"/>
      <c r="AG276" s="934"/>
      <c r="AH276" s="934"/>
      <c r="AI276" s="934"/>
      <c r="AJ276" s="934"/>
    </row>
    <row r="277" spans="1:36" ht="15" hidden="1" customHeight="1">
      <c r="B277" s="1432"/>
      <c r="C277" s="909" t="s">
        <v>1035</v>
      </c>
      <c r="D277" s="732" t="s">
        <v>434</v>
      </c>
      <c r="E277" s="733"/>
      <c r="F277" s="733"/>
      <c r="G277" s="733"/>
      <c r="H277" s="749"/>
      <c r="I277" s="734" t="s">
        <v>112</v>
      </c>
      <c r="J277" s="736">
        <v>0</v>
      </c>
      <c r="K277" s="977">
        <f>IFERROR(_xlfn.CEILING.MATH(J277,INDEX('СВОДНАЯ СПЕЦИФИКАЦИЯ'!$C$10:$C$408,MATCH(D277,'СВОДНАЯ СПЕЦИФИКАЦИЯ'!$D$10:$D$408,0))),"Введите кол-во")</f>
        <v>0</v>
      </c>
      <c r="L277" s="978">
        <f>INDEX('СВОДНАЯ СПЕЦИФИКАЦИЯ'!$H$10:$H$408,MATCH(D277,Таблица2[Наименование материала],0))</f>
        <v>0</v>
      </c>
      <c r="M277" s="979">
        <f t="shared" si="8"/>
        <v>0</v>
      </c>
      <c r="O277" s="934">
        <f t="shared" si="11"/>
        <v>0</v>
      </c>
      <c r="Q277" s="957"/>
      <c r="R277" s="957"/>
      <c r="S277" s="957"/>
      <c r="T277" s="957"/>
      <c r="U277" s="957"/>
      <c r="V277" s="957"/>
      <c r="W277" s="957"/>
      <c r="X277" s="934"/>
      <c r="Y277" s="934"/>
      <c r="Z277" s="934"/>
      <c r="AA277" s="934"/>
      <c r="AB277" s="987"/>
      <c r="AC277" s="934"/>
      <c r="AD277" s="934"/>
      <c r="AE277" s="934"/>
      <c r="AF277" s="934"/>
      <c r="AG277" s="934"/>
      <c r="AH277" s="934"/>
      <c r="AI277" s="934"/>
      <c r="AJ277" s="934"/>
    </row>
    <row r="278" spans="1:36" ht="15" hidden="1" customHeight="1">
      <c r="B278" s="1432"/>
      <c r="C278" s="909">
        <v>670878</v>
      </c>
      <c r="D278" s="732" t="s">
        <v>435</v>
      </c>
      <c r="E278" s="733"/>
      <c r="F278" s="733"/>
      <c r="G278" s="733"/>
      <c r="H278" s="749"/>
      <c r="I278" s="734" t="s">
        <v>112</v>
      </c>
      <c r="J278" s="736">
        <v>0</v>
      </c>
      <c r="K278" s="977">
        <f>IFERROR(_xlfn.CEILING.MATH(J278,INDEX('СВОДНАЯ СПЕЦИФИКАЦИЯ'!$C$10:$C$408,MATCH(D278,'СВОДНАЯ СПЕЦИФИКАЦИЯ'!$D$10:$D$408,0))),"Введите кол-во")</f>
        <v>0</v>
      </c>
      <c r="L278" s="978">
        <f>INDEX('СВОДНАЯ СПЕЦИФИКАЦИЯ'!$H$10:$H$408,MATCH(D278,Таблица2[Наименование материала],0))</f>
        <v>0</v>
      </c>
      <c r="M278" s="979">
        <f t="shared" si="8"/>
        <v>0</v>
      </c>
      <c r="O278" s="934">
        <f t="shared" si="11"/>
        <v>0</v>
      </c>
      <c r="Q278" s="957"/>
      <c r="R278" s="957"/>
      <c r="S278" s="957"/>
      <c r="T278" s="957"/>
      <c r="U278" s="957"/>
      <c r="V278" s="957"/>
      <c r="W278" s="957"/>
      <c r="X278" s="934"/>
      <c r="Y278" s="934"/>
      <c r="Z278" s="934"/>
      <c r="AA278" s="934"/>
      <c r="AB278" s="987"/>
      <c r="AC278" s="934"/>
      <c r="AD278" s="934"/>
      <c r="AE278" s="934"/>
      <c r="AF278" s="934"/>
      <c r="AG278" s="934"/>
      <c r="AH278" s="934"/>
      <c r="AI278" s="934"/>
      <c r="AJ278" s="934"/>
    </row>
    <row r="279" spans="1:36" ht="15" hidden="1" customHeight="1">
      <c r="B279" s="1432"/>
      <c r="C279" s="909">
        <v>670879</v>
      </c>
      <c r="D279" s="732" t="s">
        <v>436</v>
      </c>
      <c r="E279" s="733"/>
      <c r="F279" s="733"/>
      <c r="G279" s="733"/>
      <c r="H279" s="749"/>
      <c r="I279" s="734" t="s">
        <v>112</v>
      </c>
      <c r="J279" s="736">
        <v>0</v>
      </c>
      <c r="K279" s="977">
        <f>IFERROR(_xlfn.CEILING.MATH(J279,INDEX('СВОДНАЯ СПЕЦИФИКАЦИЯ'!$C$10:$C$408,MATCH(D279,'СВОДНАЯ СПЕЦИФИКАЦИЯ'!$D$10:$D$408,0))),"Введите кол-во")</f>
        <v>0</v>
      </c>
      <c r="L279" s="978">
        <f>INDEX('СВОДНАЯ СПЕЦИФИКАЦИЯ'!$H$10:$H$408,MATCH(D279,Таблица2[Наименование материала],0))</f>
        <v>0</v>
      </c>
      <c r="M279" s="979">
        <f t="shared" si="8"/>
        <v>0</v>
      </c>
      <c r="O279" s="934">
        <f t="shared" si="11"/>
        <v>0</v>
      </c>
      <c r="Q279" s="957"/>
      <c r="R279" s="957"/>
      <c r="S279" s="957"/>
      <c r="T279" s="957"/>
      <c r="U279" s="957"/>
      <c r="V279" s="957"/>
      <c r="W279" s="957"/>
      <c r="X279" s="934"/>
      <c r="Y279" s="934"/>
      <c r="Z279" s="934"/>
      <c r="AA279" s="934"/>
      <c r="AB279" s="987"/>
      <c r="AC279" s="934"/>
      <c r="AD279" s="934"/>
      <c r="AE279" s="934"/>
      <c r="AF279" s="934"/>
      <c r="AG279" s="934"/>
      <c r="AH279" s="934"/>
      <c r="AI279" s="934"/>
      <c r="AJ279" s="934"/>
    </row>
    <row r="280" spans="1:36" ht="15" hidden="1" customHeight="1">
      <c r="B280" s="1432"/>
      <c r="C280" s="748"/>
      <c r="D280" s="732"/>
      <c r="E280" s="733"/>
      <c r="F280" s="733"/>
      <c r="G280" s="733"/>
      <c r="H280" s="749"/>
      <c r="I280" s="739"/>
      <c r="J280" s="736"/>
      <c r="K280" s="735"/>
      <c r="L280" s="995"/>
      <c r="M280" s="979">
        <f t="shared" si="8"/>
        <v>0</v>
      </c>
      <c r="O280" s="934">
        <f t="shared" si="11"/>
        <v>0</v>
      </c>
      <c r="Q280" s="957"/>
      <c r="R280" s="957"/>
      <c r="S280" s="957"/>
      <c r="T280" s="957"/>
      <c r="U280" s="957"/>
      <c r="V280" s="957"/>
      <c r="W280" s="957"/>
      <c r="X280" s="934"/>
      <c r="Y280" s="934"/>
      <c r="Z280" s="934"/>
      <c r="AA280" s="934"/>
      <c r="AB280" s="987"/>
      <c r="AC280" s="934"/>
      <c r="AD280" s="934"/>
      <c r="AE280" s="934"/>
      <c r="AF280" s="934"/>
      <c r="AG280" s="934"/>
      <c r="AH280" s="934"/>
      <c r="AI280" s="934"/>
      <c r="AJ280" s="934"/>
    </row>
    <row r="281" spans="1:36" ht="15" hidden="1" customHeight="1">
      <c r="A281" s="940"/>
      <c r="B281" s="1432"/>
      <c r="C281" s="911">
        <v>500464</v>
      </c>
      <c r="D281" s="732" t="s">
        <v>394</v>
      </c>
      <c r="E281" s="733"/>
      <c r="F281" s="733"/>
      <c r="G281" s="733" t="s">
        <v>1438</v>
      </c>
      <c r="H281" s="749"/>
      <c r="I281" s="734" t="s">
        <v>112</v>
      </c>
      <c r="J281" s="736">
        <v>0</v>
      </c>
      <c r="K281" s="977">
        <f>IFERROR(_xlfn.CEILING.MATH(J281,INDEX('СВОДНАЯ СПЕЦИФИКАЦИЯ'!$C$10:$C$408,MATCH(D281,'СВОДНАЯ СПЕЦИФИКАЦИЯ'!$D$10:$D$408,0))),"Введите кол-во")</f>
        <v>0</v>
      </c>
      <c r="L281" s="978">
        <f>INDEX('СВОДНАЯ СПЕЦИФИКАЦИЯ'!$H$10:$H$408,MATCH(D281,Таблица2[Наименование материала],0))</f>
        <v>0</v>
      </c>
      <c r="M281" s="979">
        <f t="shared" si="8"/>
        <v>0</v>
      </c>
      <c r="O281" s="934">
        <f t="shared" si="11"/>
        <v>0</v>
      </c>
      <c r="Q281" s="957"/>
      <c r="R281" s="957"/>
      <c r="S281" s="957"/>
      <c r="T281" s="957"/>
      <c r="U281" s="957"/>
      <c r="V281" s="957"/>
      <c r="W281" s="957"/>
      <c r="X281" s="934"/>
      <c r="Y281" s="934"/>
      <c r="Z281" s="934"/>
      <c r="AA281" s="934"/>
      <c r="AB281" s="987"/>
      <c r="AC281" s="934"/>
      <c r="AD281" s="934"/>
      <c r="AE281" s="934"/>
      <c r="AF281" s="934"/>
      <c r="AG281" s="934"/>
      <c r="AH281" s="934"/>
      <c r="AI281" s="934"/>
      <c r="AJ281" s="934"/>
    </row>
    <row r="282" spans="1:36" ht="15" hidden="1" customHeight="1">
      <c r="A282" s="940"/>
      <c r="B282" s="1432"/>
      <c r="C282" s="911">
        <v>500464</v>
      </c>
      <c r="D282" s="732" t="s">
        <v>1332</v>
      </c>
      <c r="E282" s="733"/>
      <c r="F282" s="733"/>
      <c r="G282" s="733" t="s">
        <v>1439</v>
      </c>
      <c r="H282" s="749"/>
      <c r="I282" s="734" t="s">
        <v>112</v>
      </c>
      <c r="J282" s="736">
        <v>0</v>
      </c>
      <c r="K282" s="977">
        <f>IFERROR(_xlfn.CEILING.MATH(J282,INDEX('СВОДНАЯ СПЕЦИФИКАЦИЯ'!$C$10:$C$408,MATCH(D282,'СВОДНАЯ СПЕЦИФИКАЦИЯ'!$D$10:$D$408,0))),"Введите кол-во")</f>
        <v>0</v>
      </c>
      <c r="L282" s="978">
        <f>INDEX('СВОДНАЯ СПЕЦИФИКАЦИЯ'!$H$10:$H$408,MATCH(D282,Таблица2[Наименование материала],0))</f>
        <v>0</v>
      </c>
      <c r="M282" s="979">
        <f t="shared" si="8"/>
        <v>0</v>
      </c>
      <c r="O282" s="934">
        <f t="shared" si="11"/>
        <v>0</v>
      </c>
      <c r="Q282" s="957"/>
      <c r="R282" s="957"/>
      <c r="S282" s="957"/>
      <c r="T282" s="957"/>
      <c r="U282" s="957"/>
      <c r="V282" s="957"/>
      <c r="W282" s="957"/>
      <c r="X282" s="934"/>
      <c r="Y282" s="934"/>
      <c r="Z282" s="934"/>
      <c r="AA282" s="934"/>
      <c r="AB282" s="987"/>
      <c r="AC282" s="934"/>
      <c r="AD282" s="934"/>
      <c r="AE282" s="934"/>
      <c r="AF282" s="934"/>
      <c r="AG282" s="934"/>
      <c r="AH282" s="934"/>
      <c r="AI282" s="934"/>
      <c r="AJ282" s="934"/>
    </row>
    <row r="283" spans="1:36" ht="15" hidden="1" customHeight="1">
      <c r="A283" s="940"/>
      <c r="B283" s="1432"/>
      <c r="C283" s="911">
        <v>500464</v>
      </c>
      <c r="D283" s="732" t="s">
        <v>1332</v>
      </c>
      <c r="E283" s="733"/>
      <c r="F283" s="733"/>
      <c r="G283" s="733" t="s">
        <v>1440</v>
      </c>
      <c r="H283" s="749"/>
      <c r="I283" s="734" t="s">
        <v>112</v>
      </c>
      <c r="J283" s="736">
        <v>0</v>
      </c>
      <c r="K283" s="977">
        <f>IFERROR(_xlfn.CEILING.MATH(J283,INDEX('СВОДНАЯ СПЕЦИФИКАЦИЯ'!$C$10:$C$408,MATCH(D283,'СВОДНАЯ СПЕЦИФИКАЦИЯ'!$D$10:$D$408,0))),"Введите кол-во")</f>
        <v>0</v>
      </c>
      <c r="L283" s="978">
        <f>INDEX('СВОДНАЯ СПЕЦИФИКАЦИЯ'!$H$10:$H$408,MATCH(D283,Таблица2[Наименование материала],0))</f>
        <v>0</v>
      </c>
      <c r="M283" s="979">
        <f t="shared" si="8"/>
        <v>0</v>
      </c>
      <c r="O283" s="934">
        <f t="shared" si="11"/>
        <v>0</v>
      </c>
      <c r="Q283" s="957"/>
      <c r="R283" s="957"/>
      <c r="S283" s="957"/>
      <c r="T283" s="957"/>
      <c r="U283" s="957"/>
      <c r="V283" s="957"/>
      <c r="W283" s="957"/>
      <c r="X283" s="934"/>
      <c r="Y283" s="934"/>
      <c r="Z283" s="934"/>
      <c r="AA283" s="934"/>
      <c r="AB283" s="987"/>
      <c r="AC283" s="934"/>
      <c r="AD283" s="934"/>
      <c r="AE283" s="934"/>
      <c r="AF283" s="934"/>
      <c r="AG283" s="934"/>
      <c r="AH283" s="934"/>
      <c r="AI283" s="934"/>
      <c r="AJ283" s="934"/>
    </row>
    <row r="284" spans="1:36" ht="15" hidden="1" customHeight="1">
      <c r="A284" s="940"/>
      <c r="B284" s="1432"/>
      <c r="C284" s="911">
        <v>500464</v>
      </c>
      <c r="D284" s="732" t="s">
        <v>1332</v>
      </c>
      <c r="E284" s="733"/>
      <c r="F284" s="733"/>
      <c r="G284" s="733" t="s">
        <v>1441</v>
      </c>
      <c r="H284" s="749"/>
      <c r="I284" s="734" t="s">
        <v>112</v>
      </c>
      <c r="J284" s="736">
        <v>0</v>
      </c>
      <c r="K284" s="977">
        <f>IFERROR(_xlfn.CEILING.MATH(J284,INDEX('СВОДНАЯ СПЕЦИФИКАЦИЯ'!$C$10:$C$408,MATCH(D284,'СВОДНАЯ СПЕЦИФИКАЦИЯ'!$D$10:$D$408,0))),"Введите кол-во")</f>
        <v>0</v>
      </c>
      <c r="L284" s="978">
        <f>INDEX('СВОДНАЯ СПЕЦИФИКАЦИЯ'!$H$10:$H$408,MATCH(D284,Таблица2[Наименование материала],0))</f>
        <v>0</v>
      </c>
      <c r="M284" s="979">
        <f t="shared" si="8"/>
        <v>0</v>
      </c>
      <c r="O284" s="934">
        <f t="shared" si="11"/>
        <v>0</v>
      </c>
      <c r="Q284" s="957"/>
      <c r="R284" s="957"/>
      <c r="S284" s="957"/>
      <c r="T284" s="957"/>
      <c r="U284" s="957"/>
      <c r="V284" s="957"/>
      <c r="W284" s="957"/>
      <c r="X284" s="934"/>
      <c r="Y284" s="934"/>
      <c r="Z284" s="934"/>
      <c r="AA284" s="934"/>
      <c r="AB284" s="987"/>
      <c r="AC284" s="934"/>
      <c r="AD284" s="934"/>
      <c r="AE284" s="934"/>
      <c r="AF284" s="934"/>
      <c r="AG284" s="934"/>
      <c r="AH284" s="934"/>
      <c r="AI284" s="934"/>
      <c r="AJ284" s="934"/>
    </row>
    <row r="285" spans="1:36" ht="15" hidden="1" customHeight="1">
      <c r="B285" s="1432"/>
      <c r="C285" s="748"/>
      <c r="D285" s="732"/>
      <c r="E285" s="733"/>
      <c r="F285" s="733"/>
      <c r="G285" s="733"/>
      <c r="H285" s="749"/>
      <c r="I285" s="739"/>
      <c r="J285" s="736"/>
      <c r="K285" s="735"/>
      <c r="L285" s="995"/>
      <c r="M285" s="979">
        <f t="shared" si="8"/>
        <v>0</v>
      </c>
      <c r="O285" s="934">
        <f t="shared" si="11"/>
        <v>0</v>
      </c>
      <c r="Q285" s="957"/>
      <c r="R285" s="957"/>
      <c r="S285" s="957"/>
      <c r="T285" s="957"/>
      <c r="U285" s="957"/>
      <c r="V285" s="957"/>
      <c r="W285" s="957"/>
      <c r="X285" s="934"/>
      <c r="Y285" s="934"/>
      <c r="Z285" s="934"/>
      <c r="AA285" s="934"/>
      <c r="AB285" s="987"/>
      <c r="AC285" s="934"/>
      <c r="AD285" s="934"/>
      <c r="AE285" s="934"/>
      <c r="AF285" s="934"/>
      <c r="AG285" s="934"/>
      <c r="AH285" s="934"/>
      <c r="AI285" s="934"/>
      <c r="AJ285" s="934"/>
    </row>
    <row r="286" spans="1:36" ht="15" hidden="1" customHeight="1">
      <c r="A286" s="940"/>
      <c r="B286" s="1432"/>
      <c r="C286" s="909" t="s">
        <v>1107</v>
      </c>
      <c r="D286" s="732" t="s">
        <v>1104</v>
      </c>
      <c r="E286" s="733"/>
      <c r="F286" s="733"/>
      <c r="G286" s="733"/>
      <c r="H286" s="749"/>
      <c r="I286" s="739" t="s">
        <v>112</v>
      </c>
      <c r="J286" s="736">
        <v>0</v>
      </c>
      <c r="K286" s="977">
        <f>IFERROR(_xlfn.CEILING.MATH(J286,INDEX('СВОДНАЯ СПЕЦИФИКАЦИЯ'!$C$10:$C$408,MATCH(D286,'СВОДНАЯ СПЕЦИФИКАЦИЯ'!$D$10:$D$408,0))),"Введите кол-во")</f>
        <v>0</v>
      </c>
      <c r="L286" s="978">
        <f>INDEX('СВОДНАЯ СПЕЦИФИКАЦИЯ'!$H$10:$H$408,MATCH(D286,Таблица2[Наименование материала],0))</f>
        <v>200</v>
      </c>
      <c r="M286" s="979">
        <f t="shared" si="8"/>
        <v>0</v>
      </c>
      <c r="O286" s="934">
        <f t="shared" si="11"/>
        <v>0</v>
      </c>
      <c r="Q286" s="957"/>
      <c r="R286" s="957"/>
      <c r="S286" s="957"/>
      <c r="T286" s="957"/>
      <c r="U286" s="957"/>
      <c r="V286" s="957"/>
      <c r="W286" s="957"/>
      <c r="X286" s="934"/>
      <c r="Y286" s="934"/>
      <c r="Z286" s="934"/>
      <c r="AA286" s="934"/>
      <c r="AB286" s="987"/>
      <c r="AC286" s="934"/>
      <c r="AD286" s="934"/>
      <c r="AE286" s="934"/>
      <c r="AF286" s="934"/>
      <c r="AG286" s="934"/>
      <c r="AH286" s="934"/>
      <c r="AI286" s="934"/>
      <c r="AJ286" s="934"/>
    </row>
    <row r="287" spans="1:36" ht="15" hidden="1" customHeight="1">
      <c r="A287" s="940"/>
      <c r="B287" s="1432"/>
      <c r="C287" s="909" t="s">
        <v>1106</v>
      </c>
      <c r="D287" s="732" t="s">
        <v>1105</v>
      </c>
      <c r="E287" s="733"/>
      <c r="F287" s="733"/>
      <c r="G287" s="733"/>
      <c r="H287" s="749"/>
      <c r="I287" s="739" t="s">
        <v>112</v>
      </c>
      <c r="J287" s="736">
        <v>0</v>
      </c>
      <c r="K287" s="977">
        <f>IFERROR(_xlfn.CEILING.MATH(J287,INDEX('СВОДНАЯ СПЕЦИФИКАЦИЯ'!$C$10:$C$408,MATCH(D287,'СВОДНАЯ СПЕЦИФИКАЦИЯ'!$D$10:$D$408,0))),"Введите кол-во")</f>
        <v>0</v>
      </c>
      <c r="L287" s="978">
        <f>INDEX('СВОДНАЯ СПЕЦИФИКАЦИЯ'!$H$10:$H$408,MATCH(D287,Таблица2[Наименование материала],0))</f>
        <v>0</v>
      </c>
      <c r="M287" s="979">
        <f t="shared" si="8"/>
        <v>0</v>
      </c>
      <c r="O287" s="934">
        <f t="shared" si="11"/>
        <v>0</v>
      </c>
      <c r="Q287" s="957"/>
      <c r="R287" s="957"/>
      <c r="S287" s="957"/>
      <c r="T287" s="957"/>
      <c r="U287" s="957"/>
      <c r="V287" s="957"/>
      <c r="W287" s="957"/>
      <c r="X287" s="934"/>
      <c r="Y287" s="934"/>
      <c r="Z287" s="934"/>
      <c r="AA287" s="934"/>
      <c r="AB287" s="987"/>
      <c r="AC287" s="934"/>
      <c r="AD287" s="934"/>
      <c r="AE287" s="934"/>
      <c r="AF287" s="934"/>
      <c r="AG287" s="934"/>
      <c r="AH287" s="934"/>
      <c r="AI287" s="934"/>
      <c r="AJ287" s="934"/>
    </row>
    <row r="288" spans="1:36" ht="15" hidden="1" customHeight="1">
      <c r="A288" s="940"/>
      <c r="B288" s="1432"/>
      <c r="C288" s="911">
        <v>500464</v>
      </c>
      <c r="D288" s="732" t="s">
        <v>1332</v>
      </c>
      <c r="E288" s="733"/>
      <c r="F288" s="733"/>
      <c r="G288" s="733" t="s">
        <v>1454</v>
      </c>
      <c r="H288" s="749"/>
      <c r="I288" s="739" t="s">
        <v>112</v>
      </c>
      <c r="J288" s="736">
        <v>0</v>
      </c>
      <c r="K288" s="977">
        <f>IFERROR(_xlfn.CEILING.MATH(J288,INDEX('СВОДНАЯ СПЕЦИФИКАЦИЯ'!$C$10:$C$408,MATCH(D288,'СВОДНАЯ СПЕЦИФИКАЦИЯ'!$D$10:$D$408,0))),"Введите кол-во")</f>
        <v>0</v>
      </c>
      <c r="L288" s="978">
        <f>INDEX('СВОДНАЯ СПЕЦИФИКАЦИЯ'!$H$10:$H$408,MATCH(D288,Таблица2[Наименование материала],0))</f>
        <v>0</v>
      </c>
      <c r="M288" s="979">
        <f t="shared" si="8"/>
        <v>0</v>
      </c>
      <c r="O288" s="934">
        <f t="shared" si="11"/>
        <v>0</v>
      </c>
      <c r="Q288" s="957"/>
      <c r="R288" s="957"/>
      <c r="S288" s="957"/>
      <c r="T288" s="957"/>
      <c r="U288" s="957"/>
      <c r="V288" s="957"/>
      <c r="W288" s="957"/>
      <c r="X288" s="934"/>
      <c r="Y288" s="934"/>
      <c r="Z288" s="934"/>
      <c r="AA288" s="934"/>
      <c r="AB288" s="987"/>
      <c r="AC288" s="934"/>
      <c r="AD288" s="934"/>
      <c r="AE288" s="934"/>
      <c r="AF288" s="934"/>
      <c r="AG288" s="934"/>
      <c r="AH288" s="934"/>
      <c r="AI288" s="934"/>
      <c r="AJ288" s="934"/>
    </row>
    <row r="289" spans="1:36" ht="15" hidden="1" customHeight="1">
      <c r="A289" s="940"/>
      <c r="B289" s="1432"/>
      <c r="C289" s="911" t="s">
        <v>296</v>
      </c>
      <c r="D289" s="732" t="s">
        <v>1328</v>
      </c>
      <c r="E289" s="733"/>
      <c r="F289" s="733"/>
      <c r="G289" s="733" t="s">
        <v>1453</v>
      </c>
      <c r="H289" s="749"/>
      <c r="I289" s="739" t="s">
        <v>112</v>
      </c>
      <c r="J289" s="736">
        <v>0</v>
      </c>
      <c r="K289" s="977">
        <f>IFERROR(_xlfn.CEILING.MATH(J289,INDEX('СВОДНАЯ СПЕЦИФИКАЦИЯ'!$C$10:$C$408,MATCH(D289,'СВОДНАЯ СПЕЦИФИКАЦИЯ'!$D$10:$D$408,0))),"Введите кол-во")</f>
        <v>0</v>
      </c>
      <c r="L289" s="978">
        <f>INDEX('СВОДНАЯ СПЕЦИФИКАЦИЯ'!$H$10:$H$408,MATCH(D289,Таблица2[Наименование материала],0))</f>
        <v>0</v>
      </c>
      <c r="M289" s="979">
        <f t="shared" si="8"/>
        <v>0</v>
      </c>
      <c r="O289" s="934">
        <f t="shared" si="11"/>
        <v>0</v>
      </c>
      <c r="Q289" s="957"/>
      <c r="R289" s="957"/>
      <c r="S289" s="957"/>
      <c r="T289" s="957"/>
      <c r="U289" s="957"/>
      <c r="V289" s="957"/>
      <c r="W289" s="957"/>
      <c r="X289" s="934"/>
      <c r="Y289" s="934"/>
      <c r="Z289" s="934"/>
      <c r="AA289" s="934"/>
      <c r="AB289" s="987"/>
      <c r="AC289" s="934"/>
      <c r="AD289" s="934"/>
      <c r="AE289" s="934"/>
      <c r="AF289" s="934"/>
      <c r="AG289" s="934"/>
      <c r="AH289" s="934"/>
      <c r="AI289" s="934"/>
      <c r="AJ289" s="934"/>
    </row>
    <row r="290" spans="1:36" ht="15" hidden="1" customHeight="1">
      <c r="B290" s="1432"/>
      <c r="C290" s="748"/>
      <c r="D290" s="732"/>
      <c r="E290" s="733"/>
      <c r="F290" s="733"/>
      <c r="G290" s="733"/>
      <c r="H290" s="749"/>
      <c r="I290" s="739"/>
      <c r="J290" s="736"/>
      <c r="K290" s="735"/>
      <c r="L290" s="995"/>
      <c r="M290" s="979">
        <f t="shared" si="8"/>
        <v>0</v>
      </c>
      <c r="O290" s="934">
        <f t="shared" si="11"/>
        <v>0</v>
      </c>
      <c r="Q290" s="957"/>
      <c r="R290" s="957"/>
      <c r="S290" s="957"/>
      <c r="T290" s="957"/>
      <c r="U290" s="957"/>
      <c r="V290" s="957"/>
      <c r="W290" s="957"/>
      <c r="X290" s="934"/>
      <c r="Y290" s="934"/>
      <c r="Z290" s="934"/>
      <c r="AA290" s="934"/>
      <c r="AB290" s="987"/>
      <c r="AC290" s="934"/>
      <c r="AD290" s="934"/>
      <c r="AE290" s="934"/>
      <c r="AF290" s="934"/>
      <c r="AG290" s="934"/>
      <c r="AH290" s="934"/>
      <c r="AI290" s="934"/>
      <c r="AJ290" s="934"/>
    </row>
    <row r="291" spans="1:36" ht="15" customHeight="1" thickBot="1">
      <c r="B291" s="1432"/>
      <c r="C291" s="909" t="s">
        <v>917</v>
      </c>
      <c r="D291" s="732" t="s">
        <v>529</v>
      </c>
      <c r="E291" s="733"/>
      <c r="F291" s="733"/>
      <c r="G291" s="733"/>
      <c r="H291" s="749"/>
      <c r="I291" s="739" t="s">
        <v>151</v>
      </c>
      <c r="J291" s="736">
        <v>8</v>
      </c>
      <c r="K291" s="977">
        <f>IFERROR(_xlfn.CEILING.MATH(J291,INDEX('СВОДНАЯ СПЕЦИФИКАЦИЯ'!$C$10:$C$408,MATCH(D291,'СВОДНАЯ СПЕЦИФИКАЦИЯ'!$D$10:$D$408,0))),"Введите кол-во")</f>
        <v>8</v>
      </c>
      <c r="L291" s="978">
        <f>INDEX('СВОДНАЯ СПЕЦИФИКАЦИЯ'!$H$10:$H$408,MATCH(D291,Таблица2[Наименование материала],0))</f>
        <v>0</v>
      </c>
      <c r="M291" s="979">
        <f t="shared" si="8"/>
        <v>0</v>
      </c>
      <c r="O291" s="934">
        <f t="shared" si="11"/>
        <v>1</v>
      </c>
      <c r="Q291" s="957"/>
      <c r="R291" s="957"/>
      <c r="S291" s="957"/>
      <c r="T291" s="957"/>
      <c r="U291" s="957"/>
      <c r="V291" s="957"/>
      <c r="W291" s="957"/>
      <c r="X291" s="934"/>
      <c r="Y291" s="934"/>
      <c r="Z291" s="934"/>
      <c r="AA291" s="934"/>
      <c r="AB291" s="987"/>
      <c r="AC291" s="934"/>
      <c r="AD291" s="934"/>
      <c r="AE291" s="934"/>
      <c r="AF291" s="934"/>
      <c r="AG291" s="934"/>
      <c r="AH291" s="934"/>
      <c r="AI291" s="934"/>
      <c r="AJ291" s="934"/>
    </row>
    <row r="292" spans="1:36" ht="15" hidden="1" customHeight="1">
      <c r="B292" s="1432"/>
      <c r="C292" s="754"/>
      <c r="D292" s="732"/>
      <c r="E292" s="733"/>
      <c r="F292" s="733"/>
      <c r="G292" s="733"/>
      <c r="H292" s="749"/>
      <c r="I292" s="739"/>
      <c r="J292" s="736"/>
      <c r="K292" s="735"/>
      <c r="L292" s="995"/>
      <c r="M292" s="979">
        <f t="shared" ref="M292:M355" si="12">IFERROR(K292*L292,0)</f>
        <v>0</v>
      </c>
      <c r="O292" s="934">
        <f t="shared" si="11"/>
        <v>0</v>
      </c>
      <c r="Q292" s="957"/>
      <c r="R292" s="957"/>
      <c r="S292" s="957"/>
      <c r="T292" s="957"/>
      <c r="U292" s="957"/>
      <c r="V292" s="957"/>
      <c r="W292" s="957"/>
      <c r="X292" s="934"/>
      <c r="Y292" s="934"/>
      <c r="Z292" s="934"/>
      <c r="AA292" s="934"/>
      <c r="AB292" s="987"/>
      <c r="AC292" s="934"/>
      <c r="AD292" s="934"/>
      <c r="AE292" s="934"/>
      <c r="AF292" s="934"/>
      <c r="AG292" s="934"/>
      <c r="AH292" s="934"/>
      <c r="AI292" s="934"/>
      <c r="AJ292" s="934"/>
    </row>
    <row r="293" spans="1:36" ht="15" hidden="1" customHeight="1">
      <c r="B293" s="1432"/>
      <c r="C293" s="748"/>
      <c r="D293" s="732"/>
      <c r="E293" s="733"/>
      <c r="F293" s="733"/>
      <c r="G293" s="733"/>
      <c r="H293" s="749"/>
      <c r="I293" s="739"/>
      <c r="J293" s="736"/>
      <c r="K293" s="735"/>
      <c r="L293" s="995"/>
      <c r="M293" s="979">
        <f t="shared" si="12"/>
        <v>0</v>
      </c>
      <c r="O293" s="934">
        <f t="shared" si="11"/>
        <v>0</v>
      </c>
      <c r="Q293" s="957"/>
      <c r="R293" s="957"/>
      <c r="S293" s="957"/>
      <c r="T293" s="957"/>
      <c r="U293" s="957"/>
      <c r="V293" s="957"/>
      <c r="W293" s="957"/>
      <c r="X293" s="934"/>
      <c r="Y293" s="934"/>
      <c r="Z293" s="934"/>
      <c r="AA293" s="934"/>
      <c r="AB293" s="987"/>
      <c r="AC293" s="934"/>
      <c r="AD293" s="934"/>
      <c r="AE293" s="934"/>
      <c r="AF293" s="934"/>
      <c r="AG293" s="934"/>
      <c r="AH293" s="934"/>
      <c r="AI293" s="934"/>
      <c r="AJ293" s="934"/>
    </row>
    <row r="294" spans="1:36" ht="15" hidden="1" customHeight="1">
      <c r="B294" s="1432"/>
      <c r="C294" s="748"/>
      <c r="D294" s="732"/>
      <c r="E294" s="733"/>
      <c r="F294" s="733"/>
      <c r="G294" s="733"/>
      <c r="H294" s="749"/>
      <c r="I294" s="739"/>
      <c r="J294" s="736"/>
      <c r="K294" s="736"/>
      <c r="L294" s="995"/>
      <c r="M294" s="979">
        <f t="shared" si="12"/>
        <v>0</v>
      </c>
      <c r="O294" s="934">
        <f t="shared" si="11"/>
        <v>0</v>
      </c>
      <c r="Q294" s="957"/>
      <c r="R294" s="957"/>
      <c r="S294" s="957"/>
      <c r="T294" s="957"/>
      <c r="U294" s="957"/>
      <c r="V294" s="957"/>
      <c r="W294" s="957"/>
      <c r="X294" s="934"/>
      <c r="Y294" s="934"/>
      <c r="Z294" s="934"/>
      <c r="AA294" s="934"/>
      <c r="AB294" s="987"/>
      <c r="AC294" s="934"/>
      <c r="AD294" s="934"/>
      <c r="AE294" s="934"/>
      <c r="AF294" s="934"/>
      <c r="AG294" s="934"/>
      <c r="AH294" s="934"/>
      <c r="AI294" s="934"/>
      <c r="AJ294" s="934"/>
    </row>
    <row r="295" spans="1:36" ht="15" hidden="1" customHeight="1">
      <c r="B295" s="1432"/>
      <c r="C295" s="748"/>
      <c r="D295" s="732"/>
      <c r="E295" s="733"/>
      <c r="F295" s="733"/>
      <c r="G295" s="733"/>
      <c r="H295" s="749"/>
      <c r="I295" s="739"/>
      <c r="J295" s="736"/>
      <c r="K295" s="736"/>
      <c r="L295" s="995"/>
      <c r="M295" s="979">
        <f t="shared" si="12"/>
        <v>0</v>
      </c>
      <c r="O295" s="934">
        <f t="shared" si="11"/>
        <v>0</v>
      </c>
      <c r="Q295" s="957"/>
      <c r="R295" s="957"/>
      <c r="S295" s="957"/>
      <c r="T295" s="957"/>
      <c r="U295" s="957"/>
      <c r="V295" s="957"/>
      <c r="W295" s="957"/>
      <c r="X295" s="934"/>
      <c r="Y295" s="934"/>
      <c r="Z295" s="934"/>
      <c r="AA295" s="934"/>
      <c r="AB295" s="987"/>
      <c r="AC295" s="934"/>
      <c r="AD295" s="934"/>
      <c r="AE295" s="934"/>
      <c r="AF295" s="934"/>
      <c r="AG295" s="934"/>
      <c r="AH295" s="934"/>
      <c r="AI295" s="934"/>
      <c r="AJ295" s="934"/>
    </row>
    <row r="296" spans="1:36" ht="15" hidden="1" customHeight="1">
      <c r="B296" s="1432"/>
      <c r="C296" s="748"/>
      <c r="D296" s="732"/>
      <c r="E296" s="733"/>
      <c r="F296" s="733"/>
      <c r="G296" s="733"/>
      <c r="H296" s="749"/>
      <c r="I296" s="739"/>
      <c r="J296" s="736"/>
      <c r="K296" s="736"/>
      <c r="L296" s="995"/>
      <c r="M296" s="979">
        <f t="shared" si="12"/>
        <v>0</v>
      </c>
      <c r="O296" s="934">
        <f t="shared" si="11"/>
        <v>0</v>
      </c>
      <c r="Q296" s="957"/>
      <c r="R296" s="957"/>
      <c r="S296" s="957"/>
      <c r="T296" s="957"/>
      <c r="U296" s="957"/>
      <c r="V296" s="957"/>
      <c r="W296" s="957"/>
      <c r="X296" s="934"/>
      <c r="Y296" s="934"/>
      <c r="Z296" s="934"/>
      <c r="AA296" s="934"/>
      <c r="AB296" s="987"/>
      <c r="AC296" s="934"/>
      <c r="AD296" s="934"/>
      <c r="AE296" s="934"/>
      <c r="AF296" s="934"/>
      <c r="AG296" s="934"/>
      <c r="AH296" s="934"/>
      <c r="AI296" s="934"/>
      <c r="AJ296" s="934"/>
    </row>
    <row r="297" spans="1:36" ht="15" hidden="1" customHeight="1">
      <c r="B297" s="1432"/>
      <c r="C297" s="748"/>
      <c r="D297" s="732"/>
      <c r="E297" s="733"/>
      <c r="F297" s="733"/>
      <c r="G297" s="733"/>
      <c r="H297" s="749"/>
      <c r="I297" s="739"/>
      <c r="J297" s="736"/>
      <c r="K297" s="736"/>
      <c r="L297" s="995"/>
      <c r="M297" s="979">
        <f t="shared" si="12"/>
        <v>0</v>
      </c>
      <c r="O297" s="934">
        <f t="shared" si="11"/>
        <v>0</v>
      </c>
      <c r="Q297" s="957"/>
      <c r="R297" s="957"/>
      <c r="S297" s="957"/>
      <c r="T297" s="957"/>
      <c r="U297" s="957"/>
      <c r="V297" s="957"/>
      <c r="W297" s="957"/>
      <c r="X297" s="934"/>
      <c r="Y297" s="934"/>
      <c r="Z297" s="934"/>
      <c r="AA297" s="934"/>
      <c r="AB297" s="987"/>
      <c r="AC297" s="934"/>
      <c r="AD297" s="934"/>
      <c r="AE297" s="934"/>
      <c r="AF297" s="934"/>
      <c r="AG297" s="934"/>
      <c r="AH297" s="934"/>
      <c r="AI297" s="934"/>
      <c r="AJ297" s="934"/>
    </row>
    <row r="298" spans="1:36" ht="15" hidden="1" customHeight="1">
      <c r="B298" s="1432"/>
      <c r="C298" s="748"/>
      <c r="D298" s="732"/>
      <c r="E298" s="733"/>
      <c r="F298" s="733"/>
      <c r="G298" s="733"/>
      <c r="H298" s="749"/>
      <c r="I298" s="739"/>
      <c r="J298" s="736"/>
      <c r="K298" s="736"/>
      <c r="L298" s="995"/>
      <c r="M298" s="979">
        <f t="shared" si="12"/>
        <v>0</v>
      </c>
      <c r="O298" s="934">
        <f t="shared" si="11"/>
        <v>0</v>
      </c>
      <c r="Q298" s="957"/>
      <c r="R298" s="957"/>
      <c r="S298" s="957"/>
      <c r="T298" s="957"/>
      <c r="U298" s="957"/>
      <c r="V298" s="957"/>
      <c r="W298" s="957"/>
      <c r="X298" s="934"/>
      <c r="Y298" s="934"/>
      <c r="Z298" s="934"/>
      <c r="AA298" s="934"/>
      <c r="AB298" s="987"/>
      <c r="AC298" s="934"/>
      <c r="AD298" s="934"/>
      <c r="AE298" s="934"/>
      <c r="AF298" s="934"/>
      <c r="AG298" s="934"/>
      <c r="AH298" s="934"/>
      <c r="AI298" s="934"/>
      <c r="AJ298" s="934"/>
    </row>
    <row r="299" spans="1:36" ht="15" hidden="1" customHeight="1">
      <c r="B299" s="1432"/>
      <c r="C299" s="748"/>
      <c r="D299" s="732"/>
      <c r="E299" s="733"/>
      <c r="F299" s="733"/>
      <c r="G299" s="733"/>
      <c r="H299" s="749"/>
      <c r="I299" s="739"/>
      <c r="J299" s="736"/>
      <c r="K299" s="736"/>
      <c r="L299" s="995"/>
      <c r="M299" s="979">
        <f t="shared" si="12"/>
        <v>0</v>
      </c>
      <c r="O299" s="934">
        <f t="shared" si="11"/>
        <v>0</v>
      </c>
      <c r="Q299" s="957"/>
      <c r="R299" s="957"/>
      <c r="S299" s="957"/>
      <c r="T299" s="957"/>
      <c r="U299" s="957"/>
      <c r="V299" s="957"/>
      <c r="W299" s="957"/>
      <c r="X299" s="934"/>
      <c r="Y299" s="934"/>
      <c r="Z299" s="934"/>
      <c r="AA299" s="934"/>
      <c r="AB299" s="987"/>
      <c r="AC299" s="934"/>
      <c r="AD299" s="934"/>
      <c r="AE299" s="934"/>
      <c r="AF299" s="934"/>
      <c r="AG299" s="934"/>
      <c r="AH299" s="934"/>
      <c r="AI299" s="934"/>
      <c r="AJ299" s="934"/>
    </row>
    <row r="300" spans="1:36" ht="15" hidden="1" customHeight="1">
      <c r="B300" s="1432"/>
      <c r="C300" s="748"/>
      <c r="D300" s="732"/>
      <c r="E300" s="733"/>
      <c r="F300" s="733"/>
      <c r="G300" s="733"/>
      <c r="H300" s="749"/>
      <c r="I300" s="739"/>
      <c r="J300" s="736"/>
      <c r="K300" s="736"/>
      <c r="L300" s="995"/>
      <c r="M300" s="979">
        <f t="shared" si="12"/>
        <v>0</v>
      </c>
      <c r="O300" s="934">
        <f t="shared" si="11"/>
        <v>0</v>
      </c>
      <c r="Q300" s="957"/>
      <c r="R300" s="957"/>
      <c r="S300" s="957"/>
      <c r="T300" s="957"/>
      <c r="U300" s="957"/>
      <c r="V300" s="957"/>
      <c r="W300" s="957"/>
      <c r="X300" s="934"/>
      <c r="Y300" s="934"/>
      <c r="Z300" s="934"/>
      <c r="AA300" s="934"/>
      <c r="AB300" s="987"/>
      <c r="AC300" s="934"/>
      <c r="AD300" s="934"/>
      <c r="AE300" s="934"/>
      <c r="AF300" s="934"/>
      <c r="AG300" s="934"/>
      <c r="AH300" s="934"/>
      <c r="AI300" s="934"/>
      <c r="AJ300" s="934"/>
    </row>
    <row r="301" spans="1:36" ht="15" hidden="1" customHeight="1">
      <c r="B301" s="1432"/>
      <c r="C301" s="748"/>
      <c r="D301" s="732"/>
      <c r="E301" s="733"/>
      <c r="F301" s="733"/>
      <c r="G301" s="733"/>
      <c r="H301" s="749"/>
      <c r="I301" s="739"/>
      <c r="J301" s="736"/>
      <c r="K301" s="736"/>
      <c r="L301" s="995"/>
      <c r="M301" s="979">
        <f t="shared" si="12"/>
        <v>0</v>
      </c>
      <c r="O301" s="934">
        <f t="shared" si="11"/>
        <v>0</v>
      </c>
      <c r="Q301" s="957"/>
      <c r="R301" s="957"/>
      <c r="S301" s="957"/>
      <c r="T301" s="957"/>
      <c r="U301" s="957"/>
      <c r="V301" s="957"/>
      <c r="W301" s="957"/>
      <c r="X301" s="934"/>
      <c r="Y301" s="934"/>
      <c r="Z301" s="934"/>
      <c r="AA301" s="934"/>
      <c r="AB301" s="987"/>
      <c r="AC301" s="934"/>
      <c r="AD301" s="934"/>
      <c r="AE301" s="934"/>
      <c r="AF301" s="934"/>
      <c r="AG301" s="934"/>
      <c r="AH301" s="934"/>
      <c r="AI301" s="934"/>
      <c r="AJ301" s="934"/>
    </row>
    <row r="302" spans="1:36" ht="15" hidden="1" customHeight="1">
      <c r="B302" s="1432"/>
      <c r="C302" s="748"/>
      <c r="D302" s="732"/>
      <c r="E302" s="733"/>
      <c r="F302" s="733"/>
      <c r="G302" s="733"/>
      <c r="H302" s="749"/>
      <c r="I302" s="739"/>
      <c r="J302" s="736"/>
      <c r="K302" s="736"/>
      <c r="L302" s="995"/>
      <c r="M302" s="979">
        <f t="shared" si="12"/>
        <v>0</v>
      </c>
      <c r="O302" s="934">
        <f t="shared" si="11"/>
        <v>0</v>
      </c>
      <c r="Q302" s="957"/>
      <c r="R302" s="957"/>
      <c r="S302" s="957"/>
      <c r="T302" s="957"/>
      <c r="U302" s="957"/>
      <c r="V302" s="957"/>
      <c r="W302" s="957"/>
      <c r="X302" s="934"/>
      <c r="Y302" s="934"/>
      <c r="Z302" s="934"/>
      <c r="AA302" s="934"/>
      <c r="AB302" s="987"/>
      <c r="AC302" s="934"/>
      <c r="AD302" s="934"/>
      <c r="AE302" s="934"/>
      <c r="AF302" s="934"/>
      <c r="AG302" s="934"/>
      <c r="AH302" s="934"/>
      <c r="AI302" s="934"/>
      <c r="AJ302" s="934"/>
    </row>
    <row r="303" spans="1:36" ht="15" hidden="1" customHeight="1" thickBot="1">
      <c r="B303" s="1433"/>
      <c r="C303" s="752"/>
      <c r="D303" s="741"/>
      <c r="E303" s="742"/>
      <c r="F303" s="742"/>
      <c r="G303" s="742"/>
      <c r="H303" s="753"/>
      <c r="I303" s="743"/>
      <c r="J303" s="744"/>
      <c r="K303" s="744"/>
      <c r="L303" s="983"/>
      <c r="M303" s="979">
        <f t="shared" si="12"/>
        <v>0</v>
      </c>
      <c r="O303" s="934">
        <f t="shared" si="11"/>
        <v>0</v>
      </c>
      <c r="Q303" s="957"/>
      <c r="R303" s="957"/>
      <c r="S303" s="957"/>
      <c r="T303" s="957"/>
      <c r="U303" s="957"/>
      <c r="V303" s="957"/>
      <c r="W303" s="957"/>
      <c r="X303" s="934"/>
      <c r="Y303" s="934"/>
      <c r="Z303" s="934"/>
      <c r="AA303" s="934"/>
      <c r="AB303" s="987"/>
      <c r="AC303" s="934"/>
      <c r="AD303" s="934"/>
      <c r="AE303" s="934"/>
      <c r="AF303" s="934"/>
      <c r="AG303" s="934"/>
      <c r="AH303" s="934"/>
      <c r="AI303" s="934"/>
      <c r="AJ303" s="934"/>
    </row>
    <row r="304" spans="1:36" ht="20.100000000000001" customHeight="1">
      <c r="A304" s="934">
        <v>4</v>
      </c>
      <c r="B304" s="1431">
        <v>4</v>
      </c>
      <c r="C304" s="747"/>
      <c r="D304" s="728" t="s">
        <v>573</v>
      </c>
      <c r="E304" s="729"/>
      <c r="F304" s="729"/>
      <c r="G304" s="729"/>
      <c r="H304" s="729"/>
      <c r="I304" s="730"/>
      <c r="J304" s="731"/>
      <c r="K304" s="731"/>
      <c r="L304" s="974"/>
      <c r="M304" s="975">
        <f>SUM(M305:M545)</f>
        <v>0</v>
      </c>
      <c r="O304" s="934">
        <f>IF(SUM(J305:J545)=0,0,1)</f>
        <v>1</v>
      </c>
      <c r="P304" s="993" t="s">
        <v>370</v>
      </c>
      <c r="Q304" s="957"/>
      <c r="R304" s="957"/>
      <c r="S304" s="957"/>
      <c r="T304" s="957"/>
      <c r="U304" s="957"/>
      <c r="V304" s="957"/>
      <c r="W304" s="957"/>
      <c r="X304" s="934"/>
      <c r="Y304" s="934"/>
      <c r="Z304" s="934"/>
      <c r="AA304" s="934"/>
      <c r="AB304" s="987"/>
      <c r="AC304" s="934"/>
      <c r="AD304" s="934"/>
      <c r="AE304" s="934"/>
      <c r="AF304" s="934"/>
      <c r="AG304" s="934"/>
      <c r="AH304" s="934"/>
      <c r="AI304" s="934"/>
      <c r="AJ304" s="934"/>
    </row>
    <row r="305" spans="1:36" ht="15" hidden="1" customHeight="1">
      <c r="B305" s="1437"/>
      <c r="C305" s="909" t="s">
        <v>1037</v>
      </c>
      <c r="D305" s="732" t="s">
        <v>813</v>
      </c>
      <c r="E305" s="733"/>
      <c r="F305" s="733"/>
      <c r="G305" s="733" t="s">
        <v>1477</v>
      </c>
      <c r="H305" s="733"/>
      <c r="I305" s="734" t="s">
        <v>112</v>
      </c>
      <c r="J305" s="736">
        <v>0</v>
      </c>
      <c r="K305" s="977">
        <f>IFERROR(_xlfn.CEILING.MATH(J305,INDEX('СВОДНАЯ СПЕЦИФИКАЦИЯ'!$C$10:$C$408,MATCH(D305,'СВОДНАЯ СПЕЦИФИКАЦИЯ'!$D$10:$D$408,0))),"Введите кол-во")</f>
        <v>0</v>
      </c>
      <c r="L305" s="978">
        <f>INDEX('СВОДНАЯ СПЕЦИФИКАЦИЯ'!$H$10:$H$408,MATCH(D305,Таблица2[Наименование материала],0))</f>
        <v>0</v>
      </c>
      <c r="M305" s="979">
        <f t="shared" si="12"/>
        <v>0</v>
      </c>
      <c r="O305" s="934">
        <f t="shared" ref="O305:O368" si="13">IF(J305=0,0,1)</f>
        <v>0</v>
      </c>
      <c r="P305" s="996"/>
      <c r="Q305" s="957"/>
      <c r="R305" s="957"/>
      <c r="S305" s="957"/>
      <c r="T305" s="957"/>
      <c r="U305" s="957"/>
      <c r="V305" s="957"/>
      <c r="W305" s="957"/>
      <c r="X305" s="934"/>
      <c r="Y305" s="934"/>
      <c r="Z305" s="934"/>
      <c r="AA305" s="934"/>
      <c r="AB305" s="987"/>
      <c r="AC305" s="934"/>
      <c r="AD305" s="934"/>
      <c r="AE305" s="934"/>
      <c r="AF305" s="934"/>
      <c r="AG305" s="934"/>
      <c r="AH305" s="934"/>
      <c r="AI305" s="934"/>
      <c r="AJ305" s="934"/>
    </row>
    <row r="306" spans="1:36" ht="15" hidden="1" customHeight="1">
      <c r="B306" s="1437"/>
      <c r="C306" s="909" t="s">
        <v>1146</v>
      </c>
      <c r="D306" s="732" t="s">
        <v>811</v>
      </c>
      <c r="E306" s="733"/>
      <c r="F306" s="733"/>
      <c r="G306" s="997" t="s">
        <v>1478</v>
      </c>
      <c r="H306" s="733"/>
      <c r="I306" s="734" t="s">
        <v>112</v>
      </c>
      <c r="J306" s="736">
        <v>0</v>
      </c>
      <c r="K306" s="977">
        <f>IFERROR(_xlfn.CEILING.MATH(J306,INDEX('СВОДНАЯ СПЕЦИФИКАЦИЯ'!$C$10:$C$408,MATCH(D306,'СВОДНАЯ СПЕЦИФИКАЦИЯ'!$D$10:$D$408,0))),"Введите кол-во")</f>
        <v>0</v>
      </c>
      <c r="L306" s="978">
        <f>INDEX('СВОДНАЯ СПЕЦИФИКАЦИЯ'!$H$10:$H$408,MATCH(D306,Таблица2[Наименование материала],0))</f>
        <v>0</v>
      </c>
      <c r="M306" s="979">
        <f t="shared" si="12"/>
        <v>0</v>
      </c>
      <c r="O306" s="934">
        <f t="shared" si="13"/>
        <v>0</v>
      </c>
      <c r="Q306" s="957"/>
      <c r="R306" s="957"/>
      <c r="S306" s="957"/>
      <c r="T306" s="957"/>
      <c r="U306" s="957"/>
      <c r="V306" s="957"/>
      <c r="W306" s="957"/>
      <c r="X306" s="934"/>
      <c r="Y306" s="934"/>
      <c r="Z306" s="934"/>
      <c r="AA306" s="934"/>
      <c r="AB306" s="987"/>
      <c r="AC306" s="934"/>
      <c r="AD306" s="934"/>
      <c r="AE306" s="934"/>
      <c r="AF306" s="934"/>
      <c r="AG306" s="934"/>
      <c r="AH306" s="934"/>
      <c r="AI306" s="934"/>
      <c r="AJ306" s="934"/>
    </row>
    <row r="307" spans="1:36" ht="15" hidden="1" customHeight="1">
      <c r="B307" s="1437"/>
      <c r="C307" s="909" t="s">
        <v>1037</v>
      </c>
      <c r="D307" s="732" t="s">
        <v>813</v>
      </c>
      <c r="E307" s="733"/>
      <c r="F307" s="733"/>
      <c r="G307" s="733" t="s">
        <v>1479</v>
      </c>
      <c r="H307" s="733"/>
      <c r="I307" s="734" t="s">
        <v>112</v>
      </c>
      <c r="J307" s="736">
        <v>0</v>
      </c>
      <c r="K307" s="977">
        <f>IFERROR(_xlfn.CEILING.MATH(J307,INDEX('СВОДНАЯ СПЕЦИФИКАЦИЯ'!$C$10:$C$408,MATCH(D307,'СВОДНАЯ СПЕЦИФИКАЦИЯ'!$D$10:$D$408,0))),"Введите кол-во")</f>
        <v>0</v>
      </c>
      <c r="L307" s="978">
        <f>INDEX('СВОДНАЯ СПЕЦИФИКАЦИЯ'!$H$10:$H$408,MATCH(D307,Таблица2[Наименование материала],0))</f>
        <v>0</v>
      </c>
      <c r="M307" s="979">
        <f t="shared" si="12"/>
        <v>0</v>
      </c>
      <c r="O307" s="934">
        <f t="shared" si="13"/>
        <v>0</v>
      </c>
      <c r="Q307" s="957"/>
      <c r="R307" s="957"/>
      <c r="S307" s="957"/>
      <c r="T307" s="957"/>
      <c r="U307" s="957"/>
      <c r="V307" s="957"/>
      <c r="W307" s="957"/>
      <c r="X307" s="934"/>
      <c r="Y307" s="934"/>
      <c r="Z307" s="934"/>
      <c r="AA307" s="934"/>
      <c r="AB307" s="987"/>
      <c r="AC307" s="934"/>
      <c r="AD307" s="934"/>
      <c r="AE307" s="934"/>
      <c r="AF307" s="934"/>
      <c r="AG307" s="934"/>
      <c r="AH307" s="934"/>
      <c r="AI307" s="934"/>
      <c r="AJ307" s="934"/>
    </row>
    <row r="308" spans="1:36" ht="15" hidden="1" customHeight="1">
      <c r="B308" s="1437"/>
      <c r="C308" s="909" t="s">
        <v>761</v>
      </c>
      <c r="D308" s="732" t="s">
        <v>182</v>
      </c>
      <c r="E308" s="733"/>
      <c r="F308" s="733"/>
      <c r="G308" s="733"/>
      <c r="H308" s="733" t="s">
        <v>296</v>
      </c>
      <c r="I308" s="734" t="s">
        <v>183</v>
      </c>
      <c r="J308" s="736">
        <v>0</v>
      </c>
      <c r="K308" s="977">
        <f>IFERROR(_xlfn.CEILING.MATH(J308,INDEX('СВОДНАЯ СПЕЦИФИКАЦИЯ'!$C$10:$C$408,MATCH(D308,'СВОДНАЯ СПЕЦИФИКАЦИЯ'!$D$10:$D$408,0))),"Введите кол-во")</f>
        <v>0</v>
      </c>
      <c r="L308" s="978">
        <f>INDEX('СВОДНАЯ СПЕЦИФИКАЦИЯ'!$H$10:$H$408,MATCH(D308,Таблица2[Наименование материала],0))</f>
        <v>0</v>
      </c>
      <c r="M308" s="979">
        <f t="shared" si="12"/>
        <v>0</v>
      </c>
      <c r="O308" s="934">
        <f t="shared" si="13"/>
        <v>0</v>
      </c>
      <c r="Q308" s="957"/>
      <c r="R308" s="957"/>
      <c r="S308" s="957"/>
      <c r="T308" s="957"/>
      <c r="U308" s="957"/>
      <c r="V308" s="957"/>
      <c r="W308" s="957"/>
      <c r="X308" s="934"/>
      <c r="Y308" s="934"/>
      <c r="Z308" s="934"/>
      <c r="AA308" s="934"/>
      <c r="AB308" s="987"/>
      <c r="AC308" s="934"/>
      <c r="AD308" s="934"/>
      <c r="AE308" s="934"/>
      <c r="AF308" s="934"/>
      <c r="AG308" s="934"/>
      <c r="AH308" s="934"/>
      <c r="AI308" s="934"/>
      <c r="AJ308" s="934"/>
    </row>
    <row r="309" spans="1:36" ht="15" hidden="1" customHeight="1">
      <c r="B309" s="1437"/>
      <c r="C309" s="909" t="s">
        <v>841</v>
      </c>
      <c r="D309" s="732" t="s">
        <v>184</v>
      </c>
      <c r="E309" s="733"/>
      <c r="F309" s="733"/>
      <c r="G309" s="733"/>
      <c r="H309" s="733" t="s">
        <v>296</v>
      </c>
      <c r="I309" s="734" t="s">
        <v>112</v>
      </c>
      <c r="J309" s="736">
        <v>0</v>
      </c>
      <c r="K309" s="977">
        <f>IFERROR(_xlfn.CEILING.MATH(J309,INDEX('СВОДНАЯ СПЕЦИФИКАЦИЯ'!$C$10:$C$408,MATCH(D309,'СВОДНАЯ СПЕЦИФИКАЦИЯ'!$D$10:$D$408,0))),"Введите кол-во")</f>
        <v>0</v>
      </c>
      <c r="L309" s="978">
        <f>INDEX('СВОДНАЯ СПЕЦИФИКАЦИЯ'!$H$10:$H$408,MATCH(D309,Таблица2[Наименование материала],0))</f>
        <v>0</v>
      </c>
      <c r="M309" s="979">
        <f t="shared" si="12"/>
        <v>0</v>
      </c>
      <c r="O309" s="934">
        <f t="shared" si="13"/>
        <v>0</v>
      </c>
      <c r="Q309" s="957"/>
      <c r="R309" s="957"/>
      <c r="S309" s="957"/>
      <c r="T309" s="957"/>
      <c r="U309" s="957"/>
      <c r="V309" s="957"/>
      <c r="W309" s="957"/>
      <c r="X309" s="934"/>
      <c r="Y309" s="934"/>
      <c r="Z309" s="934"/>
      <c r="AA309" s="934"/>
      <c r="AB309" s="987"/>
      <c r="AC309" s="934"/>
      <c r="AD309" s="934"/>
      <c r="AE309" s="934"/>
      <c r="AF309" s="934"/>
      <c r="AG309" s="934"/>
      <c r="AH309" s="934"/>
      <c r="AI309" s="934"/>
      <c r="AJ309" s="934"/>
    </row>
    <row r="310" spans="1:36" ht="15" hidden="1" customHeight="1">
      <c r="B310" s="1437"/>
      <c r="C310" s="909" t="s">
        <v>1039</v>
      </c>
      <c r="D310" s="732" t="s">
        <v>816</v>
      </c>
      <c r="E310" s="733"/>
      <c r="F310" s="733"/>
      <c r="G310" s="733" t="s">
        <v>1477</v>
      </c>
      <c r="H310" s="733"/>
      <c r="I310" s="734" t="s">
        <v>112</v>
      </c>
      <c r="J310" s="736">
        <v>0</v>
      </c>
      <c r="K310" s="977">
        <f>IFERROR(_xlfn.CEILING.MATH(J310,INDEX('СВОДНАЯ СПЕЦИФИКАЦИЯ'!$C$10:$C$408,MATCH(D310,'СВОДНАЯ СПЕЦИФИКАЦИЯ'!$D$10:$D$408,0))),"Введите кол-во")</f>
        <v>0</v>
      </c>
      <c r="L310" s="978">
        <f>INDEX('СВОДНАЯ СПЕЦИФИКАЦИЯ'!$H$10:$H$408,MATCH(D310,Таблица2[Наименование материала],0))</f>
        <v>0</v>
      </c>
      <c r="M310" s="979">
        <f t="shared" si="12"/>
        <v>0</v>
      </c>
      <c r="O310" s="934">
        <f t="shared" si="13"/>
        <v>0</v>
      </c>
      <c r="Q310" s="957"/>
      <c r="R310" s="957"/>
      <c r="S310" s="957"/>
      <c r="T310" s="957"/>
      <c r="U310" s="957"/>
      <c r="V310" s="957"/>
      <c r="W310" s="957"/>
      <c r="X310" s="934"/>
      <c r="Y310" s="934"/>
      <c r="Z310" s="934"/>
      <c r="AA310" s="934"/>
      <c r="AB310" s="987"/>
      <c r="AC310" s="934"/>
      <c r="AD310" s="934"/>
      <c r="AE310" s="934"/>
      <c r="AF310" s="934"/>
      <c r="AG310" s="934"/>
      <c r="AH310" s="934"/>
      <c r="AI310" s="934"/>
      <c r="AJ310" s="934"/>
    </row>
    <row r="311" spans="1:36" ht="15" hidden="1" customHeight="1">
      <c r="B311" s="1437"/>
      <c r="C311" s="909" t="s">
        <v>1040</v>
      </c>
      <c r="D311" s="732" t="s">
        <v>817</v>
      </c>
      <c r="E311" s="733"/>
      <c r="F311" s="733"/>
      <c r="G311" s="997" t="s">
        <v>1478</v>
      </c>
      <c r="H311" s="733"/>
      <c r="I311" s="734" t="s">
        <v>112</v>
      </c>
      <c r="J311" s="736">
        <v>0</v>
      </c>
      <c r="K311" s="977">
        <f>IFERROR(_xlfn.CEILING.MATH(J311,INDEX('СВОДНАЯ СПЕЦИФИКАЦИЯ'!$C$10:$C$408,MATCH(D311,'СВОДНАЯ СПЕЦИФИКАЦИЯ'!$D$10:$D$408,0))),"Введите кол-во")</f>
        <v>0</v>
      </c>
      <c r="L311" s="978">
        <f>INDEX('СВОДНАЯ СПЕЦИФИКАЦИЯ'!$H$10:$H$408,MATCH(D311,Таблица2[Наименование материала],0))</f>
        <v>0</v>
      </c>
      <c r="M311" s="979">
        <f t="shared" si="12"/>
        <v>0</v>
      </c>
      <c r="O311" s="934">
        <f t="shared" si="13"/>
        <v>0</v>
      </c>
      <c r="Q311" s="957"/>
      <c r="R311" s="957"/>
      <c r="S311" s="957"/>
      <c r="T311" s="957"/>
      <c r="U311" s="957"/>
      <c r="V311" s="957"/>
      <c r="W311" s="957"/>
      <c r="X311" s="934"/>
      <c r="Y311" s="934"/>
      <c r="Z311" s="934"/>
      <c r="AA311" s="934"/>
      <c r="AB311" s="987"/>
      <c r="AC311" s="934"/>
      <c r="AD311" s="934"/>
      <c r="AE311" s="934"/>
      <c r="AF311" s="934"/>
      <c r="AG311" s="934"/>
      <c r="AH311" s="934"/>
      <c r="AI311" s="934"/>
      <c r="AJ311" s="934"/>
    </row>
    <row r="312" spans="1:36" ht="15" hidden="1" customHeight="1">
      <c r="B312" s="1437"/>
      <c r="C312" s="909" t="s">
        <v>1041</v>
      </c>
      <c r="D312" s="732" t="s">
        <v>815</v>
      </c>
      <c r="E312" s="733"/>
      <c r="F312" s="733"/>
      <c r="G312" s="733" t="s">
        <v>1477</v>
      </c>
      <c r="H312" s="733"/>
      <c r="I312" s="734" t="s">
        <v>112</v>
      </c>
      <c r="J312" s="736">
        <v>0</v>
      </c>
      <c r="K312" s="977">
        <f>IFERROR(_xlfn.CEILING.MATH(J312,INDEX('СВОДНАЯ СПЕЦИФИКАЦИЯ'!$C$10:$C$408,MATCH(D312,'СВОДНАЯ СПЕЦИФИКАЦИЯ'!$D$10:$D$408,0))),"Введите кол-во")</f>
        <v>0</v>
      </c>
      <c r="L312" s="978">
        <f>INDEX('СВОДНАЯ СПЕЦИФИКАЦИЯ'!$H$10:$H$408,MATCH(D312,Таблица2[Наименование материала],0))</f>
        <v>0</v>
      </c>
      <c r="M312" s="979">
        <f t="shared" si="12"/>
        <v>0</v>
      </c>
      <c r="O312" s="934">
        <f t="shared" si="13"/>
        <v>0</v>
      </c>
      <c r="Q312" s="957"/>
      <c r="R312" s="957"/>
      <c r="S312" s="957"/>
      <c r="T312" s="957"/>
      <c r="U312" s="957"/>
      <c r="V312" s="957"/>
      <c r="W312" s="957"/>
      <c r="X312" s="934"/>
      <c r="Y312" s="934"/>
      <c r="Z312" s="934"/>
      <c r="AA312" s="934"/>
      <c r="AB312" s="987"/>
      <c r="AC312" s="934"/>
      <c r="AD312" s="934"/>
      <c r="AE312" s="934"/>
      <c r="AF312" s="934"/>
      <c r="AG312" s="934"/>
      <c r="AH312" s="934"/>
      <c r="AI312" s="934"/>
      <c r="AJ312" s="934"/>
    </row>
    <row r="313" spans="1:36" ht="15" hidden="1" customHeight="1">
      <c r="B313" s="1437"/>
      <c r="C313" s="909" t="s">
        <v>1067</v>
      </c>
      <c r="D313" s="732" t="s">
        <v>187</v>
      </c>
      <c r="E313" s="733"/>
      <c r="F313" s="733"/>
      <c r="G313" s="733"/>
      <c r="H313" s="733" t="s">
        <v>296</v>
      </c>
      <c r="I313" s="734" t="s">
        <v>112</v>
      </c>
      <c r="J313" s="736">
        <v>0</v>
      </c>
      <c r="K313" s="977">
        <f>IFERROR(_xlfn.CEILING.MATH(J313,INDEX('СВОДНАЯ СПЕЦИФИКАЦИЯ'!$C$10:$C$408,MATCH(D313,'СВОДНАЯ СПЕЦИФИКАЦИЯ'!$D$10:$D$408,0))),"Введите кол-во")</f>
        <v>0</v>
      </c>
      <c r="L313" s="978">
        <f>INDEX('СВОДНАЯ СПЕЦИФИКАЦИЯ'!$H$10:$H$408,MATCH(D313,Таблица2[Наименование материала],0))</f>
        <v>0</v>
      </c>
      <c r="M313" s="979">
        <f t="shared" si="12"/>
        <v>0</v>
      </c>
      <c r="O313" s="934">
        <f t="shared" si="13"/>
        <v>0</v>
      </c>
      <c r="Q313" s="957"/>
      <c r="R313" s="957"/>
      <c r="S313" s="957"/>
      <c r="T313" s="957"/>
      <c r="U313" s="957"/>
      <c r="V313" s="957"/>
      <c r="W313" s="957"/>
      <c r="X313" s="934"/>
      <c r="Y313" s="934"/>
      <c r="Z313" s="934"/>
      <c r="AA313" s="934"/>
      <c r="AB313" s="987"/>
      <c r="AC313" s="934"/>
      <c r="AD313" s="934"/>
      <c r="AE313" s="934"/>
      <c r="AF313" s="934"/>
      <c r="AG313" s="934"/>
      <c r="AH313" s="934"/>
      <c r="AI313" s="934"/>
      <c r="AJ313" s="934"/>
    </row>
    <row r="314" spans="1:36" ht="15" hidden="1" customHeight="1">
      <c r="A314" s="940"/>
      <c r="B314" s="1437"/>
      <c r="C314" s="909" t="s">
        <v>1098</v>
      </c>
      <c r="D314" s="732" t="s">
        <v>1103</v>
      </c>
      <c r="E314" s="733"/>
      <c r="F314" s="733"/>
      <c r="G314" s="733"/>
      <c r="H314" s="733"/>
      <c r="I314" s="734" t="s">
        <v>112</v>
      </c>
      <c r="J314" s="736">
        <v>0</v>
      </c>
      <c r="K314" s="977">
        <f>IFERROR(_xlfn.CEILING.MATH(J314,INDEX('СВОДНАЯ СПЕЦИФИКАЦИЯ'!$C$10:$C$408,MATCH(D314,'СВОДНАЯ СПЕЦИФИКАЦИЯ'!$D$10:$D$408,0))),"Введите кол-во")</f>
        <v>0</v>
      </c>
      <c r="L314" s="978">
        <f>INDEX('СВОДНАЯ СПЕЦИФИКАЦИЯ'!$H$10:$H$408,MATCH(D314,Таблица2[Наименование материала],0))</f>
        <v>0</v>
      </c>
      <c r="M314" s="979">
        <f t="shared" si="12"/>
        <v>0</v>
      </c>
      <c r="O314" s="934">
        <f t="shared" si="13"/>
        <v>0</v>
      </c>
      <c r="Q314" s="957"/>
      <c r="R314" s="957"/>
      <c r="S314" s="957"/>
      <c r="T314" s="957"/>
      <c r="U314" s="957"/>
      <c r="V314" s="957"/>
      <c r="W314" s="957"/>
      <c r="X314" s="934"/>
      <c r="Y314" s="934"/>
      <c r="Z314" s="934"/>
      <c r="AA314" s="934"/>
      <c r="AB314" s="987"/>
      <c r="AC314" s="934"/>
      <c r="AD314" s="934"/>
      <c r="AE314" s="934"/>
      <c r="AF314" s="934"/>
      <c r="AG314" s="934"/>
      <c r="AH314" s="934"/>
      <c r="AI314" s="934"/>
      <c r="AJ314" s="934"/>
    </row>
    <row r="315" spans="1:36" ht="15" hidden="1" customHeight="1">
      <c r="B315" s="1437"/>
      <c r="C315" s="911" t="s">
        <v>296</v>
      </c>
      <c r="D315" s="732" t="s">
        <v>818</v>
      </c>
      <c r="E315" s="733"/>
      <c r="F315" s="733"/>
      <c r="G315" s="997" t="s">
        <v>1478</v>
      </c>
      <c r="H315" s="733"/>
      <c r="I315" s="734" t="s">
        <v>112</v>
      </c>
      <c r="J315" s="736">
        <v>0</v>
      </c>
      <c r="K315" s="977">
        <f>IFERROR(_xlfn.CEILING.MATH(J315,INDEX('СВОДНАЯ СПЕЦИФИКАЦИЯ'!$C$10:$C$408,MATCH(D315,'СВОДНАЯ СПЕЦИФИКАЦИЯ'!$D$10:$D$408,0))),"Введите кол-во")</f>
        <v>0</v>
      </c>
      <c r="L315" s="978">
        <f>INDEX('СВОДНАЯ СПЕЦИФИКАЦИЯ'!$H$10:$H$408,MATCH(D315,Таблица2[Наименование материала],0))</f>
        <v>0</v>
      </c>
      <c r="M315" s="979">
        <f t="shared" si="12"/>
        <v>0</v>
      </c>
      <c r="O315" s="934">
        <f t="shared" si="13"/>
        <v>0</v>
      </c>
      <c r="Q315" s="957"/>
      <c r="R315" s="957"/>
      <c r="S315" s="957"/>
      <c r="T315" s="957"/>
      <c r="U315" s="957"/>
      <c r="V315" s="957"/>
      <c r="W315" s="957"/>
      <c r="X315" s="934"/>
      <c r="Y315" s="934"/>
      <c r="Z315" s="934"/>
      <c r="AA315" s="934"/>
      <c r="AB315" s="987"/>
      <c r="AC315" s="934"/>
      <c r="AD315" s="934"/>
      <c r="AE315" s="934"/>
      <c r="AF315" s="934"/>
      <c r="AG315" s="934"/>
      <c r="AH315" s="934"/>
      <c r="AI315" s="934"/>
      <c r="AJ315" s="934"/>
    </row>
    <row r="316" spans="1:36" ht="15" customHeight="1">
      <c r="B316" s="1437"/>
      <c r="C316" s="911" t="s">
        <v>296</v>
      </c>
      <c r="D316" s="732" t="s">
        <v>390</v>
      </c>
      <c r="E316" s="733"/>
      <c r="F316" s="733"/>
      <c r="G316" s="733"/>
      <c r="H316" s="733" t="s">
        <v>296</v>
      </c>
      <c r="I316" s="734" t="s">
        <v>112</v>
      </c>
      <c r="J316" s="736">
        <v>255</v>
      </c>
      <c r="K316" s="977">
        <f>IFERROR(_xlfn.CEILING.MATH(J316,INDEX('СВОДНАЯ СПЕЦИФИКАЦИЯ'!$C$10:$C$408,MATCH(D316,'СВОДНАЯ СПЕЦИФИКАЦИЯ'!$D$10:$D$408,0))),"Введите кол-во")</f>
        <v>262.5</v>
      </c>
      <c r="L316" s="978">
        <f>INDEX('СВОДНАЯ СПЕЦИФИКАЦИЯ'!$H$10:$H$408,MATCH(D316,Таблица2[Наименование материала],0))</f>
        <v>0</v>
      </c>
      <c r="M316" s="979">
        <f t="shared" si="12"/>
        <v>0</v>
      </c>
      <c r="O316" s="934">
        <f t="shared" si="13"/>
        <v>1</v>
      </c>
      <c r="Q316" s="957"/>
      <c r="R316" s="957"/>
      <c r="S316" s="957"/>
      <c r="T316" s="957"/>
      <c r="U316" s="957"/>
      <c r="V316" s="957"/>
      <c r="W316" s="957"/>
      <c r="X316" s="934"/>
      <c r="Y316" s="934"/>
      <c r="Z316" s="934"/>
      <c r="AA316" s="934"/>
      <c r="AB316" s="987"/>
      <c r="AC316" s="934"/>
      <c r="AD316" s="934"/>
      <c r="AE316" s="934"/>
      <c r="AF316" s="934"/>
      <c r="AG316" s="934"/>
      <c r="AH316" s="934"/>
      <c r="AI316" s="934"/>
      <c r="AJ316" s="934"/>
    </row>
    <row r="317" spans="1:36" ht="15" hidden="1" customHeight="1">
      <c r="B317" s="1437"/>
      <c r="C317" s="909" t="s">
        <v>1068</v>
      </c>
      <c r="D317" s="732" t="s">
        <v>391</v>
      </c>
      <c r="E317" s="733"/>
      <c r="F317" s="733"/>
      <c r="G317" s="733"/>
      <c r="H317" s="733" t="s">
        <v>296</v>
      </c>
      <c r="I317" s="734" t="s">
        <v>112</v>
      </c>
      <c r="J317" s="736">
        <v>0</v>
      </c>
      <c r="K317" s="977">
        <f>IFERROR(_xlfn.CEILING.MATH(J317,INDEX('СВОДНАЯ СПЕЦИФИКАЦИЯ'!$C$10:$C$408,MATCH(D317,'СВОДНАЯ СПЕЦИФИКАЦИЯ'!$D$10:$D$408,0))),"Введите кол-во")</f>
        <v>0</v>
      </c>
      <c r="L317" s="978">
        <f>INDEX('СВОДНАЯ СПЕЦИФИКАЦИЯ'!$H$10:$H$408,MATCH(D317,Таблица2[Наименование материала],0))</f>
        <v>0</v>
      </c>
      <c r="M317" s="979">
        <f t="shared" si="12"/>
        <v>0</v>
      </c>
      <c r="O317" s="934">
        <f t="shared" si="13"/>
        <v>0</v>
      </c>
      <c r="Q317" s="957"/>
      <c r="R317" s="957"/>
      <c r="S317" s="957"/>
      <c r="T317" s="957"/>
      <c r="U317" s="957"/>
      <c r="V317" s="957"/>
      <c r="W317" s="957"/>
      <c r="X317" s="934"/>
      <c r="Y317" s="934"/>
      <c r="Z317" s="934"/>
      <c r="AA317" s="934"/>
      <c r="AB317" s="987"/>
      <c r="AC317" s="934"/>
      <c r="AD317" s="934"/>
      <c r="AE317" s="934"/>
      <c r="AF317" s="934"/>
      <c r="AG317" s="934"/>
      <c r="AH317" s="934"/>
      <c r="AI317" s="934"/>
      <c r="AJ317" s="934"/>
    </row>
    <row r="318" spans="1:36" ht="15" hidden="1" customHeight="1">
      <c r="B318" s="1437"/>
      <c r="C318" s="909" t="s">
        <v>1070</v>
      </c>
      <c r="D318" s="732" t="s">
        <v>392</v>
      </c>
      <c r="E318" s="733"/>
      <c r="F318" s="733"/>
      <c r="G318" s="733"/>
      <c r="H318" s="733" t="s">
        <v>296</v>
      </c>
      <c r="I318" s="734" t="s">
        <v>112</v>
      </c>
      <c r="J318" s="736">
        <v>0</v>
      </c>
      <c r="K318" s="977">
        <f>IFERROR(_xlfn.CEILING.MATH(J318,INDEX('СВОДНАЯ СПЕЦИФИКАЦИЯ'!$C$10:$C$408,MATCH(D318,'СВОДНАЯ СПЕЦИФИКАЦИЯ'!$D$10:$D$408,0))),"Введите кол-во")</f>
        <v>0</v>
      </c>
      <c r="L318" s="978">
        <f>INDEX('СВОДНАЯ СПЕЦИФИКАЦИЯ'!$H$10:$H$408,MATCH(D318,Таблица2[Наименование материала],0))</f>
        <v>0</v>
      </c>
      <c r="M318" s="979">
        <f t="shared" si="12"/>
        <v>0</v>
      </c>
      <c r="O318" s="934">
        <f t="shared" si="13"/>
        <v>0</v>
      </c>
      <c r="Q318" s="957"/>
      <c r="R318" s="957"/>
      <c r="S318" s="957"/>
      <c r="T318" s="957"/>
      <c r="U318" s="957"/>
      <c r="V318" s="957"/>
      <c r="W318" s="957"/>
      <c r="X318" s="934"/>
      <c r="Y318" s="934"/>
      <c r="Z318" s="934"/>
      <c r="AA318" s="934"/>
      <c r="AB318" s="987"/>
      <c r="AC318" s="934"/>
      <c r="AD318" s="934"/>
      <c r="AE318" s="934"/>
      <c r="AF318" s="934"/>
      <c r="AG318" s="934"/>
      <c r="AH318" s="934"/>
      <c r="AI318" s="934"/>
      <c r="AJ318" s="934"/>
    </row>
    <row r="319" spans="1:36" ht="15" hidden="1" customHeight="1">
      <c r="A319" s="994"/>
      <c r="B319" s="1437"/>
      <c r="C319" s="911" t="s">
        <v>296</v>
      </c>
      <c r="D319" s="732" t="s">
        <v>404</v>
      </c>
      <c r="E319" s="733"/>
      <c r="F319" s="733"/>
      <c r="G319" s="733"/>
      <c r="H319" s="733" t="s">
        <v>296</v>
      </c>
      <c r="I319" s="734" t="s">
        <v>112</v>
      </c>
      <c r="J319" s="736">
        <v>0</v>
      </c>
      <c r="K319" s="977" t="str">
        <f>IFERROR(_xlfn.CEILING.MATH(J319,INDEX('СВОДНАЯ СПЕЦИФИКАЦИЯ'!$C$10:$C$408,MATCH(D319,'СВОДНАЯ СПЕЦИФИКАЦИЯ'!$D$10:$D$408,0))),"Введите кол-во")</f>
        <v>Введите кол-во</v>
      </c>
      <c r="L319" s="978">
        <f>INDEX('СВОДНАЯ СПЕЦИФИКАЦИЯ'!$H$10:$H$408,MATCH(D319,Таблица2[Наименование материала],0))</f>
        <v>0</v>
      </c>
      <c r="M319" s="979">
        <f t="shared" si="12"/>
        <v>0</v>
      </c>
      <c r="O319" s="934">
        <f t="shared" si="13"/>
        <v>0</v>
      </c>
      <c r="Q319" s="957"/>
      <c r="R319" s="957"/>
      <c r="S319" s="957"/>
      <c r="T319" s="957"/>
      <c r="U319" s="957"/>
      <c r="V319" s="957"/>
      <c r="W319" s="957"/>
      <c r="X319" s="934"/>
      <c r="Y319" s="934"/>
      <c r="Z319" s="934"/>
      <c r="AA319" s="934"/>
      <c r="AB319" s="987"/>
      <c r="AC319" s="934"/>
      <c r="AD319" s="934"/>
      <c r="AE319" s="934"/>
      <c r="AF319" s="934"/>
      <c r="AG319" s="934"/>
      <c r="AH319" s="934"/>
      <c r="AI319" s="934"/>
      <c r="AJ319" s="934"/>
    </row>
    <row r="320" spans="1:36" ht="15" hidden="1" customHeight="1">
      <c r="A320" s="994"/>
      <c r="B320" s="1437"/>
      <c r="C320" s="911" t="s">
        <v>296</v>
      </c>
      <c r="D320" s="732" t="s">
        <v>393</v>
      </c>
      <c r="E320" s="733"/>
      <c r="F320" s="733"/>
      <c r="G320" s="733"/>
      <c r="H320" s="733" t="s">
        <v>296</v>
      </c>
      <c r="I320" s="734" t="s">
        <v>112</v>
      </c>
      <c r="J320" s="736">
        <v>0</v>
      </c>
      <c r="K320" s="977" t="str">
        <f>IFERROR(_xlfn.CEILING.MATH(J320,INDEX('СВОДНАЯ СПЕЦИФИКАЦИЯ'!$C$10:$C$408,MATCH(D320,'СВОДНАЯ СПЕЦИФИКАЦИЯ'!$D$10:$D$408,0))),"Введите кол-во")</f>
        <v>Введите кол-во</v>
      </c>
      <c r="L320" s="978">
        <f>INDEX('СВОДНАЯ СПЕЦИФИКАЦИЯ'!$H$10:$H$408,MATCH(D320,Таблица2[Наименование материала],0))</f>
        <v>0</v>
      </c>
      <c r="M320" s="979">
        <f t="shared" si="12"/>
        <v>0</v>
      </c>
      <c r="O320" s="934">
        <f t="shared" si="13"/>
        <v>0</v>
      </c>
      <c r="Q320" s="957"/>
      <c r="R320" s="957"/>
      <c r="S320" s="957"/>
      <c r="T320" s="957"/>
      <c r="U320" s="957"/>
      <c r="V320" s="957"/>
      <c r="W320" s="957"/>
      <c r="X320" s="934"/>
      <c r="Y320" s="934"/>
      <c r="Z320" s="934"/>
      <c r="AA320" s="934"/>
      <c r="AB320" s="987"/>
      <c r="AC320" s="934"/>
      <c r="AD320" s="934"/>
      <c r="AE320" s="934"/>
      <c r="AF320" s="934"/>
      <c r="AG320" s="934"/>
      <c r="AH320" s="934"/>
      <c r="AI320" s="934"/>
      <c r="AJ320" s="934"/>
    </row>
    <row r="321" spans="2:36" ht="15" customHeight="1">
      <c r="B321" s="1437"/>
      <c r="C321" s="909" t="s">
        <v>796</v>
      </c>
      <c r="D321" s="732" t="s">
        <v>1090</v>
      </c>
      <c r="E321" s="733"/>
      <c r="F321" s="733"/>
      <c r="G321" s="733"/>
      <c r="H321" s="733" t="s">
        <v>296</v>
      </c>
      <c r="I321" s="734" t="s">
        <v>151</v>
      </c>
      <c r="J321" s="750">
        <v>1597</v>
      </c>
      <c r="K321" s="977">
        <f>IFERROR(_xlfn.CEILING.MATH(J321,INDEX('СВОДНАЯ СПЕЦИФИКАЦИЯ'!$C$10:$C$408,MATCH(D321,'СВОДНАЯ СПЕЦИФИКАЦИЯ'!$D$10:$D$408,0))),"Введите кол-во")</f>
        <v>1600</v>
      </c>
      <c r="L321" s="978">
        <f>INDEX('СВОДНАЯ СПЕЦИФИКАЦИЯ'!$H$10:$H$408,MATCH(D321,Таблица2[Наименование материала],0))</f>
        <v>0</v>
      </c>
      <c r="M321" s="979">
        <f t="shared" si="12"/>
        <v>0</v>
      </c>
      <c r="O321" s="934">
        <f t="shared" si="13"/>
        <v>1</v>
      </c>
      <c r="Q321" s="957"/>
      <c r="R321" s="957"/>
      <c r="S321" s="957"/>
      <c r="T321" s="957"/>
      <c r="U321" s="957"/>
      <c r="V321" s="957"/>
      <c r="W321" s="957"/>
      <c r="X321" s="934"/>
      <c r="Y321" s="934"/>
      <c r="Z321" s="934"/>
      <c r="AA321" s="934"/>
      <c r="AB321" s="987"/>
      <c r="AC321" s="934"/>
      <c r="AD321" s="934"/>
      <c r="AE321" s="934"/>
      <c r="AF321" s="934"/>
      <c r="AG321" s="934"/>
      <c r="AH321" s="934"/>
      <c r="AI321" s="934"/>
      <c r="AJ321" s="934"/>
    </row>
    <row r="322" spans="2:36" ht="15" hidden="1" customHeight="1">
      <c r="B322" s="1437"/>
      <c r="C322" s="909" t="s">
        <v>840</v>
      </c>
      <c r="D322" s="732" t="s">
        <v>652</v>
      </c>
      <c r="E322" s="733"/>
      <c r="F322" s="733"/>
      <c r="G322" s="733"/>
      <c r="H322" s="733" t="s">
        <v>296</v>
      </c>
      <c r="I322" s="734" t="s">
        <v>264</v>
      </c>
      <c r="J322" s="736">
        <v>0</v>
      </c>
      <c r="K322" s="977">
        <f>IFERROR(_xlfn.CEILING.MATH(J322,INDEX('СВОДНАЯ СПЕЦИФИКАЦИЯ'!$C$10:$C$408,MATCH(D322,'СВОДНАЯ СПЕЦИФИКАЦИЯ'!$D$10:$D$408,0))),"Введите кол-во")</f>
        <v>0</v>
      </c>
      <c r="L322" s="978">
        <f>INDEX('СВОДНАЯ СПЕЦИФИКАЦИЯ'!$H$10:$H$408,MATCH(D322,Таблица2[Наименование материала],0))</f>
        <v>0</v>
      </c>
      <c r="M322" s="979">
        <f t="shared" si="12"/>
        <v>0</v>
      </c>
      <c r="O322" s="934">
        <f t="shared" si="13"/>
        <v>0</v>
      </c>
      <c r="Q322" s="957"/>
      <c r="R322" s="957"/>
      <c r="S322" s="957"/>
      <c r="T322" s="957"/>
      <c r="U322" s="957"/>
      <c r="V322" s="957"/>
      <c r="W322" s="957"/>
      <c r="X322" s="934"/>
      <c r="Y322" s="934"/>
      <c r="Z322" s="934"/>
      <c r="AA322" s="934"/>
      <c r="AB322" s="987"/>
      <c r="AC322" s="934"/>
      <c r="AD322" s="934"/>
      <c r="AE322" s="934"/>
      <c r="AF322" s="934"/>
      <c r="AG322" s="934"/>
      <c r="AH322" s="934"/>
      <c r="AI322" s="934"/>
      <c r="AJ322" s="934"/>
    </row>
    <row r="323" spans="2:36" ht="15" hidden="1" customHeight="1">
      <c r="B323" s="1437"/>
      <c r="C323" s="909" t="s">
        <v>708</v>
      </c>
      <c r="D323" s="732" t="s">
        <v>686</v>
      </c>
      <c r="E323" s="733"/>
      <c r="F323" s="733"/>
      <c r="G323" s="733"/>
      <c r="H323" s="733" t="s">
        <v>296</v>
      </c>
      <c r="I323" s="734" t="s">
        <v>264</v>
      </c>
      <c r="J323" s="735">
        <v>0</v>
      </c>
      <c r="K323" s="977">
        <f>IFERROR(_xlfn.CEILING.MATH(J323,INDEX('СВОДНАЯ СПЕЦИФИКАЦИЯ'!$C$10:$C$408,MATCH(D323,'СВОДНАЯ СПЕЦИФИКАЦИЯ'!$D$10:$D$408,0))),"Введите кол-во")</f>
        <v>0</v>
      </c>
      <c r="L323" s="978">
        <f>INDEX('СВОДНАЯ СПЕЦИФИКАЦИЯ'!$H$10:$H$408,MATCH(D323,Таблица2[Наименование материала],0))</f>
        <v>0</v>
      </c>
      <c r="M323" s="979">
        <f t="shared" si="12"/>
        <v>0</v>
      </c>
      <c r="O323" s="934">
        <f t="shared" si="13"/>
        <v>0</v>
      </c>
      <c r="Q323" s="957"/>
      <c r="R323" s="957"/>
      <c r="S323" s="957"/>
      <c r="T323" s="957"/>
      <c r="U323" s="957"/>
      <c r="V323" s="957"/>
      <c r="W323" s="957"/>
      <c r="X323" s="934"/>
      <c r="Y323" s="934"/>
      <c r="Z323" s="934"/>
      <c r="AA323" s="934"/>
      <c r="AB323" s="987"/>
      <c r="AC323" s="934"/>
      <c r="AD323" s="934"/>
      <c r="AE323" s="934"/>
      <c r="AF323" s="934"/>
      <c r="AG323" s="934"/>
      <c r="AH323" s="934"/>
      <c r="AI323" s="934"/>
      <c r="AJ323" s="934"/>
    </row>
    <row r="324" spans="2:36" ht="15" hidden="1" customHeight="1">
      <c r="B324" s="1437"/>
      <c r="C324" s="909" t="s">
        <v>709</v>
      </c>
      <c r="D324" s="732" t="s">
        <v>687</v>
      </c>
      <c r="E324" s="733"/>
      <c r="F324" s="733"/>
      <c r="G324" s="733"/>
      <c r="H324" s="733" t="s">
        <v>296</v>
      </c>
      <c r="I324" s="734" t="s">
        <v>264</v>
      </c>
      <c r="J324" s="735">
        <v>0</v>
      </c>
      <c r="K324" s="977">
        <f>IFERROR(_xlfn.CEILING.MATH(J324,INDEX('СВОДНАЯ СПЕЦИФИКАЦИЯ'!$C$10:$C$408,MATCH(D324,'СВОДНАЯ СПЕЦИФИКАЦИЯ'!$D$10:$D$408,0))),"Введите кол-во")</f>
        <v>0</v>
      </c>
      <c r="L324" s="978">
        <f>INDEX('СВОДНАЯ СПЕЦИФИКАЦИЯ'!$H$10:$H$408,MATCH(D324,Таблица2[Наименование материала],0))</f>
        <v>0</v>
      </c>
      <c r="M324" s="979">
        <f t="shared" si="12"/>
        <v>0</v>
      </c>
      <c r="O324" s="934">
        <f t="shared" si="13"/>
        <v>0</v>
      </c>
      <c r="Q324" s="957"/>
      <c r="R324" s="957"/>
      <c r="S324" s="957"/>
      <c r="T324" s="957"/>
      <c r="U324" s="957"/>
      <c r="V324" s="957"/>
      <c r="W324" s="957"/>
      <c r="X324" s="934"/>
      <c r="Y324" s="934"/>
      <c r="Z324" s="934"/>
      <c r="AA324" s="934"/>
      <c r="AB324" s="987"/>
      <c r="AC324" s="934"/>
      <c r="AD324" s="934"/>
      <c r="AE324" s="934"/>
      <c r="AF324" s="934"/>
      <c r="AG324" s="934"/>
      <c r="AH324" s="934"/>
      <c r="AI324" s="934"/>
      <c r="AJ324" s="934"/>
    </row>
    <row r="325" spans="2:36" ht="15" customHeight="1">
      <c r="B325" s="1437"/>
      <c r="C325" s="909" t="s">
        <v>832</v>
      </c>
      <c r="D325" s="732" t="s">
        <v>830</v>
      </c>
      <c r="E325" s="733"/>
      <c r="F325" s="733"/>
      <c r="G325" s="733"/>
      <c r="H325" s="733"/>
      <c r="I325" s="734" t="s">
        <v>264</v>
      </c>
      <c r="J325" s="735">
        <v>140.19</v>
      </c>
      <c r="K325" s="977">
        <f>IFERROR(_xlfn.CEILING.MATH(J325,INDEX('СВОДНАЯ СПЕЦИФИКАЦИЯ'!$C$10:$C$408,MATCH(D325,'СВОДНАЯ СПЕЦИФИКАЦИЯ'!$D$10:$D$408,0))),"Введите кол-во")</f>
        <v>150</v>
      </c>
      <c r="L325" s="978">
        <f>INDEX('СВОДНАЯ СПЕЦИФИКАЦИЯ'!$H$10:$H$408,MATCH(D325,Таблица2[Наименование материала],0))</f>
        <v>0</v>
      </c>
      <c r="M325" s="979">
        <f t="shared" si="12"/>
        <v>0</v>
      </c>
      <c r="O325" s="934">
        <f t="shared" si="13"/>
        <v>1</v>
      </c>
      <c r="Q325" s="957"/>
      <c r="R325" s="957"/>
      <c r="S325" s="957"/>
      <c r="T325" s="957"/>
      <c r="U325" s="957"/>
      <c r="V325" s="957"/>
      <c r="W325" s="957"/>
      <c r="X325" s="934"/>
      <c r="Y325" s="934"/>
      <c r="Z325" s="934"/>
      <c r="AA325" s="934"/>
      <c r="AB325" s="987"/>
      <c r="AC325" s="934"/>
      <c r="AD325" s="934"/>
      <c r="AE325" s="934"/>
      <c r="AF325" s="934"/>
      <c r="AG325" s="934"/>
      <c r="AH325" s="934"/>
      <c r="AI325" s="934"/>
      <c r="AJ325" s="934"/>
    </row>
    <row r="326" spans="2:36" ht="15" customHeight="1">
      <c r="B326" s="1437"/>
      <c r="C326" s="909" t="s">
        <v>833</v>
      </c>
      <c r="D326" s="732" t="s">
        <v>831</v>
      </c>
      <c r="E326" s="733"/>
      <c r="F326" s="733"/>
      <c r="G326" s="733"/>
      <c r="H326" s="733"/>
      <c r="I326" s="734" t="s">
        <v>264</v>
      </c>
      <c r="J326" s="735">
        <v>140.19</v>
      </c>
      <c r="K326" s="977">
        <f>IFERROR(_xlfn.CEILING.MATH(J326,INDEX('СВОДНАЯ СПЕЦИФИКАЦИЯ'!$C$10:$C$408,MATCH(D326,'СВОДНАЯ СПЕЦИФИКАЦИЯ'!$D$10:$D$408,0))),"Введите кол-во")</f>
        <v>150</v>
      </c>
      <c r="L326" s="978">
        <f>INDEX('СВОДНАЯ СПЕЦИФИКАЦИЯ'!$H$10:$H$408,MATCH(D326,Таблица2[Наименование материала],0))</f>
        <v>0</v>
      </c>
      <c r="M326" s="979">
        <f t="shared" si="12"/>
        <v>0</v>
      </c>
      <c r="O326" s="934">
        <f t="shared" si="13"/>
        <v>1</v>
      </c>
      <c r="Q326" s="957"/>
      <c r="R326" s="957"/>
      <c r="S326" s="957"/>
      <c r="T326" s="957"/>
      <c r="U326" s="957"/>
      <c r="V326" s="957"/>
      <c r="W326" s="957"/>
      <c r="X326" s="934"/>
      <c r="Y326" s="934"/>
      <c r="Z326" s="934"/>
      <c r="AA326" s="934"/>
      <c r="AB326" s="987"/>
      <c r="AC326" s="934"/>
      <c r="AD326" s="934"/>
      <c r="AE326" s="934"/>
      <c r="AF326" s="934"/>
      <c r="AG326" s="934"/>
      <c r="AH326" s="934"/>
      <c r="AI326" s="934"/>
      <c r="AJ326" s="934"/>
    </row>
    <row r="327" spans="2:36" ht="15" customHeight="1">
      <c r="B327" s="1437"/>
      <c r="C327" s="909" t="s">
        <v>918</v>
      </c>
      <c r="D327" s="732" t="s">
        <v>559</v>
      </c>
      <c r="E327" s="733"/>
      <c r="F327" s="733"/>
      <c r="G327" s="733"/>
      <c r="H327" s="733" t="s">
        <v>296</v>
      </c>
      <c r="I327" s="734" t="s">
        <v>151</v>
      </c>
      <c r="J327" s="750">
        <v>2551</v>
      </c>
      <c r="K327" s="977">
        <f>IFERROR(_xlfn.CEILING.MATH(J327,INDEX('СВОДНАЯ СПЕЦИФИКАЦИЯ'!$C$10:$C$408,MATCH(D327,'СВОДНАЯ СПЕЦИФИКАЦИЯ'!$D$10:$D$408,0))),"Введите кол-во")</f>
        <v>3000</v>
      </c>
      <c r="L327" s="978">
        <f>INDEX('СВОДНАЯ СПЕЦИФИКАЦИЯ'!$H$10:$H$408,MATCH(D327,Таблица2[Наименование материала],0))</f>
        <v>0</v>
      </c>
      <c r="M327" s="979">
        <f t="shared" si="12"/>
        <v>0</v>
      </c>
      <c r="O327" s="934">
        <f t="shared" si="13"/>
        <v>1</v>
      </c>
      <c r="Q327" s="957"/>
      <c r="R327" s="957"/>
      <c r="S327" s="957"/>
      <c r="T327" s="957"/>
      <c r="U327" s="957"/>
      <c r="V327" s="957"/>
      <c r="W327" s="957"/>
      <c r="X327" s="934"/>
      <c r="Y327" s="934"/>
      <c r="Z327" s="934"/>
      <c r="AA327" s="934"/>
      <c r="AB327" s="987"/>
      <c r="AC327" s="934"/>
      <c r="AD327" s="934"/>
      <c r="AE327" s="934"/>
      <c r="AF327" s="934"/>
      <c r="AG327" s="934"/>
      <c r="AH327" s="934"/>
      <c r="AI327" s="934"/>
      <c r="AJ327" s="934"/>
    </row>
    <row r="328" spans="2:36" ht="15" customHeight="1">
      <c r="B328" s="1437"/>
      <c r="C328" s="909" t="s">
        <v>773</v>
      </c>
      <c r="D328" s="732" t="s">
        <v>1459</v>
      </c>
      <c r="E328" s="733"/>
      <c r="F328" s="733"/>
      <c r="G328" s="733"/>
      <c r="H328" s="733" t="s">
        <v>296</v>
      </c>
      <c r="I328" s="734" t="s">
        <v>151</v>
      </c>
      <c r="J328" s="750">
        <v>460</v>
      </c>
      <c r="K328" s="977">
        <f>IFERROR(_xlfn.CEILING.MATH(J328,INDEX('СВОДНАЯ СПЕЦИФИКАЦИЯ'!$C$10:$C$408,MATCH(D328,'СВОДНАЯ СПЕЦИФИКАЦИЯ'!$D$10:$D$408,0))),"Введите кол-во")</f>
        <v>500</v>
      </c>
      <c r="L328" s="978">
        <f>INDEX('СВОДНАЯ СПЕЦИФИКАЦИЯ'!$H$10:$H$408,MATCH(D328,Таблица2[Наименование материала],0))</f>
        <v>0</v>
      </c>
      <c r="M328" s="979">
        <f t="shared" si="12"/>
        <v>0</v>
      </c>
      <c r="O328" s="934">
        <f t="shared" si="13"/>
        <v>1</v>
      </c>
      <c r="Q328" s="957"/>
      <c r="R328" s="957"/>
      <c r="S328" s="957"/>
      <c r="T328" s="957"/>
      <c r="U328" s="957"/>
      <c r="V328" s="957"/>
      <c r="W328" s="957"/>
      <c r="X328" s="934"/>
      <c r="Y328" s="934"/>
      <c r="Z328" s="934"/>
      <c r="AA328" s="934"/>
      <c r="AB328" s="987"/>
      <c r="AC328" s="934"/>
      <c r="AD328" s="934"/>
      <c r="AE328" s="934"/>
      <c r="AF328" s="934"/>
      <c r="AG328" s="934"/>
      <c r="AH328" s="934"/>
      <c r="AI328" s="934"/>
      <c r="AJ328" s="934"/>
    </row>
    <row r="329" spans="2:36" ht="15" customHeight="1">
      <c r="B329" s="1437"/>
      <c r="C329" s="909" t="s">
        <v>797</v>
      </c>
      <c r="D329" s="732" t="s">
        <v>189</v>
      </c>
      <c r="E329" s="733"/>
      <c r="F329" s="733"/>
      <c r="G329" s="733"/>
      <c r="H329" s="733" t="s">
        <v>296</v>
      </c>
      <c r="I329" s="734" t="s">
        <v>151</v>
      </c>
      <c r="J329" s="750">
        <v>608</v>
      </c>
      <c r="K329" s="977">
        <f>IFERROR(_xlfn.CEILING.MATH(J329,INDEX('СВОДНАЯ СПЕЦИФИКАЦИЯ'!$C$10:$C$408,MATCH(D329,'СВОДНАЯ СПЕЦИФИКАЦИЯ'!$D$10:$D$408,0))),"Введите кол-во")</f>
        <v>2500</v>
      </c>
      <c r="L329" s="978">
        <f>INDEX('СВОДНАЯ СПЕЦИФИКАЦИЯ'!$H$10:$H$408,MATCH(D329,Таблица2[Наименование материала],0))</f>
        <v>0</v>
      </c>
      <c r="M329" s="979">
        <f t="shared" si="12"/>
        <v>0</v>
      </c>
      <c r="O329" s="934">
        <f t="shared" si="13"/>
        <v>1</v>
      </c>
      <c r="Q329" s="957"/>
      <c r="R329" s="957"/>
      <c r="S329" s="957"/>
      <c r="T329" s="957"/>
      <c r="U329" s="957"/>
      <c r="V329" s="957"/>
      <c r="W329" s="957"/>
      <c r="X329" s="934"/>
      <c r="Y329" s="934"/>
      <c r="Z329" s="934"/>
      <c r="AA329" s="934"/>
      <c r="AB329" s="987"/>
      <c r="AC329" s="934"/>
      <c r="AD329" s="934"/>
      <c r="AE329" s="934"/>
      <c r="AF329" s="934"/>
      <c r="AG329" s="934"/>
      <c r="AH329" s="934"/>
      <c r="AI329" s="934"/>
      <c r="AJ329" s="934"/>
    </row>
    <row r="330" spans="2:36" ht="15" customHeight="1">
      <c r="B330" s="1437"/>
      <c r="C330" s="909" t="s">
        <v>704</v>
      </c>
      <c r="D330" s="732" t="s">
        <v>192</v>
      </c>
      <c r="E330" s="733"/>
      <c r="F330" s="733"/>
      <c r="G330" s="733"/>
      <c r="H330" s="733" t="s">
        <v>296</v>
      </c>
      <c r="I330" s="734" t="s">
        <v>112</v>
      </c>
      <c r="J330" s="736">
        <v>6</v>
      </c>
      <c r="K330" s="977">
        <f>IFERROR(_xlfn.CEILING.MATH(J330,INDEX('СВОДНАЯ СПЕЦИФИКАЦИЯ'!$C$10:$C$408,MATCH(D330,'СВОДНАЯ СПЕЦИФИКАЦИЯ'!$D$10:$D$408,0))),"Введите кол-во")</f>
        <v>100</v>
      </c>
      <c r="L330" s="978">
        <f>INDEX('СВОДНАЯ СПЕЦИФИКАЦИЯ'!$H$10:$H$408,MATCH(D330,Таблица2[Наименование материала],0))</f>
        <v>0</v>
      </c>
      <c r="M330" s="979">
        <f t="shared" si="12"/>
        <v>0</v>
      </c>
      <c r="O330" s="934">
        <f t="shared" si="13"/>
        <v>1</v>
      </c>
      <c r="Q330" s="957"/>
      <c r="R330" s="957"/>
      <c r="S330" s="957"/>
      <c r="T330" s="957"/>
      <c r="U330" s="957"/>
      <c r="V330" s="957"/>
      <c r="W330" s="957"/>
      <c r="X330" s="934"/>
      <c r="Y330" s="934"/>
      <c r="Z330" s="934"/>
      <c r="AA330" s="934"/>
      <c r="AB330" s="987"/>
      <c r="AC330" s="934"/>
      <c r="AD330" s="934"/>
      <c r="AE330" s="934"/>
      <c r="AF330" s="934"/>
      <c r="AG330" s="934"/>
      <c r="AH330" s="934"/>
      <c r="AI330" s="934"/>
      <c r="AJ330" s="934"/>
    </row>
    <row r="331" spans="2:36" ht="15" customHeight="1">
      <c r="B331" s="1437"/>
      <c r="C331" s="909" t="s">
        <v>700</v>
      </c>
      <c r="D331" s="732" t="s">
        <v>272</v>
      </c>
      <c r="E331" s="733"/>
      <c r="F331" s="733"/>
      <c r="G331" s="733"/>
      <c r="H331" s="733"/>
      <c r="I331" s="734" t="s">
        <v>112</v>
      </c>
      <c r="J331" s="750">
        <v>107.39</v>
      </c>
      <c r="K331" s="977">
        <f>IFERROR(_xlfn.CEILING.MATH(J331,INDEX('СВОДНАЯ СПЕЦИФИКАЦИЯ'!$C$10:$C$408,MATCH(D331,'СВОДНАЯ СПЕЦИФИКАЦИЯ'!$D$10:$D$408,0))),"Введите кол-во")</f>
        <v>108</v>
      </c>
      <c r="L331" s="978">
        <f>INDEX('СВОДНАЯ СПЕЦИФИКАЦИЯ'!$H$10:$H$408,MATCH(D331,Таблица2[Наименование материала],0))</f>
        <v>0</v>
      </c>
      <c r="M331" s="979">
        <f t="shared" si="12"/>
        <v>0</v>
      </c>
      <c r="O331" s="934">
        <f t="shared" si="13"/>
        <v>1</v>
      </c>
      <c r="Q331" s="957"/>
      <c r="R331" s="957"/>
      <c r="S331" s="957"/>
      <c r="T331" s="957"/>
      <c r="U331" s="957"/>
      <c r="V331" s="957"/>
      <c r="W331" s="957"/>
      <c r="X331" s="934"/>
      <c r="Y331" s="934"/>
      <c r="Z331" s="934"/>
      <c r="AA331" s="934"/>
      <c r="AB331" s="987"/>
      <c r="AC331" s="934"/>
      <c r="AD331" s="934"/>
      <c r="AE331" s="934"/>
      <c r="AF331" s="934"/>
      <c r="AG331" s="934"/>
      <c r="AH331" s="934"/>
      <c r="AI331" s="934"/>
      <c r="AJ331" s="934"/>
    </row>
    <row r="332" spans="2:36" ht="15" hidden="1" customHeight="1">
      <c r="B332" s="1437"/>
      <c r="C332" s="909">
        <v>494775</v>
      </c>
      <c r="D332" s="732" t="s">
        <v>1235</v>
      </c>
      <c r="E332" s="733"/>
      <c r="F332" s="733"/>
      <c r="G332" s="733"/>
      <c r="H332" s="733"/>
      <c r="I332" s="734" t="s">
        <v>178</v>
      </c>
      <c r="J332" s="838">
        <v>0</v>
      </c>
      <c r="K332" s="977">
        <f>IFERROR(_xlfn.CEILING.MATH(J332,INDEX('СВОДНАЯ СПЕЦИФИКАЦИЯ'!$C$10:$C$408,MATCH(D332,'СВОДНАЯ СПЕЦИФИКАЦИЯ'!$D$10:$D$408,0))),"Введите кол-во")</f>
        <v>0</v>
      </c>
      <c r="L332" s="978">
        <f>INDEX('СВОДНАЯ СПЕЦИФИКАЦИЯ'!$H$10:$H$408,MATCH(D332,Таблица2[Наименование материала],0))</f>
        <v>0</v>
      </c>
      <c r="M332" s="979">
        <f t="shared" si="12"/>
        <v>0</v>
      </c>
      <c r="O332" s="934">
        <f t="shared" si="13"/>
        <v>0</v>
      </c>
      <c r="Q332" s="984" t="s">
        <v>325</v>
      </c>
      <c r="R332" s="985"/>
      <c r="S332" s="985"/>
      <c r="T332" s="986">
        <v>40</v>
      </c>
      <c r="U332" s="985" t="s">
        <v>150</v>
      </c>
      <c r="V332" s="957"/>
      <c r="W332" s="957"/>
      <c r="X332" s="934"/>
      <c r="Y332" s="934"/>
      <c r="Z332" s="934"/>
      <c r="AA332" s="934"/>
      <c r="AB332" s="987"/>
      <c r="AC332" s="934"/>
      <c r="AD332" s="934"/>
      <c r="AE332" s="934"/>
      <c r="AF332" s="934"/>
      <c r="AG332" s="934"/>
      <c r="AH332" s="934"/>
      <c r="AI332" s="934"/>
      <c r="AJ332" s="934"/>
    </row>
    <row r="333" spans="2:36" ht="15" hidden="1" customHeight="1">
      <c r="B333" s="1437"/>
      <c r="C333" s="909">
        <v>494776</v>
      </c>
      <c r="D333" s="732" t="s">
        <v>1236</v>
      </c>
      <c r="E333" s="733"/>
      <c r="F333" s="733"/>
      <c r="G333" s="733"/>
      <c r="H333" s="733"/>
      <c r="I333" s="734" t="s">
        <v>178</v>
      </c>
      <c r="J333" s="838">
        <v>0</v>
      </c>
      <c r="K333" s="977">
        <f>IFERROR(_xlfn.CEILING.MATH(J333,INDEX('СВОДНАЯ СПЕЦИФИКАЦИЯ'!$C$10:$C$408,MATCH(D333,'СВОДНАЯ СПЕЦИФИКАЦИЯ'!$D$10:$D$408,0))),"Введите кол-во")</f>
        <v>0</v>
      </c>
      <c r="L333" s="978">
        <f>INDEX('СВОДНАЯ СПЕЦИФИКАЦИЯ'!$H$10:$H$408,MATCH(D333,Таблица2[Наименование материала],0))</f>
        <v>0</v>
      </c>
      <c r="M333" s="979">
        <f t="shared" si="12"/>
        <v>0</v>
      </c>
      <c r="O333" s="934">
        <f t="shared" si="13"/>
        <v>0</v>
      </c>
      <c r="Q333" s="984" t="s">
        <v>325</v>
      </c>
      <c r="R333" s="985"/>
      <c r="S333" s="985"/>
      <c r="T333" s="986">
        <v>50</v>
      </c>
      <c r="U333" s="985" t="s">
        <v>150</v>
      </c>
      <c r="V333" s="957"/>
      <c r="W333" s="957"/>
      <c r="X333" s="934"/>
      <c r="Y333" s="934"/>
      <c r="Z333" s="934"/>
      <c r="AA333" s="934"/>
      <c r="AB333" s="987"/>
      <c r="AC333" s="934"/>
      <c r="AD333" s="934"/>
      <c r="AE333" s="934"/>
      <c r="AF333" s="934"/>
      <c r="AG333" s="934"/>
      <c r="AH333" s="934"/>
      <c r="AI333" s="934"/>
      <c r="AJ333" s="934"/>
    </row>
    <row r="334" spans="2:36" ht="15" hidden="1" customHeight="1">
      <c r="B334" s="1437"/>
      <c r="C334" s="909">
        <v>28579</v>
      </c>
      <c r="D334" s="732" t="s">
        <v>1162</v>
      </c>
      <c r="E334" s="733"/>
      <c r="F334" s="733"/>
      <c r="G334" s="733"/>
      <c r="H334" s="733"/>
      <c r="I334" s="734" t="s">
        <v>178</v>
      </c>
      <c r="J334" s="838">
        <v>0</v>
      </c>
      <c r="K334" s="977">
        <f>IFERROR(_xlfn.CEILING.MATH(J334,INDEX('СВОДНАЯ СПЕЦИФИКАЦИЯ'!$C$10:$C$408,MATCH(D334,'СВОДНАЯ СПЕЦИФИКАЦИЯ'!$D$10:$D$408,0))),"Введите кол-во")</f>
        <v>0</v>
      </c>
      <c r="L334" s="978">
        <f>INDEX('СВОДНАЯ СПЕЦИФИКАЦИЯ'!$H$10:$H$408,MATCH(D334,Таблица2[Наименование материала],0))</f>
        <v>0</v>
      </c>
      <c r="M334" s="979">
        <f t="shared" si="12"/>
        <v>0</v>
      </c>
      <c r="O334" s="934">
        <f t="shared" si="13"/>
        <v>0</v>
      </c>
      <c r="Q334" s="984" t="s">
        <v>316</v>
      </c>
      <c r="R334" s="985"/>
      <c r="S334" s="985"/>
      <c r="T334" s="986">
        <v>50</v>
      </c>
      <c r="U334" s="985" t="s">
        <v>150</v>
      </c>
      <c r="V334" s="957"/>
      <c r="W334" s="957"/>
      <c r="X334" s="934"/>
      <c r="Y334" s="934"/>
      <c r="Z334" s="934"/>
      <c r="AA334" s="934"/>
      <c r="AB334" s="987"/>
      <c r="AC334" s="934"/>
      <c r="AD334" s="934"/>
      <c r="AE334" s="934"/>
      <c r="AF334" s="934"/>
      <c r="AG334" s="934"/>
      <c r="AH334" s="934"/>
      <c r="AI334" s="934"/>
      <c r="AJ334" s="934"/>
    </row>
    <row r="335" spans="2:36" ht="15" hidden="1" customHeight="1">
      <c r="B335" s="1437"/>
      <c r="C335" s="909">
        <v>28528</v>
      </c>
      <c r="D335" s="732" t="s">
        <v>1163</v>
      </c>
      <c r="E335" s="733"/>
      <c r="F335" s="733"/>
      <c r="G335" s="733"/>
      <c r="H335" s="733"/>
      <c r="I335" s="734" t="s">
        <v>178</v>
      </c>
      <c r="J335" s="838">
        <v>0</v>
      </c>
      <c r="K335" s="977">
        <f>IFERROR(_xlfn.CEILING.MATH(J335,INDEX('СВОДНАЯ СПЕЦИФИКАЦИЯ'!$C$10:$C$408,MATCH(D335,'СВОДНАЯ СПЕЦИФИКАЦИЯ'!$D$10:$D$408,0))),"Введите кол-во")</f>
        <v>0</v>
      </c>
      <c r="L335" s="978">
        <f>INDEX('СВОДНАЯ СПЕЦИФИКАЦИЯ'!$H$10:$H$408,MATCH(D335,Таблица2[Наименование материала],0))</f>
        <v>0</v>
      </c>
      <c r="M335" s="979">
        <f t="shared" si="12"/>
        <v>0</v>
      </c>
      <c r="O335" s="934">
        <f t="shared" si="13"/>
        <v>0</v>
      </c>
      <c r="Q335" s="984" t="s">
        <v>316</v>
      </c>
      <c r="R335" s="985"/>
      <c r="S335" s="985"/>
      <c r="T335" s="986">
        <v>60</v>
      </c>
      <c r="U335" s="985" t="s">
        <v>150</v>
      </c>
      <c r="V335" s="957"/>
      <c r="W335" s="957"/>
      <c r="X335" s="934"/>
      <c r="Y335" s="934"/>
      <c r="Z335" s="934"/>
      <c r="AA335" s="934"/>
      <c r="AB335" s="987"/>
      <c r="AC335" s="934"/>
      <c r="AD335" s="934"/>
      <c r="AE335" s="934"/>
      <c r="AF335" s="934"/>
      <c r="AG335" s="934"/>
      <c r="AH335" s="934"/>
      <c r="AI335" s="934"/>
      <c r="AJ335" s="934"/>
    </row>
    <row r="336" spans="2:36" ht="15" hidden="1" customHeight="1">
      <c r="B336" s="1437"/>
      <c r="C336" s="909">
        <v>12469</v>
      </c>
      <c r="D336" s="732" t="s">
        <v>1164</v>
      </c>
      <c r="E336" s="733"/>
      <c r="F336" s="733"/>
      <c r="G336" s="733"/>
      <c r="H336" s="733"/>
      <c r="I336" s="734" t="s">
        <v>178</v>
      </c>
      <c r="J336" s="838">
        <v>0</v>
      </c>
      <c r="K336" s="977">
        <f>IFERROR(_xlfn.CEILING.MATH(J336,INDEX('СВОДНАЯ СПЕЦИФИКАЦИЯ'!$C$10:$C$408,MATCH(D336,'СВОДНАЯ СПЕЦИФИКАЦИЯ'!$D$10:$D$408,0))),"Введите кол-во")</f>
        <v>0</v>
      </c>
      <c r="L336" s="978">
        <f>INDEX('СВОДНАЯ СПЕЦИФИКАЦИЯ'!$H$10:$H$408,MATCH(D336,Таблица2[Наименование материала],0))</f>
        <v>0</v>
      </c>
      <c r="M336" s="979">
        <f t="shared" si="12"/>
        <v>0</v>
      </c>
      <c r="O336" s="934">
        <f t="shared" si="13"/>
        <v>0</v>
      </c>
      <c r="Q336" s="984" t="s">
        <v>316</v>
      </c>
      <c r="R336" s="985"/>
      <c r="S336" s="985"/>
      <c r="T336" s="986">
        <v>70</v>
      </c>
      <c r="U336" s="985" t="s">
        <v>150</v>
      </c>
      <c r="V336" s="957"/>
      <c r="W336" s="957"/>
      <c r="X336" s="934"/>
      <c r="Y336" s="934"/>
      <c r="Z336" s="934"/>
      <c r="AA336" s="934"/>
      <c r="AB336" s="987"/>
      <c r="AC336" s="934"/>
      <c r="AD336" s="934"/>
      <c r="AE336" s="934"/>
      <c r="AF336" s="934"/>
      <c r="AG336" s="934"/>
      <c r="AH336" s="934"/>
      <c r="AI336" s="934"/>
      <c r="AJ336" s="934"/>
    </row>
    <row r="337" spans="2:36" ht="15" hidden="1" customHeight="1">
      <c r="B337" s="1437"/>
      <c r="C337" s="909">
        <v>28369</v>
      </c>
      <c r="D337" s="732" t="s">
        <v>1165</v>
      </c>
      <c r="E337" s="733"/>
      <c r="F337" s="733"/>
      <c r="G337" s="733"/>
      <c r="H337" s="733"/>
      <c r="I337" s="734" t="s">
        <v>178</v>
      </c>
      <c r="J337" s="838">
        <v>0</v>
      </c>
      <c r="K337" s="977">
        <f>IFERROR(_xlfn.CEILING.MATH(J337,INDEX('СВОДНАЯ СПЕЦИФИКАЦИЯ'!$C$10:$C$408,MATCH(D337,'СВОДНАЯ СПЕЦИФИКАЦИЯ'!$D$10:$D$408,0))),"Введите кол-во")</f>
        <v>0</v>
      </c>
      <c r="L337" s="978">
        <f>INDEX('СВОДНАЯ СПЕЦИФИКАЦИЯ'!$H$10:$H$408,MATCH(D337,Таблица2[Наименование материала],0))</f>
        <v>0</v>
      </c>
      <c r="M337" s="979">
        <f t="shared" si="12"/>
        <v>0</v>
      </c>
      <c r="O337" s="934">
        <f t="shared" si="13"/>
        <v>0</v>
      </c>
      <c r="Q337" s="984" t="s">
        <v>316</v>
      </c>
      <c r="R337" s="985"/>
      <c r="S337" s="985"/>
      <c r="T337" s="986">
        <v>80</v>
      </c>
      <c r="U337" s="985" t="s">
        <v>150</v>
      </c>
      <c r="V337" s="957"/>
      <c r="W337" s="957"/>
      <c r="X337" s="934"/>
      <c r="Y337" s="934"/>
      <c r="Z337" s="934"/>
      <c r="AA337" s="934"/>
      <c r="AB337" s="987"/>
      <c r="AC337" s="934"/>
      <c r="AD337" s="934"/>
      <c r="AE337" s="934"/>
      <c r="AF337" s="934"/>
      <c r="AG337" s="934"/>
      <c r="AH337" s="934"/>
      <c r="AI337" s="934"/>
      <c r="AJ337" s="934"/>
    </row>
    <row r="338" spans="2:36" ht="15" hidden="1" customHeight="1">
      <c r="B338" s="1437"/>
      <c r="C338" s="909">
        <v>29639</v>
      </c>
      <c r="D338" s="732" t="s">
        <v>1166</v>
      </c>
      <c r="E338" s="733"/>
      <c r="F338" s="733"/>
      <c r="G338" s="733"/>
      <c r="H338" s="733"/>
      <c r="I338" s="734" t="s">
        <v>178</v>
      </c>
      <c r="J338" s="838">
        <v>0</v>
      </c>
      <c r="K338" s="977">
        <f>IFERROR(_xlfn.CEILING.MATH(J338,INDEX('СВОДНАЯ СПЕЦИФИКАЦИЯ'!$C$10:$C$408,MATCH(D338,'СВОДНАЯ СПЕЦИФИКАЦИЯ'!$D$10:$D$408,0))),"Введите кол-во")</f>
        <v>0</v>
      </c>
      <c r="L338" s="978">
        <f>INDEX('СВОДНАЯ СПЕЦИФИКАЦИЯ'!$H$10:$H$408,MATCH(D338,Таблица2[Наименование материала],0))</f>
        <v>0</v>
      </c>
      <c r="M338" s="979">
        <f t="shared" si="12"/>
        <v>0</v>
      </c>
      <c r="O338" s="934">
        <f t="shared" si="13"/>
        <v>0</v>
      </c>
      <c r="Q338" s="984" t="s">
        <v>316</v>
      </c>
      <c r="R338" s="985"/>
      <c r="S338" s="985"/>
      <c r="T338" s="986">
        <v>90</v>
      </c>
      <c r="U338" s="985" t="s">
        <v>150</v>
      </c>
      <c r="V338" s="957"/>
      <c r="W338" s="957"/>
      <c r="X338" s="934"/>
      <c r="Y338" s="934"/>
      <c r="Z338" s="934"/>
      <c r="AA338" s="934"/>
      <c r="AB338" s="987"/>
      <c r="AC338" s="934"/>
      <c r="AD338" s="934"/>
      <c r="AE338" s="934"/>
      <c r="AF338" s="934"/>
      <c r="AG338" s="934"/>
      <c r="AH338" s="934"/>
      <c r="AI338" s="934"/>
      <c r="AJ338" s="934"/>
    </row>
    <row r="339" spans="2:36" ht="15" hidden="1" customHeight="1">
      <c r="B339" s="1437"/>
      <c r="C339" s="909">
        <v>78389</v>
      </c>
      <c r="D339" s="732" t="s">
        <v>1167</v>
      </c>
      <c r="E339" s="733"/>
      <c r="F339" s="733"/>
      <c r="G339" s="733"/>
      <c r="H339" s="733"/>
      <c r="I339" s="734" t="s">
        <v>178</v>
      </c>
      <c r="J339" s="838">
        <v>0</v>
      </c>
      <c r="K339" s="977">
        <f>IFERROR(_xlfn.CEILING.MATH(J339,INDEX('СВОДНАЯ СПЕЦИФИКАЦИЯ'!$C$10:$C$408,MATCH(D339,'СВОДНАЯ СПЕЦИФИКАЦИЯ'!$D$10:$D$408,0))),"Введите кол-во")</f>
        <v>0</v>
      </c>
      <c r="L339" s="978">
        <f>INDEX('СВОДНАЯ СПЕЦИФИКАЦИЯ'!$H$10:$H$408,MATCH(D339,Таблица2[Наименование материала],0))</f>
        <v>0</v>
      </c>
      <c r="M339" s="979">
        <f t="shared" si="12"/>
        <v>0</v>
      </c>
      <c r="O339" s="934">
        <f t="shared" si="13"/>
        <v>0</v>
      </c>
      <c r="Q339" s="984" t="s">
        <v>316</v>
      </c>
      <c r="R339" s="985"/>
      <c r="S339" s="985"/>
      <c r="T339" s="986">
        <v>100</v>
      </c>
      <c r="U339" s="985" t="s">
        <v>150</v>
      </c>
      <c r="V339" s="957"/>
      <c r="W339" s="957"/>
      <c r="X339" s="934"/>
      <c r="Y339" s="934"/>
      <c r="Z339" s="934"/>
      <c r="AA339" s="934"/>
      <c r="AB339" s="987"/>
      <c r="AC339" s="934"/>
      <c r="AD339" s="934"/>
      <c r="AE339" s="934"/>
      <c r="AF339" s="934"/>
      <c r="AG339" s="934"/>
      <c r="AH339" s="934"/>
      <c r="AI339" s="934"/>
      <c r="AJ339" s="934"/>
    </row>
    <row r="340" spans="2:36" ht="15" hidden="1" customHeight="1">
      <c r="B340" s="1437"/>
      <c r="C340" s="909">
        <v>25304</v>
      </c>
      <c r="D340" s="732" t="s">
        <v>1168</v>
      </c>
      <c r="E340" s="733"/>
      <c r="F340" s="733"/>
      <c r="G340" s="733"/>
      <c r="H340" s="733"/>
      <c r="I340" s="734" t="s">
        <v>178</v>
      </c>
      <c r="J340" s="838">
        <v>0</v>
      </c>
      <c r="K340" s="977">
        <f>IFERROR(_xlfn.CEILING.MATH(J340,INDEX('СВОДНАЯ СПЕЦИФИКАЦИЯ'!$C$10:$C$408,MATCH(D340,'СВОДНАЯ СПЕЦИФИКАЦИЯ'!$D$10:$D$408,0))),"Введите кол-во")</f>
        <v>0</v>
      </c>
      <c r="L340" s="978">
        <f>INDEX('СВОДНАЯ СПЕЦИФИКАЦИЯ'!$H$10:$H$408,MATCH(D340,Таблица2[Наименование материала],0))</f>
        <v>0</v>
      </c>
      <c r="M340" s="979">
        <f t="shared" si="12"/>
        <v>0</v>
      </c>
      <c r="O340" s="934">
        <f t="shared" si="13"/>
        <v>0</v>
      </c>
      <c r="Q340" s="984" t="s">
        <v>316</v>
      </c>
      <c r="R340" s="985"/>
      <c r="S340" s="985"/>
      <c r="T340" s="986">
        <v>110</v>
      </c>
      <c r="U340" s="985" t="s">
        <v>150</v>
      </c>
      <c r="V340" s="957"/>
      <c r="W340" s="957"/>
      <c r="X340" s="934"/>
      <c r="Y340" s="934"/>
      <c r="Z340" s="934"/>
      <c r="AA340" s="934"/>
      <c r="AB340" s="987"/>
      <c r="AC340" s="934"/>
      <c r="AD340" s="934"/>
      <c r="AE340" s="934"/>
      <c r="AF340" s="934"/>
      <c r="AG340" s="934"/>
      <c r="AH340" s="934"/>
      <c r="AI340" s="934"/>
      <c r="AJ340" s="934"/>
    </row>
    <row r="341" spans="2:36" ht="15" hidden="1" customHeight="1">
      <c r="B341" s="1437"/>
      <c r="C341" s="909">
        <v>28737</v>
      </c>
      <c r="D341" s="732" t="s">
        <v>1169</v>
      </c>
      <c r="E341" s="733"/>
      <c r="F341" s="733"/>
      <c r="G341" s="733"/>
      <c r="H341" s="733"/>
      <c r="I341" s="734" t="s">
        <v>178</v>
      </c>
      <c r="J341" s="838">
        <v>0</v>
      </c>
      <c r="K341" s="977">
        <f>IFERROR(_xlfn.CEILING.MATH(J341,INDEX('СВОДНАЯ СПЕЦИФИКАЦИЯ'!$C$10:$C$408,MATCH(D341,'СВОДНАЯ СПЕЦИФИКАЦИЯ'!$D$10:$D$408,0))),"Введите кол-во")</f>
        <v>0</v>
      </c>
      <c r="L341" s="978">
        <f>INDEX('СВОДНАЯ СПЕЦИФИКАЦИЯ'!$H$10:$H$408,MATCH(D341,Таблица2[Наименование материала],0))</f>
        <v>0</v>
      </c>
      <c r="M341" s="979">
        <f t="shared" si="12"/>
        <v>0</v>
      </c>
      <c r="O341" s="934">
        <f t="shared" si="13"/>
        <v>0</v>
      </c>
      <c r="Q341" s="984" t="s">
        <v>316</v>
      </c>
      <c r="R341" s="985"/>
      <c r="S341" s="985"/>
      <c r="T341" s="986">
        <v>120</v>
      </c>
      <c r="U341" s="985" t="s">
        <v>150</v>
      </c>
      <c r="V341" s="957"/>
      <c r="W341" s="957"/>
      <c r="X341" s="934"/>
      <c r="Y341" s="934"/>
      <c r="Z341" s="934"/>
      <c r="AA341" s="934"/>
      <c r="AB341" s="987"/>
      <c r="AC341" s="934"/>
      <c r="AD341" s="934"/>
      <c r="AE341" s="934"/>
      <c r="AF341" s="934"/>
      <c r="AG341" s="934"/>
      <c r="AH341" s="934"/>
      <c r="AI341" s="934"/>
      <c r="AJ341" s="934"/>
    </row>
    <row r="342" spans="2:36" ht="15" hidden="1" customHeight="1">
      <c r="B342" s="1437"/>
      <c r="C342" s="909">
        <v>31625</v>
      </c>
      <c r="D342" s="732" t="s">
        <v>1170</v>
      </c>
      <c r="E342" s="733"/>
      <c r="F342" s="733"/>
      <c r="G342" s="733"/>
      <c r="H342" s="733"/>
      <c r="I342" s="734" t="s">
        <v>178</v>
      </c>
      <c r="J342" s="838">
        <v>0</v>
      </c>
      <c r="K342" s="977">
        <f>IFERROR(_xlfn.CEILING.MATH(J342,INDEX('СВОДНАЯ СПЕЦИФИКАЦИЯ'!$C$10:$C$408,MATCH(D342,'СВОДНАЯ СПЕЦИФИКАЦИЯ'!$D$10:$D$408,0))),"Введите кол-во")</f>
        <v>0</v>
      </c>
      <c r="L342" s="978">
        <f>INDEX('СВОДНАЯ СПЕЦИФИКАЦИЯ'!$H$10:$H$408,MATCH(D342,Таблица2[Наименование материала],0))</f>
        <v>0</v>
      </c>
      <c r="M342" s="979">
        <f t="shared" si="12"/>
        <v>0</v>
      </c>
      <c r="O342" s="934">
        <f t="shared" si="13"/>
        <v>0</v>
      </c>
      <c r="Q342" s="984" t="s">
        <v>316</v>
      </c>
      <c r="R342" s="985"/>
      <c r="S342" s="985"/>
      <c r="T342" s="986">
        <v>130</v>
      </c>
      <c r="U342" s="985" t="s">
        <v>150</v>
      </c>
      <c r="V342" s="957"/>
      <c r="W342" s="957"/>
      <c r="X342" s="934"/>
      <c r="Y342" s="934"/>
      <c r="Z342" s="934"/>
      <c r="AA342" s="934"/>
      <c r="AB342" s="987"/>
      <c r="AC342" s="934"/>
      <c r="AD342" s="934"/>
      <c r="AE342" s="934"/>
      <c r="AF342" s="934"/>
      <c r="AG342" s="934"/>
      <c r="AH342" s="934"/>
      <c r="AI342" s="934"/>
      <c r="AJ342" s="934"/>
    </row>
    <row r="343" spans="2:36" ht="15" hidden="1" customHeight="1">
      <c r="B343" s="1437"/>
      <c r="C343" s="909">
        <v>12468</v>
      </c>
      <c r="D343" s="732" t="s">
        <v>1171</v>
      </c>
      <c r="E343" s="733"/>
      <c r="F343" s="733"/>
      <c r="G343" s="733"/>
      <c r="H343" s="733"/>
      <c r="I343" s="734" t="s">
        <v>178</v>
      </c>
      <c r="J343" s="838">
        <v>0</v>
      </c>
      <c r="K343" s="977">
        <f>IFERROR(_xlfn.CEILING.MATH(J343,INDEX('СВОДНАЯ СПЕЦИФИКАЦИЯ'!$C$10:$C$408,MATCH(D343,'СВОДНАЯ СПЕЦИФИКАЦИЯ'!$D$10:$D$408,0))),"Введите кол-во")</f>
        <v>0</v>
      </c>
      <c r="L343" s="978">
        <f>INDEX('СВОДНАЯ СПЕЦИФИКАЦИЯ'!$H$10:$H$408,MATCH(D343,Таблица2[Наименование материала],0))</f>
        <v>0</v>
      </c>
      <c r="M343" s="979">
        <f t="shared" si="12"/>
        <v>0</v>
      </c>
      <c r="O343" s="934">
        <f t="shared" si="13"/>
        <v>0</v>
      </c>
      <c r="Q343" s="984" t="s">
        <v>316</v>
      </c>
      <c r="R343" s="985"/>
      <c r="S343" s="985"/>
      <c r="T343" s="986">
        <v>140</v>
      </c>
      <c r="U343" s="985" t="s">
        <v>150</v>
      </c>
      <c r="V343" s="957"/>
      <c r="W343" s="957"/>
      <c r="X343" s="934"/>
      <c r="Y343" s="934"/>
      <c r="Z343" s="934"/>
      <c r="AA343" s="934"/>
      <c r="AB343" s="987"/>
      <c r="AC343" s="934"/>
      <c r="AD343" s="934"/>
      <c r="AE343" s="934"/>
      <c r="AF343" s="934"/>
      <c r="AG343" s="934"/>
      <c r="AH343" s="934"/>
      <c r="AI343" s="934"/>
      <c r="AJ343" s="934"/>
    </row>
    <row r="344" spans="2:36" ht="15" hidden="1" customHeight="1">
      <c r="B344" s="1437"/>
      <c r="C344" s="909">
        <v>37612</v>
      </c>
      <c r="D344" s="732" t="s">
        <v>1172</v>
      </c>
      <c r="E344" s="733"/>
      <c r="F344" s="733"/>
      <c r="G344" s="733"/>
      <c r="H344" s="733"/>
      <c r="I344" s="734" t="s">
        <v>178</v>
      </c>
      <c r="J344" s="838">
        <v>0</v>
      </c>
      <c r="K344" s="977">
        <f>IFERROR(_xlfn.CEILING.MATH(J344,INDEX('СВОДНАЯ СПЕЦИФИКАЦИЯ'!$C$10:$C$408,MATCH(D344,'СВОДНАЯ СПЕЦИФИКАЦИЯ'!$D$10:$D$408,0))),"Введите кол-во")</f>
        <v>0</v>
      </c>
      <c r="L344" s="978">
        <f>INDEX('СВОДНАЯ СПЕЦИФИКАЦИЯ'!$H$10:$H$408,MATCH(D344,Таблица2[Наименование материала],0))</f>
        <v>0</v>
      </c>
      <c r="M344" s="979">
        <f t="shared" si="12"/>
        <v>0</v>
      </c>
      <c r="O344" s="934">
        <f t="shared" si="13"/>
        <v>0</v>
      </c>
      <c r="Q344" s="984" t="s">
        <v>316</v>
      </c>
      <c r="R344" s="985"/>
      <c r="S344" s="985"/>
      <c r="T344" s="986">
        <v>150</v>
      </c>
      <c r="U344" s="985" t="s">
        <v>150</v>
      </c>
      <c r="V344" s="957"/>
      <c r="W344" s="957"/>
      <c r="X344" s="934"/>
      <c r="Y344" s="934"/>
      <c r="Z344" s="934"/>
      <c r="AA344" s="934"/>
      <c r="AB344" s="987"/>
      <c r="AC344" s="934"/>
      <c r="AD344" s="934"/>
      <c r="AE344" s="934"/>
      <c r="AF344" s="934"/>
      <c r="AG344" s="934"/>
      <c r="AH344" s="934"/>
      <c r="AI344" s="934"/>
      <c r="AJ344" s="934"/>
    </row>
    <row r="345" spans="2:36" ht="15" hidden="1" customHeight="1">
      <c r="B345" s="1437"/>
      <c r="C345" s="909">
        <v>36476</v>
      </c>
      <c r="D345" s="732" t="s">
        <v>1173</v>
      </c>
      <c r="E345" s="733"/>
      <c r="F345" s="733"/>
      <c r="G345" s="733"/>
      <c r="H345" s="733"/>
      <c r="I345" s="734" t="s">
        <v>178</v>
      </c>
      <c r="J345" s="838">
        <v>0</v>
      </c>
      <c r="K345" s="977">
        <f>IFERROR(_xlfn.CEILING.MATH(J345,INDEX('СВОДНАЯ СПЕЦИФИКАЦИЯ'!$C$10:$C$408,MATCH(D345,'СВОДНАЯ СПЕЦИФИКАЦИЯ'!$D$10:$D$408,0))),"Введите кол-во")</f>
        <v>0</v>
      </c>
      <c r="L345" s="978">
        <f>INDEX('СВОДНАЯ СПЕЦИФИКАЦИЯ'!$H$10:$H$408,MATCH(D345,Таблица2[Наименование материала],0))</f>
        <v>0</v>
      </c>
      <c r="M345" s="979">
        <f t="shared" si="12"/>
        <v>0</v>
      </c>
      <c r="O345" s="934">
        <f t="shared" si="13"/>
        <v>0</v>
      </c>
      <c r="Q345" s="984" t="s">
        <v>316</v>
      </c>
      <c r="R345" s="985"/>
      <c r="S345" s="985"/>
      <c r="T345" s="986">
        <v>160</v>
      </c>
      <c r="U345" s="985" t="s">
        <v>150</v>
      </c>
      <c r="V345" s="957"/>
      <c r="W345" s="957"/>
      <c r="X345" s="934"/>
      <c r="Y345" s="934"/>
      <c r="Z345" s="934"/>
      <c r="AA345" s="934"/>
      <c r="AB345" s="987"/>
      <c r="AC345" s="934"/>
      <c r="AD345" s="934"/>
      <c r="AE345" s="934"/>
      <c r="AF345" s="934"/>
      <c r="AG345" s="934"/>
      <c r="AH345" s="934"/>
      <c r="AI345" s="934"/>
      <c r="AJ345" s="934"/>
    </row>
    <row r="346" spans="2:36" ht="15" hidden="1" customHeight="1">
      <c r="B346" s="1437"/>
      <c r="C346" s="909">
        <v>210571</v>
      </c>
      <c r="D346" s="732" t="s">
        <v>1174</v>
      </c>
      <c r="E346" s="733"/>
      <c r="F346" s="733"/>
      <c r="G346" s="733"/>
      <c r="H346" s="733"/>
      <c r="I346" s="734" t="s">
        <v>178</v>
      </c>
      <c r="J346" s="838">
        <v>0</v>
      </c>
      <c r="K346" s="977">
        <f>IFERROR(_xlfn.CEILING.MATH(J346,INDEX('СВОДНАЯ СПЕЦИФИКАЦИЯ'!$C$10:$C$408,MATCH(D346,'СВОДНАЯ СПЕЦИФИКАЦИЯ'!$D$10:$D$408,0))),"Введите кол-во")</f>
        <v>0</v>
      </c>
      <c r="L346" s="978">
        <f>INDEX('СВОДНАЯ СПЕЦИФИКАЦИЯ'!$H$10:$H$408,MATCH(D346,Таблица2[Наименование материала],0))</f>
        <v>0</v>
      </c>
      <c r="M346" s="979">
        <f t="shared" si="12"/>
        <v>0</v>
      </c>
      <c r="O346" s="934">
        <f t="shared" si="13"/>
        <v>0</v>
      </c>
      <c r="Q346" s="984" t="s">
        <v>316</v>
      </c>
      <c r="R346" s="985"/>
      <c r="S346" s="985"/>
      <c r="T346" s="986">
        <v>170</v>
      </c>
      <c r="U346" s="985" t="s">
        <v>150</v>
      </c>
      <c r="V346" s="957"/>
      <c r="W346" s="957"/>
      <c r="X346" s="934"/>
      <c r="Y346" s="934"/>
      <c r="Z346" s="934"/>
      <c r="AA346" s="934"/>
      <c r="AB346" s="987"/>
      <c r="AC346" s="934"/>
      <c r="AD346" s="934"/>
      <c r="AE346" s="934"/>
      <c r="AF346" s="934"/>
      <c r="AG346" s="934"/>
      <c r="AH346" s="934"/>
      <c r="AI346" s="934"/>
      <c r="AJ346" s="934"/>
    </row>
    <row r="347" spans="2:36" ht="15" hidden="1" customHeight="1">
      <c r="B347" s="1437"/>
      <c r="C347" s="909">
        <v>345526</v>
      </c>
      <c r="D347" s="732" t="s">
        <v>1175</v>
      </c>
      <c r="E347" s="733"/>
      <c r="F347" s="733"/>
      <c r="G347" s="733"/>
      <c r="H347" s="733"/>
      <c r="I347" s="734" t="s">
        <v>178</v>
      </c>
      <c r="J347" s="838">
        <v>0</v>
      </c>
      <c r="K347" s="977">
        <f>IFERROR(_xlfn.CEILING.MATH(J347,INDEX('СВОДНАЯ СПЕЦИФИКАЦИЯ'!$C$10:$C$408,MATCH(D347,'СВОДНАЯ СПЕЦИФИКАЦИЯ'!$D$10:$D$408,0))),"Введите кол-во")</f>
        <v>0</v>
      </c>
      <c r="L347" s="978">
        <f>INDEX('СВОДНАЯ СПЕЦИФИКАЦИЯ'!$H$10:$H$408,MATCH(D347,Таблица2[Наименование материала],0))</f>
        <v>0</v>
      </c>
      <c r="M347" s="979">
        <f t="shared" si="12"/>
        <v>0</v>
      </c>
      <c r="O347" s="934">
        <f t="shared" si="13"/>
        <v>0</v>
      </c>
      <c r="Q347" s="984" t="s">
        <v>316</v>
      </c>
      <c r="R347" s="985"/>
      <c r="S347" s="985"/>
      <c r="T347" s="986">
        <v>180</v>
      </c>
      <c r="U347" s="985" t="s">
        <v>150</v>
      </c>
      <c r="V347" s="957"/>
      <c r="W347" s="957"/>
      <c r="X347" s="934"/>
      <c r="Y347" s="934"/>
      <c r="Z347" s="934"/>
      <c r="AA347" s="934"/>
      <c r="AB347" s="987"/>
      <c r="AC347" s="934"/>
      <c r="AD347" s="934"/>
      <c r="AE347" s="934"/>
      <c r="AF347" s="934"/>
      <c r="AG347" s="934"/>
      <c r="AH347" s="934"/>
      <c r="AI347" s="934"/>
      <c r="AJ347" s="934"/>
    </row>
    <row r="348" spans="2:36" ht="15" hidden="1" customHeight="1">
      <c r="B348" s="1437"/>
      <c r="C348" s="909" t="s">
        <v>992</v>
      </c>
      <c r="D348" s="732" t="s">
        <v>1350</v>
      </c>
      <c r="E348" s="733"/>
      <c r="F348" s="733"/>
      <c r="G348" s="733"/>
      <c r="H348" s="733"/>
      <c r="I348" s="734" t="s">
        <v>178</v>
      </c>
      <c r="J348" s="838">
        <v>0</v>
      </c>
      <c r="K348" s="977">
        <f>IFERROR(_xlfn.CEILING.MATH(J348,INDEX('СВОДНАЯ СПЕЦИФИКАЦИЯ'!$C$10:$C$408,MATCH(D348,'СВОДНАЯ СПЕЦИФИКАЦИЯ'!$D$10:$D$408,0))),"Введите кол-во")</f>
        <v>0</v>
      </c>
      <c r="L348" s="978">
        <f>INDEX('СВОДНАЯ СПЕЦИФИКАЦИЯ'!$H$10:$H$408,MATCH(D348,Таблица2[Наименование материала],0))</f>
        <v>0</v>
      </c>
      <c r="M348" s="979">
        <f t="shared" si="12"/>
        <v>0</v>
      </c>
      <c r="O348" s="934">
        <f t="shared" si="13"/>
        <v>0</v>
      </c>
      <c r="Q348" s="984" t="s">
        <v>991</v>
      </c>
      <c r="R348" s="985"/>
      <c r="S348" s="985"/>
      <c r="T348" s="986">
        <v>50</v>
      </c>
      <c r="U348" s="985" t="s">
        <v>150</v>
      </c>
      <c r="V348" s="957"/>
      <c r="W348" s="957"/>
      <c r="X348" s="934"/>
      <c r="Y348" s="934"/>
      <c r="Z348" s="934"/>
      <c r="AA348" s="934"/>
      <c r="AB348" s="987"/>
      <c r="AC348" s="934"/>
      <c r="AD348" s="934"/>
      <c r="AE348" s="934"/>
      <c r="AF348" s="934"/>
      <c r="AG348" s="934"/>
      <c r="AH348" s="934"/>
      <c r="AI348" s="934"/>
      <c r="AJ348" s="934"/>
    </row>
    <row r="349" spans="2:36" ht="15" hidden="1" customHeight="1">
      <c r="B349" s="1437"/>
      <c r="C349" s="909" t="s">
        <v>993</v>
      </c>
      <c r="D349" s="732" t="s">
        <v>1351</v>
      </c>
      <c r="E349" s="733"/>
      <c r="F349" s="733"/>
      <c r="G349" s="733"/>
      <c r="H349" s="733"/>
      <c r="I349" s="734" t="s">
        <v>178</v>
      </c>
      <c r="J349" s="838">
        <v>0</v>
      </c>
      <c r="K349" s="977">
        <f>IFERROR(_xlfn.CEILING.MATH(J349,INDEX('СВОДНАЯ СПЕЦИФИКАЦИЯ'!$C$10:$C$408,MATCH(D349,'СВОДНАЯ СПЕЦИФИКАЦИЯ'!$D$10:$D$408,0))),"Введите кол-во")</f>
        <v>0</v>
      </c>
      <c r="L349" s="978">
        <f>INDEX('СВОДНАЯ СПЕЦИФИКАЦИЯ'!$H$10:$H$408,MATCH(D349,Таблица2[Наименование материала],0))</f>
        <v>0</v>
      </c>
      <c r="M349" s="979">
        <f t="shared" si="12"/>
        <v>0</v>
      </c>
      <c r="O349" s="934">
        <f t="shared" si="13"/>
        <v>0</v>
      </c>
      <c r="Q349" s="984" t="s">
        <v>991</v>
      </c>
      <c r="R349" s="985"/>
      <c r="S349" s="985"/>
      <c r="T349" s="986">
        <v>60</v>
      </c>
      <c r="U349" s="985" t="s">
        <v>150</v>
      </c>
      <c r="V349" s="957"/>
      <c r="W349" s="957"/>
      <c r="X349" s="934"/>
      <c r="Y349" s="934"/>
      <c r="Z349" s="934"/>
      <c r="AA349" s="934"/>
      <c r="AB349" s="987"/>
      <c r="AC349" s="934"/>
      <c r="AD349" s="934"/>
      <c r="AE349" s="934"/>
      <c r="AF349" s="934"/>
      <c r="AG349" s="934"/>
      <c r="AH349" s="934"/>
      <c r="AI349" s="934"/>
      <c r="AJ349" s="934"/>
    </row>
    <row r="350" spans="2:36" ht="15" hidden="1" customHeight="1">
      <c r="B350" s="1437"/>
      <c r="C350" s="909" t="s">
        <v>994</v>
      </c>
      <c r="D350" s="732" t="s">
        <v>1352</v>
      </c>
      <c r="E350" s="733"/>
      <c r="F350" s="733"/>
      <c r="G350" s="733"/>
      <c r="H350" s="733"/>
      <c r="I350" s="734" t="s">
        <v>178</v>
      </c>
      <c r="J350" s="838">
        <v>0</v>
      </c>
      <c r="K350" s="977">
        <f>IFERROR(_xlfn.CEILING.MATH(J350,INDEX('СВОДНАЯ СПЕЦИФИКАЦИЯ'!$C$10:$C$408,MATCH(D350,'СВОДНАЯ СПЕЦИФИКАЦИЯ'!$D$10:$D$408,0))),"Введите кол-во")</f>
        <v>0</v>
      </c>
      <c r="L350" s="978">
        <f>INDEX('СВОДНАЯ СПЕЦИФИКАЦИЯ'!$H$10:$H$408,MATCH(D350,Таблица2[Наименование материала],0))</f>
        <v>0</v>
      </c>
      <c r="M350" s="979">
        <f t="shared" si="12"/>
        <v>0</v>
      </c>
      <c r="O350" s="934">
        <f t="shared" si="13"/>
        <v>0</v>
      </c>
      <c r="Q350" s="984" t="s">
        <v>991</v>
      </c>
      <c r="R350" s="985"/>
      <c r="S350" s="985"/>
      <c r="T350" s="986">
        <v>70</v>
      </c>
      <c r="U350" s="985" t="s">
        <v>150</v>
      </c>
      <c r="V350" s="957"/>
      <c r="W350" s="957"/>
      <c r="X350" s="934"/>
      <c r="Y350" s="934"/>
      <c r="Z350" s="934"/>
      <c r="AA350" s="934"/>
      <c r="AB350" s="987"/>
      <c r="AC350" s="934"/>
      <c r="AD350" s="934"/>
      <c r="AE350" s="934"/>
      <c r="AF350" s="934"/>
      <c r="AG350" s="934"/>
      <c r="AH350" s="934"/>
      <c r="AI350" s="934"/>
      <c r="AJ350" s="934"/>
    </row>
    <row r="351" spans="2:36" ht="15" hidden="1" customHeight="1">
      <c r="B351" s="1437"/>
      <c r="C351" s="909">
        <v>18408</v>
      </c>
      <c r="D351" s="732" t="s">
        <v>1353</v>
      </c>
      <c r="E351" s="733"/>
      <c r="F351" s="733"/>
      <c r="G351" s="733"/>
      <c r="H351" s="733"/>
      <c r="I351" s="734" t="s">
        <v>178</v>
      </c>
      <c r="J351" s="838">
        <v>0</v>
      </c>
      <c r="K351" s="977">
        <f>IFERROR(_xlfn.CEILING.MATH(J351,INDEX('СВОДНАЯ СПЕЦИФИКАЦИЯ'!$C$10:$C$408,MATCH(D351,'СВОДНАЯ СПЕЦИФИКАЦИЯ'!$D$10:$D$408,0))),"Введите кол-во")</f>
        <v>0</v>
      </c>
      <c r="L351" s="978">
        <f>INDEX('СВОДНАЯ СПЕЦИФИКАЦИЯ'!$H$10:$H$408,MATCH(D351,Таблица2[Наименование материала],0))</f>
        <v>0</v>
      </c>
      <c r="M351" s="979">
        <f t="shared" si="12"/>
        <v>0</v>
      </c>
      <c r="O351" s="934">
        <f t="shared" si="13"/>
        <v>0</v>
      </c>
      <c r="Q351" s="984" t="s">
        <v>991</v>
      </c>
      <c r="R351" s="985"/>
      <c r="S351" s="985"/>
      <c r="T351" s="986">
        <v>80</v>
      </c>
      <c r="U351" s="985" t="s">
        <v>150</v>
      </c>
      <c r="V351" s="957"/>
      <c r="W351" s="957"/>
      <c r="X351" s="934"/>
      <c r="Y351" s="934"/>
      <c r="Z351" s="934"/>
      <c r="AA351" s="934"/>
      <c r="AB351" s="987"/>
      <c r="AC351" s="934"/>
      <c r="AD351" s="934"/>
      <c r="AE351" s="934"/>
      <c r="AF351" s="934"/>
      <c r="AG351" s="934"/>
      <c r="AH351" s="934"/>
      <c r="AI351" s="934"/>
      <c r="AJ351" s="934"/>
    </row>
    <row r="352" spans="2:36" ht="15" hidden="1" customHeight="1">
      <c r="B352" s="1437"/>
      <c r="C352" s="909">
        <v>34705</v>
      </c>
      <c r="D352" s="732" t="s">
        <v>1354</v>
      </c>
      <c r="E352" s="733"/>
      <c r="F352" s="733"/>
      <c r="G352" s="733"/>
      <c r="H352" s="733"/>
      <c r="I352" s="734" t="s">
        <v>178</v>
      </c>
      <c r="J352" s="838">
        <v>0</v>
      </c>
      <c r="K352" s="977">
        <f>IFERROR(_xlfn.CEILING.MATH(J352,INDEX('СВОДНАЯ СПЕЦИФИКАЦИЯ'!$C$10:$C$408,MATCH(D352,'СВОДНАЯ СПЕЦИФИКАЦИЯ'!$D$10:$D$408,0))),"Введите кол-во")</f>
        <v>0</v>
      </c>
      <c r="L352" s="978">
        <f>INDEX('СВОДНАЯ СПЕЦИФИКАЦИЯ'!$H$10:$H$408,MATCH(D352,Таблица2[Наименование материала],0))</f>
        <v>0</v>
      </c>
      <c r="M352" s="979">
        <f t="shared" si="12"/>
        <v>0</v>
      </c>
      <c r="O352" s="934">
        <f t="shared" si="13"/>
        <v>0</v>
      </c>
      <c r="Q352" s="984" t="s">
        <v>991</v>
      </c>
      <c r="R352" s="985"/>
      <c r="S352" s="985"/>
      <c r="T352" s="986">
        <v>90</v>
      </c>
      <c r="U352" s="985" t="s">
        <v>150</v>
      </c>
      <c r="V352" s="957"/>
      <c r="W352" s="957"/>
      <c r="X352" s="934"/>
      <c r="Y352" s="934"/>
      <c r="Z352" s="934"/>
      <c r="AA352" s="934"/>
      <c r="AB352" s="987"/>
      <c r="AC352" s="934"/>
      <c r="AD352" s="934"/>
      <c r="AE352" s="934"/>
      <c r="AF352" s="934"/>
      <c r="AG352" s="934"/>
      <c r="AH352" s="934"/>
      <c r="AI352" s="934"/>
      <c r="AJ352" s="934"/>
    </row>
    <row r="353" spans="2:36" ht="15" customHeight="1">
      <c r="B353" s="1437"/>
      <c r="C353" s="909" t="s">
        <v>995</v>
      </c>
      <c r="D353" s="732" t="s">
        <v>1355</v>
      </c>
      <c r="E353" s="733"/>
      <c r="F353" s="733"/>
      <c r="G353" s="733"/>
      <c r="H353" s="733"/>
      <c r="I353" s="734" t="s">
        <v>178</v>
      </c>
      <c r="J353" s="838">
        <v>5.8</v>
      </c>
      <c r="K353" s="977">
        <f>IFERROR(_xlfn.CEILING.MATH(J353,INDEX('СВОДНАЯ СПЕЦИФИКАЦИЯ'!$C$10:$C$408,MATCH(D353,'СВОДНАЯ СПЕЦИФИКАЦИЯ'!$D$10:$D$408,0))),"Введите кол-во")</f>
        <v>6.9119999999999999</v>
      </c>
      <c r="L353" s="978">
        <f>INDEX('СВОДНАЯ СПЕЦИФИКАЦИЯ'!$H$10:$H$408,MATCH(D353,Таблица2[Наименование материала],0))</f>
        <v>0</v>
      </c>
      <c r="M353" s="979">
        <f t="shared" si="12"/>
        <v>0</v>
      </c>
      <c r="O353" s="934">
        <f t="shared" si="13"/>
        <v>1</v>
      </c>
      <c r="Q353" s="984" t="s">
        <v>991</v>
      </c>
      <c r="R353" s="985"/>
      <c r="S353" s="985"/>
      <c r="T353" s="986">
        <v>100</v>
      </c>
      <c r="U353" s="985" t="s">
        <v>150</v>
      </c>
      <c r="V353" s="957"/>
      <c r="W353" s="957"/>
      <c r="X353" s="934"/>
      <c r="Y353" s="934"/>
      <c r="Z353" s="934"/>
      <c r="AA353" s="934"/>
      <c r="AB353" s="987"/>
      <c r="AC353" s="934"/>
      <c r="AD353" s="934"/>
      <c r="AE353" s="934"/>
      <c r="AF353" s="934"/>
      <c r="AG353" s="934"/>
      <c r="AH353" s="934"/>
      <c r="AI353" s="934"/>
      <c r="AJ353" s="934"/>
    </row>
    <row r="354" spans="2:36" ht="15" hidden="1" customHeight="1">
      <c r="B354" s="1437"/>
      <c r="C354" s="909">
        <v>36541</v>
      </c>
      <c r="D354" s="732" t="s">
        <v>1356</v>
      </c>
      <c r="E354" s="733"/>
      <c r="F354" s="733"/>
      <c r="G354" s="733"/>
      <c r="H354" s="733"/>
      <c r="I354" s="734" t="s">
        <v>178</v>
      </c>
      <c r="J354" s="838">
        <v>0</v>
      </c>
      <c r="K354" s="977">
        <f>IFERROR(_xlfn.CEILING.MATH(J354,INDEX('СВОДНАЯ СПЕЦИФИКАЦИЯ'!$C$10:$C$408,MATCH(D354,'СВОДНАЯ СПЕЦИФИКАЦИЯ'!$D$10:$D$408,0))),"Введите кол-во")</f>
        <v>0</v>
      </c>
      <c r="L354" s="978">
        <f>INDEX('СВОДНАЯ СПЕЦИФИКАЦИЯ'!$H$10:$H$408,MATCH(D354,Таблица2[Наименование материала],0))</f>
        <v>0</v>
      </c>
      <c r="M354" s="979">
        <f t="shared" si="12"/>
        <v>0</v>
      </c>
      <c r="O354" s="934">
        <f t="shared" si="13"/>
        <v>0</v>
      </c>
      <c r="Q354" s="984" t="s">
        <v>991</v>
      </c>
      <c r="R354" s="985"/>
      <c r="S354" s="985"/>
      <c r="T354" s="986">
        <v>110</v>
      </c>
      <c r="U354" s="985" t="s">
        <v>150</v>
      </c>
      <c r="V354" s="957"/>
      <c r="W354" s="957"/>
      <c r="X354" s="934"/>
      <c r="Y354" s="934"/>
      <c r="Z354" s="934"/>
      <c r="AA354" s="934"/>
      <c r="AB354" s="987"/>
      <c r="AC354" s="934"/>
      <c r="AD354" s="934"/>
      <c r="AE354" s="934"/>
      <c r="AF354" s="934"/>
      <c r="AG354" s="934"/>
      <c r="AH354" s="934"/>
      <c r="AI354" s="934"/>
      <c r="AJ354" s="934"/>
    </row>
    <row r="355" spans="2:36" ht="15" hidden="1" customHeight="1">
      <c r="B355" s="1437"/>
      <c r="C355" s="909">
        <v>37585</v>
      </c>
      <c r="D355" s="732" t="s">
        <v>1357</v>
      </c>
      <c r="E355" s="733"/>
      <c r="F355" s="733"/>
      <c r="G355" s="733"/>
      <c r="H355" s="733"/>
      <c r="I355" s="734" t="s">
        <v>178</v>
      </c>
      <c r="J355" s="838">
        <v>0</v>
      </c>
      <c r="K355" s="977">
        <f>IFERROR(_xlfn.CEILING.MATH(J355,INDEX('СВОДНАЯ СПЕЦИФИКАЦИЯ'!$C$10:$C$408,MATCH(D355,'СВОДНАЯ СПЕЦИФИКАЦИЯ'!$D$10:$D$408,0))),"Введите кол-во")</f>
        <v>0</v>
      </c>
      <c r="L355" s="978">
        <f>INDEX('СВОДНАЯ СПЕЦИФИКАЦИЯ'!$H$10:$H$408,MATCH(D355,Таблица2[Наименование материала],0))</f>
        <v>0</v>
      </c>
      <c r="M355" s="979">
        <f t="shared" si="12"/>
        <v>0</v>
      </c>
      <c r="O355" s="934">
        <f t="shared" si="13"/>
        <v>0</v>
      </c>
      <c r="Q355" s="984" t="s">
        <v>991</v>
      </c>
      <c r="R355" s="985"/>
      <c r="S355" s="985"/>
      <c r="T355" s="986">
        <v>120</v>
      </c>
      <c r="U355" s="985" t="s">
        <v>150</v>
      </c>
      <c r="V355" s="957"/>
      <c r="W355" s="957"/>
      <c r="X355" s="934"/>
      <c r="Y355" s="934"/>
      <c r="Z355" s="934"/>
      <c r="AA355" s="934"/>
      <c r="AB355" s="987"/>
      <c r="AC355" s="934"/>
      <c r="AD355" s="934"/>
      <c r="AE355" s="934"/>
      <c r="AF355" s="934"/>
      <c r="AG355" s="934"/>
      <c r="AH355" s="934"/>
      <c r="AI355" s="934"/>
      <c r="AJ355" s="934"/>
    </row>
    <row r="356" spans="2:36" ht="15" hidden="1" customHeight="1">
      <c r="B356" s="1437"/>
      <c r="C356" s="909">
        <v>377725</v>
      </c>
      <c r="D356" s="732" t="s">
        <v>1358</v>
      </c>
      <c r="E356" s="733"/>
      <c r="F356" s="733"/>
      <c r="G356" s="733"/>
      <c r="H356" s="733"/>
      <c r="I356" s="734" t="s">
        <v>178</v>
      </c>
      <c r="J356" s="838">
        <v>0</v>
      </c>
      <c r="K356" s="977">
        <f>IFERROR(_xlfn.CEILING.MATH(J356,INDEX('СВОДНАЯ СПЕЦИФИКАЦИЯ'!$C$10:$C$408,MATCH(D356,'СВОДНАЯ СПЕЦИФИКАЦИЯ'!$D$10:$D$408,0))),"Введите кол-во")</f>
        <v>0</v>
      </c>
      <c r="L356" s="978">
        <f>INDEX('СВОДНАЯ СПЕЦИФИКАЦИЯ'!$H$10:$H$408,MATCH(D356,Таблица2[Наименование материала],0))</f>
        <v>0</v>
      </c>
      <c r="M356" s="979">
        <f t="shared" ref="M356:M419" si="14">IFERROR(K356*L356,0)</f>
        <v>0</v>
      </c>
      <c r="O356" s="934">
        <f t="shared" si="13"/>
        <v>0</v>
      </c>
      <c r="Q356" s="984" t="s">
        <v>991</v>
      </c>
      <c r="R356" s="985"/>
      <c r="S356" s="985"/>
      <c r="T356" s="986">
        <v>130</v>
      </c>
      <c r="U356" s="985" t="s">
        <v>150</v>
      </c>
      <c r="V356" s="957"/>
      <c r="W356" s="957"/>
      <c r="X356" s="934"/>
      <c r="Y356" s="934"/>
      <c r="Z356" s="934"/>
      <c r="AA356" s="934"/>
      <c r="AB356" s="987"/>
      <c r="AC356" s="934"/>
      <c r="AD356" s="934"/>
      <c r="AE356" s="934"/>
      <c r="AF356" s="934"/>
      <c r="AG356" s="934"/>
      <c r="AH356" s="934"/>
      <c r="AI356" s="934"/>
      <c r="AJ356" s="934"/>
    </row>
    <row r="357" spans="2:36" ht="15" hidden="1" customHeight="1">
      <c r="B357" s="1437"/>
      <c r="C357" s="909">
        <v>210246</v>
      </c>
      <c r="D357" s="732" t="s">
        <v>1359</v>
      </c>
      <c r="E357" s="733"/>
      <c r="F357" s="733"/>
      <c r="G357" s="733"/>
      <c r="H357" s="733"/>
      <c r="I357" s="734" t="s">
        <v>178</v>
      </c>
      <c r="J357" s="838">
        <v>0</v>
      </c>
      <c r="K357" s="977">
        <f>IFERROR(_xlfn.CEILING.MATH(J357,INDEX('СВОДНАЯ СПЕЦИФИКАЦИЯ'!$C$10:$C$408,MATCH(D357,'СВОДНАЯ СПЕЦИФИКАЦИЯ'!$D$10:$D$408,0))),"Введите кол-во")</f>
        <v>0</v>
      </c>
      <c r="L357" s="978">
        <f>INDEX('СВОДНАЯ СПЕЦИФИКАЦИЯ'!$H$10:$H$408,MATCH(D357,Таблица2[Наименование материала],0))</f>
        <v>0</v>
      </c>
      <c r="M357" s="979">
        <f t="shared" si="14"/>
        <v>0</v>
      </c>
      <c r="O357" s="934">
        <f t="shared" si="13"/>
        <v>0</v>
      </c>
      <c r="Q357" s="984" t="s">
        <v>991</v>
      </c>
      <c r="R357" s="985"/>
      <c r="S357" s="985"/>
      <c r="T357" s="986">
        <v>140</v>
      </c>
      <c r="U357" s="985" t="s">
        <v>150</v>
      </c>
      <c r="V357" s="957"/>
      <c r="W357" s="957"/>
      <c r="X357" s="934"/>
      <c r="Y357" s="934"/>
      <c r="Z357" s="934"/>
      <c r="AA357" s="934"/>
      <c r="AB357" s="987"/>
      <c r="AC357" s="934"/>
      <c r="AD357" s="934"/>
      <c r="AE357" s="934"/>
      <c r="AF357" s="934"/>
      <c r="AG357" s="934"/>
      <c r="AH357" s="934"/>
      <c r="AI357" s="934"/>
      <c r="AJ357" s="934"/>
    </row>
    <row r="358" spans="2:36" ht="15" hidden="1" customHeight="1">
      <c r="B358" s="1437"/>
      <c r="C358" s="909">
        <v>28928</v>
      </c>
      <c r="D358" s="732" t="s">
        <v>1360</v>
      </c>
      <c r="E358" s="733"/>
      <c r="F358" s="733"/>
      <c r="G358" s="733"/>
      <c r="H358" s="733"/>
      <c r="I358" s="734" t="s">
        <v>178</v>
      </c>
      <c r="J358" s="838">
        <v>0</v>
      </c>
      <c r="K358" s="977">
        <f>IFERROR(_xlfn.CEILING.MATH(J358,INDEX('СВОДНАЯ СПЕЦИФИКАЦИЯ'!$C$10:$C$408,MATCH(D358,'СВОДНАЯ СПЕЦИФИКАЦИЯ'!$D$10:$D$408,0))),"Введите кол-во")</f>
        <v>0</v>
      </c>
      <c r="L358" s="978">
        <f>INDEX('СВОДНАЯ СПЕЦИФИКАЦИЯ'!$H$10:$H$408,MATCH(D358,Таблица2[Наименование материала],0))</f>
        <v>0</v>
      </c>
      <c r="M358" s="979">
        <f t="shared" si="14"/>
        <v>0</v>
      </c>
      <c r="O358" s="934">
        <f t="shared" si="13"/>
        <v>0</v>
      </c>
      <c r="Q358" s="984" t="s">
        <v>991</v>
      </c>
      <c r="R358" s="985"/>
      <c r="S358" s="985"/>
      <c r="T358" s="986">
        <v>150</v>
      </c>
      <c r="U358" s="985" t="s">
        <v>150</v>
      </c>
      <c r="V358" s="957"/>
      <c r="W358" s="957"/>
      <c r="X358" s="934"/>
      <c r="Y358" s="934"/>
      <c r="Z358" s="934"/>
      <c r="AA358" s="934"/>
      <c r="AB358" s="987"/>
      <c r="AC358" s="934"/>
      <c r="AD358" s="934"/>
      <c r="AE358" s="934"/>
      <c r="AF358" s="934"/>
      <c r="AG358" s="934"/>
      <c r="AH358" s="934"/>
      <c r="AI358" s="934"/>
      <c r="AJ358" s="934"/>
    </row>
    <row r="359" spans="2:36" ht="15" hidden="1" customHeight="1">
      <c r="B359" s="1437"/>
      <c r="C359" s="909">
        <v>210247</v>
      </c>
      <c r="D359" s="732" t="s">
        <v>1361</v>
      </c>
      <c r="E359" s="733"/>
      <c r="F359" s="733"/>
      <c r="G359" s="733"/>
      <c r="H359" s="733"/>
      <c r="I359" s="734" t="s">
        <v>178</v>
      </c>
      <c r="J359" s="838">
        <v>0</v>
      </c>
      <c r="K359" s="977">
        <f>IFERROR(_xlfn.CEILING.MATH(J359,INDEX('СВОДНАЯ СПЕЦИФИКАЦИЯ'!$C$10:$C$408,MATCH(D359,'СВОДНАЯ СПЕЦИФИКАЦИЯ'!$D$10:$D$408,0))),"Введите кол-во")</f>
        <v>0</v>
      </c>
      <c r="L359" s="978">
        <f>INDEX('СВОДНАЯ СПЕЦИФИКАЦИЯ'!$H$10:$H$408,MATCH(D359,Таблица2[Наименование материала],0))</f>
        <v>0</v>
      </c>
      <c r="M359" s="979">
        <f t="shared" si="14"/>
        <v>0</v>
      </c>
      <c r="O359" s="934">
        <f t="shared" si="13"/>
        <v>0</v>
      </c>
      <c r="Q359" s="984" t="s">
        <v>991</v>
      </c>
      <c r="R359" s="985"/>
      <c r="S359" s="985"/>
      <c r="T359" s="986">
        <v>160</v>
      </c>
      <c r="U359" s="985" t="s">
        <v>150</v>
      </c>
      <c r="V359" s="957"/>
      <c r="W359" s="957"/>
      <c r="X359" s="934"/>
      <c r="Y359" s="934"/>
      <c r="Z359" s="934"/>
      <c r="AA359" s="934"/>
      <c r="AB359" s="987"/>
      <c r="AC359" s="934"/>
      <c r="AD359" s="934"/>
      <c r="AE359" s="934"/>
      <c r="AF359" s="934"/>
      <c r="AG359" s="934"/>
      <c r="AH359" s="934"/>
      <c r="AI359" s="934"/>
      <c r="AJ359" s="934"/>
    </row>
    <row r="360" spans="2:36" ht="15" hidden="1" customHeight="1">
      <c r="B360" s="1437"/>
      <c r="C360" s="909">
        <v>210248</v>
      </c>
      <c r="D360" s="732" t="s">
        <v>1362</v>
      </c>
      <c r="E360" s="733"/>
      <c r="F360" s="733"/>
      <c r="G360" s="733"/>
      <c r="H360" s="733"/>
      <c r="I360" s="734" t="s">
        <v>178</v>
      </c>
      <c r="J360" s="838">
        <v>0</v>
      </c>
      <c r="K360" s="977">
        <f>IFERROR(_xlfn.CEILING.MATH(J360,INDEX('СВОДНАЯ СПЕЦИФИКАЦИЯ'!$C$10:$C$408,MATCH(D360,'СВОДНАЯ СПЕЦИФИКАЦИЯ'!$D$10:$D$408,0))),"Введите кол-во")</f>
        <v>0</v>
      </c>
      <c r="L360" s="978">
        <f>INDEX('СВОДНАЯ СПЕЦИФИКАЦИЯ'!$H$10:$H$408,MATCH(D360,Таблица2[Наименование материала],0))</f>
        <v>0</v>
      </c>
      <c r="M360" s="979">
        <f t="shared" si="14"/>
        <v>0</v>
      </c>
      <c r="O360" s="934">
        <f t="shared" si="13"/>
        <v>0</v>
      </c>
      <c r="Q360" s="984" t="s">
        <v>991</v>
      </c>
      <c r="R360" s="985"/>
      <c r="S360" s="985"/>
      <c r="T360" s="986">
        <v>170</v>
      </c>
      <c r="U360" s="985" t="s">
        <v>150</v>
      </c>
      <c r="V360" s="957"/>
      <c r="W360" s="957"/>
      <c r="X360" s="934"/>
      <c r="Y360" s="934"/>
      <c r="Z360" s="934"/>
      <c r="AA360" s="934"/>
      <c r="AB360" s="987"/>
      <c r="AC360" s="934"/>
      <c r="AD360" s="934"/>
      <c r="AE360" s="934"/>
      <c r="AF360" s="934"/>
      <c r="AG360" s="934"/>
      <c r="AH360" s="934"/>
      <c r="AI360" s="934"/>
      <c r="AJ360" s="934"/>
    </row>
    <row r="361" spans="2:36" ht="15" hidden="1" customHeight="1">
      <c r="B361" s="1437"/>
      <c r="C361" s="909">
        <v>210249</v>
      </c>
      <c r="D361" s="732" t="s">
        <v>1363</v>
      </c>
      <c r="E361" s="733"/>
      <c r="F361" s="733"/>
      <c r="G361" s="733"/>
      <c r="H361" s="733"/>
      <c r="I361" s="734" t="s">
        <v>178</v>
      </c>
      <c r="J361" s="838">
        <v>0</v>
      </c>
      <c r="K361" s="977">
        <f>IFERROR(_xlfn.CEILING.MATH(J361,INDEX('СВОДНАЯ СПЕЦИФИКАЦИЯ'!$C$10:$C$408,MATCH(D361,'СВОДНАЯ СПЕЦИФИКАЦИЯ'!$D$10:$D$408,0))),"Введите кол-во")</f>
        <v>0</v>
      </c>
      <c r="L361" s="978">
        <f>INDEX('СВОДНАЯ СПЕЦИФИКАЦИЯ'!$H$10:$H$408,MATCH(D361,Таблица2[Наименование материала],0))</f>
        <v>0</v>
      </c>
      <c r="M361" s="979">
        <f t="shared" si="14"/>
        <v>0</v>
      </c>
      <c r="O361" s="934">
        <f t="shared" si="13"/>
        <v>0</v>
      </c>
      <c r="Q361" s="984" t="s">
        <v>991</v>
      </c>
      <c r="R361" s="985"/>
      <c r="S361" s="985"/>
      <c r="T361" s="986">
        <v>180</v>
      </c>
      <c r="U361" s="985" t="s">
        <v>150</v>
      </c>
      <c r="V361" s="957"/>
      <c r="W361" s="957"/>
      <c r="X361" s="934"/>
      <c r="Y361" s="934"/>
      <c r="Z361" s="934"/>
      <c r="AA361" s="934"/>
      <c r="AB361" s="987"/>
      <c r="AC361" s="934"/>
      <c r="AD361" s="934"/>
      <c r="AE361" s="934"/>
      <c r="AF361" s="934"/>
      <c r="AG361" s="934"/>
      <c r="AH361" s="934"/>
      <c r="AI361" s="934"/>
      <c r="AJ361" s="934"/>
    </row>
    <row r="362" spans="2:36" ht="15" hidden="1" customHeight="1">
      <c r="B362" s="1437"/>
      <c r="C362" s="909">
        <v>210250</v>
      </c>
      <c r="D362" s="732" t="s">
        <v>1364</v>
      </c>
      <c r="E362" s="733"/>
      <c r="F362" s="733"/>
      <c r="G362" s="733"/>
      <c r="H362" s="733"/>
      <c r="I362" s="734" t="s">
        <v>178</v>
      </c>
      <c r="J362" s="838">
        <v>0</v>
      </c>
      <c r="K362" s="977">
        <f>IFERROR(_xlfn.CEILING.MATH(J362,INDEX('СВОДНАЯ СПЕЦИФИКАЦИЯ'!$C$10:$C$408,MATCH(D362,'СВОДНАЯ СПЕЦИФИКАЦИЯ'!$D$10:$D$408,0))),"Введите кол-во")</f>
        <v>0</v>
      </c>
      <c r="L362" s="978">
        <f>INDEX('СВОДНАЯ СПЕЦИФИКАЦИЯ'!$H$10:$H$408,MATCH(D362,Таблица2[Наименование материала],0))</f>
        <v>0</v>
      </c>
      <c r="M362" s="979">
        <f t="shared" si="14"/>
        <v>0</v>
      </c>
      <c r="O362" s="934">
        <f t="shared" si="13"/>
        <v>0</v>
      </c>
      <c r="Q362" s="984" t="s">
        <v>991</v>
      </c>
      <c r="R362" s="985"/>
      <c r="S362" s="985"/>
      <c r="T362" s="986">
        <v>190</v>
      </c>
      <c r="U362" s="985" t="s">
        <v>150</v>
      </c>
      <c r="V362" s="957"/>
      <c r="W362" s="957"/>
      <c r="X362" s="934"/>
      <c r="Y362" s="934"/>
      <c r="Z362" s="934"/>
      <c r="AA362" s="934"/>
      <c r="AB362" s="987"/>
      <c r="AC362" s="934"/>
      <c r="AD362" s="934"/>
      <c r="AE362" s="934"/>
      <c r="AF362" s="934"/>
      <c r="AG362" s="934"/>
      <c r="AH362" s="934"/>
      <c r="AI362" s="934"/>
      <c r="AJ362" s="934"/>
    </row>
    <row r="363" spans="2:36" ht="15" hidden="1" customHeight="1">
      <c r="B363" s="1437"/>
      <c r="C363" s="909">
        <v>73992</v>
      </c>
      <c r="D363" s="732" t="s">
        <v>1365</v>
      </c>
      <c r="E363" s="733"/>
      <c r="F363" s="733"/>
      <c r="G363" s="733"/>
      <c r="H363" s="733"/>
      <c r="I363" s="734" t="s">
        <v>178</v>
      </c>
      <c r="J363" s="838">
        <v>0</v>
      </c>
      <c r="K363" s="977">
        <f>IFERROR(_xlfn.CEILING.MATH(J363,INDEX('СВОДНАЯ СПЕЦИФИКАЦИЯ'!$C$10:$C$408,MATCH(D363,'СВОДНАЯ СПЕЦИФИКАЦИЯ'!$D$10:$D$408,0))),"Введите кол-во")</f>
        <v>0</v>
      </c>
      <c r="L363" s="978">
        <f>INDEX('СВОДНАЯ СПЕЦИФИКАЦИЯ'!$H$10:$H$408,MATCH(D363,Таблица2[Наименование материала],0))</f>
        <v>0</v>
      </c>
      <c r="M363" s="979">
        <f t="shared" si="14"/>
        <v>0</v>
      </c>
      <c r="O363" s="934">
        <f t="shared" si="13"/>
        <v>0</v>
      </c>
      <c r="Q363" s="984" t="s">
        <v>991</v>
      </c>
      <c r="R363" s="985"/>
      <c r="S363" s="985"/>
      <c r="T363" s="986">
        <v>200</v>
      </c>
      <c r="U363" s="985" t="s">
        <v>150</v>
      </c>
      <c r="V363" s="957"/>
      <c r="W363" s="957"/>
      <c r="X363" s="934"/>
      <c r="Y363" s="934"/>
      <c r="Z363" s="934"/>
      <c r="AA363" s="934"/>
      <c r="AB363" s="987"/>
      <c r="AC363" s="934"/>
      <c r="AD363" s="934"/>
      <c r="AE363" s="934"/>
      <c r="AF363" s="934"/>
      <c r="AG363" s="934"/>
      <c r="AH363" s="934"/>
      <c r="AI363" s="934"/>
      <c r="AJ363" s="934"/>
    </row>
    <row r="364" spans="2:36" ht="15" hidden="1" customHeight="1">
      <c r="B364" s="1437"/>
      <c r="C364" s="909">
        <v>407185</v>
      </c>
      <c r="D364" s="732" t="s">
        <v>1366</v>
      </c>
      <c r="E364" s="733"/>
      <c r="F364" s="733"/>
      <c r="G364" s="733"/>
      <c r="H364" s="733"/>
      <c r="I364" s="734" t="s">
        <v>178</v>
      </c>
      <c r="J364" s="838">
        <v>0</v>
      </c>
      <c r="K364" s="977">
        <f>IFERROR(_xlfn.CEILING.MATH(J364,INDEX('СВОДНАЯ СПЕЦИФИКАЦИЯ'!$C$10:$C$408,MATCH(D364,'СВОДНАЯ СПЕЦИФИКАЦИЯ'!$D$10:$D$408,0))),"Введите кол-во")</f>
        <v>0</v>
      </c>
      <c r="L364" s="978">
        <f>INDEX('СВОДНАЯ СПЕЦИФИКАЦИЯ'!$H$10:$H$408,MATCH(D364,Таблица2[Наименование материала],0))</f>
        <v>0</v>
      </c>
      <c r="M364" s="979">
        <f t="shared" si="14"/>
        <v>0</v>
      </c>
      <c r="O364" s="934">
        <f t="shared" si="13"/>
        <v>0</v>
      </c>
      <c r="Q364" s="984" t="s">
        <v>996</v>
      </c>
      <c r="R364" s="985"/>
      <c r="S364" s="985"/>
      <c r="T364" s="986">
        <v>50</v>
      </c>
      <c r="U364" s="985" t="s">
        <v>150</v>
      </c>
      <c r="V364" s="957"/>
      <c r="W364" s="957"/>
      <c r="X364" s="934"/>
      <c r="Y364" s="934"/>
      <c r="Z364" s="934"/>
      <c r="AA364" s="934"/>
      <c r="AB364" s="987"/>
      <c r="AC364" s="934"/>
      <c r="AD364" s="934"/>
      <c r="AE364" s="934"/>
      <c r="AF364" s="934"/>
      <c r="AG364" s="934"/>
      <c r="AH364" s="934"/>
      <c r="AI364" s="934"/>
      <c r="AJ364" s="934"/>
    </row>
    <row r="365" spans="2:36" ht="15" hidden="1" customHeight="1">
      <c r="B365" s="1437"/>
      <c r="C365" s="909">
        <v>13789</v>
      </c>
      <c r="D365" s="732" t="s">
        <v>1367</v>
      </c>
      <c r="E365" s="733"/>
      <c r="F365" s="733"/>
      <c r="G365" s="733"/>
      <c r="H365" s="733"/>
      <c r="I365" s="734" t="s">
        <v>178</v>
      </c>
      <c r="J365" s="838">
        <v>0</v>
      </c>
      <c r="K365" s="977">
        <f>IFERROR(_xlfn.CEILING.MATH(J365,INDEX('СВОДНАЯ СПЕЦИФИКАЦИЯ'!$C$10:$C$408,MATCH(D365,'СВОДНАЯ СПЕЦИФИКАЦИЯ'!$D$10:$D$408,0))),"Введите кол-во")</f>
        <v>0</v>
      </c>
      <c r="L365" s="978">
        <f>INDEX('СВОДНАЯ СПЕЦИФИКАЦИЯ'!$H$10:$H$408,MATCH(D365,Таблица2[Наименование материала],0))</f>
        <v>0</v>
      </c>
      <c r="M365" s="979">
        <f t="shared" si="14"/>
        <v>0</v>
      </c>
      <c r="O365" s="934">
        <f t="shared" si="13"/>
        <v>0</v>
      </c>
      <c r="Q365" s="984" t="s">
        <v>996</v>
      </c>
      <c r="R365" s="985"/>
      <c r="S365" s="985"/>
      <c r="T365" s="986">
        <v>60</v>
      </c>
      <c r="U365" s="985" t="s">
        <v>150</v>
      </c>
      <c r="V365" s="957"/>
      <c r="W365" s="957"/>
      <c r="X365" s="934"/>
      <c r="Y365" s="934"/>
      <c r="Z365" s="934"/>
      <c r="AA365" s="934"/>
      <c r="AB365" s="987"/>
      <c r="AC365" s="934"/>
      <c r="AD365" s="934"/>
      <c r="AE365" s="934"/>
      <c r="AF365" s="934"/>
      <c r="AG365" s="934"/>
      <c r="AH365" s="934"/>
      <c r="AI365" s="934"/>
      <c r="AJ365" s="934"/>
    </row>
    <row r="366" spans="2:36" ht="15" hidden="1" customHeight="1">
      <c r="B366" s="1437"/>
      <c r="C366" s="909">
        <v>20583</v>
      </c>
      <c r="D366" s="732" t="s">
        <v>1368</v>
      </c>
      <c r="E366" s="733"/>
      <c r="F366" s="733"/>
      <c r="G366" s="733"/>
      <c r="H366" s="733"/>
      <c r="I366" s="734" t="s">
        <v>178</v>
      </c>
      <c r="J366" s="838">
        <v>0</v>
      </c>
      <c r="K366" s="977">
        <f>IFERROR(_xlfn.CEILING.MATH(J366,INDEX('СВОДНАЯ СПЕЦИФИКАЦИЯ'!$C$10:$C$408,MATCH(D366,'СВОДНАЯ СПЕЦИФИКАЦИЯ'!$D$10:$D$408,0))),"Введите кол-во")</f>
        <v>0</v>
      </c>
      <c r="L366" s="978">
        <f>INDEX('СВОДНАЯ СПЕЦИФИКАЦИЯ'!$H$10:$H$408,MATCH(D366,Таблица2[Наименование материала],0))</f>
        <v>0</v>
      </c>
      <c r="M366" s="979">
        <f t="shared" si="14"/>
        <v>0</v>
      </c>
      <c r="O366" s="934">
        <f t="shared" si="13"/>
        <v>0</v>
      </c>
      <c r="Q366" s="984" t="s">
        <v>996</v>
      </c>
      <c r="R366" s="985"/>
      <c r="S366" s="985"/>
      <c r="T366" s="986">
        <v>70</v>
      </c>
      <c r="U366" s="985" t="s">
        <v>150</v>
      </c>
      <c r="V366" s="957"/>
      <c r="W366" s="957"/>
      <c r="X366" s="934"/>
      <c r="Y366" s="934"/>
      <c r="Z366" s="934"/>
      <c r="AA366" s="934"/>
      <c r="AB366" s="987"/>
      <c r="AC366" s="934"/>
      <c r="AD366" s="934"/>
      <c r="AE366" s="934"/>
      <c r="AF366" s="934"/>
      <c r="AG366" s="934"/>
      <c r="AH366" s="934"/>
      <c r="AI366" s="934"/>
      <c r="AJ366" s="934"/>
    </row>
    <row r="367" spans="2:36" ht="15" hidden="1" customHeight="1">
      <c r="B367" s="1437"/>
      <c r="C367" s="909">
        <v>20584</v>
      </c>
      <c r="D367" s="732" t="s">
        <v>1369</v>
      </c>
      <c r="E367" s="733"/>
      <c r="F367" s="733"/>
      <c r="G367" s="733"/>
      <c r="H367" s="733"/>
      <c r="I367" s="734" t="s">
        <v>178</v>
      </c>
      <c r="J367" s="838">
        <v>0</v>
      </c>
      <c r="K367" s="977">
        <f>IFERROR(_xlfn.CEILING.MATH(J367,INDEX('СВОДНАЯ СПЕЦИФИКАЦИЯ'!$C$10:$C$408,MATCH(D367,'СВОДНАЯ СПЕЦИФИКАЦИЯ'!$D$10:$D$408,0))),"Введите кол-во")</f>
        <v>0</v>
      </c>
      <c r="L367" s="978">
        <f>INDEX('СВОДНАЯ СПЕЦИФИКАЦИЯ'!$H$10:$H$408,MATCH(D367,Таблица2[Наименование материала],0))</f>
        <v>0</v>
      </c>
      <c r="M367" s="979">
        <f t="shared" si="14"/>
        <v>0</v>
      </c>
      <c r="O367" s="934">
        <f t="shared" si="13"/>
        <v>0</v>
      </c>
      <c r="Q367" s="984" t="s">
        <v>996</v>
      </c>
      <c r="R367" s="985"/>
      <c r="S367" s="985"/>
      <c r="T367" s="986">
        <v>80</v>
      </c>
      <c r="U367" s="985" t="s">
        <v>150</v>
      </c>
      <c r="V367" s="957"/>
      <c r="W367" s="957"/>
      <c r="X367" s="934"/>
      <c r="Y367" s="934"/>
      <c r="Z367" s="934"/>
      <c r="AA367" s="934"/>
      <c r="AB367" s="987"/>
      <c r="AC367" s="934"/>
      <c r="AD367" s="934"/>
      <c r="AE367" s="934"/>
      <c r="AF367" s="934"/>
      <c r="AG367" s="934"/>
      <c r="AH367" s="934"/>
      <c r="AI367" s="934"/>
      <c r="AJ367" s="934"/>
    </row>
    <row r="368" spans="2:36" ht="15" hidden="1" customHeight="1">
      <c r="B368" s="1437"/>
      <c r="C368" s="909">
        <v>53722</v>
      </c>
      <c r="D368" s="732" t="s">
        <v>1370</v>
      </c>
      <c r="E368" s="733"/>
      <c r="F368" s="733"/>
      <c r="G368" s="733"/>
      <c r="H368" s="733"/>
      <c r="I368" s="734" t="s">
        <v>178</v>
      </c>
      <c r="J368" s="838">
        <v>0</v>
      </c>
      <c r="K368" s="977">
        <f>IFERROR(_xlfn.CEILING.MATH(J368,INDEX('СВОДНАЯ СПЕЦИФИКАЦИЯ'!$C$10:$C$408,MATCH(D368,'СВОДНАЯ СПЕЦИФИКАЦИЯ'!$D$10:$D$408,0))),"Введите кол-во")</f>
        <v>0</v>
      </c>
      <c r="L368" s="978">
        <f>INDEX('СВОДНАЯ СПЕЦИФИКАЦИЯ'!$H$10:$H$408,MATCH(D368,Таблица2[Наименование материала],0))</f>
        <v>0</v>
      </c>
      <c r="M368" s="979">
        <f t="shared" si="14"/>
        <v>0</v>
      </c>
      <c r="O368" s="934">
        <f t="shared" si="13"/>
        <v>0</v>
      </c>
      <c r="Q368" s="984" t="s">
        <v>996</v>
      </c>
      <c r="R368" s="985"/>
      <c r="S368" s="985"/>
      <c r="T368" s="986">
        <v>90</v>
      </c>
      <c r="U368" s="985" t="s">
        <v>150</v>
      </c>
      <c r="V368" s="957"/>
      <c r="W368" s="957"/>
      <c r="X368" s="934"/>
      <c r="Y368" s="934"/>
      <c r="Z368" s="934"/>
      <c r="AA368" s="934"/>
      <c r="AB368" s="987"/>
      <c r="AC368" s="934"/>
      <c r="AD368" s="934"/>
      <c r="AE368" s="934"/>
      <c r="AF368" s="934"/>
      <c r="AG368" s="934"/>
      <c r="AH368" s="934"/>
      <c r="AI368" s="934"/>
      <c r="AJ368" s="934"/>
    </row>
    <row r="369" spans="2:36" ht="15" hidden="1" customHeight="1">
      <c r="B369" s="1437"/>
      <c r="C369" s="909">
        <v>13240</v>
      </c>
      <c r="D369" s="732" t="s">
        <v>1371</v>
      </c>
      <c r="E369" s="733"/>
      <c r="F369" s="733"/>
      <c r="G369" s="733"/>
      <c r="H369" s="733"/>
      <c r="I369" s="734" t="s">
        <v>178</v>
      </c>
      <c r="J369" s="838">
        <v>0</v>
      </c>
      <c r="K369" s="977">
        <f>IFERROR(_xlfn.CEILING.MATH(J369,INDEX('СВОДНАЯ СПЕЦИФИКАЦИЯ'!$C$10:$C$408,MATCH(D369,'СВОДНАЯ СПЕЦИФИКАЦИЯ'!$D$10:$D$408,0))),"Введите кол-во")</f>
        <v>0</v>
      </c>
      <c r="L369" s="978">
        <f>INDEX('СВОДНАЯ СПЕЦИФИКАЦИЯ'!$H$10:$H$408,MATCH(D369,Таблица2[Наименование материала],0))</f>
        <v>0</v>
      </c>
      <c r="M369" s="979">
        <f t="shared" si="14"/>
        <v>0</v>
      </c>
      <c r="O369" s="934">
        <f t="shared" ref="O369:O432" si="15">IF(J369=0,0,1)</f>
        <v>0</v>
      </c>
      <c r="Q369" s="984" t="s">
        <v>996</v>
      </c>
      <c r="R369" s="985"/>
      <c r="S369" s="985"/>
      <c r="T369" s="986">
        <v>100</v>
      </c>
      <c r="U369" s="985" t="s">
        <v>150</v>
      </c>
      <c r="V369" s="957"/>
      <c r="W369" s="957"/>
      <c r="X369" s="934"/>
      <c r="Y369" s="934"/>
      <c r="Z369" s="934"/>
      <c r="AA369" s="934"/>
      <c r="AB369" s="987"/>
      <c r="AC369" s="934"/>
      <c r="AD369" s="934"/>
      <c r="AE369" s="934"/>
      <c r="AF369" s="934"/>
      <c r="AG369" s="934"/>
      <c r="AH369" s="934"/>
      <c r="AI369" s="934"/>
      <c r="AJ369" s="934"/>
    </row>
    <row r="370" spans="2:36" ht="15" hidden="1" customHeight="1">
      <c r="B370" s="1437"/>
      <c r="C370" s="909">
        <v>422459</v>
      </c>
      <c r="D370" s="732" t="s">
        <v>1372</v>
      </c>
      <c r="E370" s="733"/>
      <c r="F370" s="733"/>
      <c r="G370" s="733"/>
      <c r="H370" s="733"/>
      <c r="I370" s="734" t="s">
        <v>178</v>
      </c>
      <c r="J370" s="838">
        <v>0</v>
      </c>
      <c r="K370" s="977">
        <f>IFERROR(_xlfn.CEILING.MATH(J370,INDEX('СВОДНАЯ СПЕЦИФИКАЦИЯ'!$C$10:$C$408,MATCH(D370,'СВОДНАЯ СПЕЦИФИКАЦИЯ'!$D$10:$D$408,0))),"Введите кол-во")</f>
        <v>0</v>
      </c>
      <c r="L370" s="978">
        <f>INDEX('СВОДНАЯ СПЕЦИФИКАЦИЯ'!$H$10:$H$408,MATCH(D370,Таблица2[Наименование материала],0))</f>
        <v>0</v>
      </c>
      <c r="M370" s="979">
        <f t="shared" si="14"/>
        <v>0</v>
      </c>
      <c r="O370" s="934">
        <f t="shared" si="15"/>
        <v>0</v>
      </c>
      <c r="Q370" s="984" t="s">
        <v>996</v>
      </c>
      <c r="R370" s="985"/>
      <c r="S370" s="985"/>
      <c r="T370" s="986">
        <v>110</v>
      </c>
      <c r="U370" s="985" t="s">
        <v>150</v>
      </c>
      <c r="V370" s="957"/>
      <c r="W370" s="957"/>
      <c r="X370" s="934"/>
      <c r="Y370" s="934"/>
      <c r="Z370" s="934"/>
      <c r="AA370" s="934"/>
      <c r="AB370" s="987"/>
      <c r="AC370" s="934"/>
      <c r="AD370" s="934"/>
      <c r="AE370" s="934"/>
      <c r="AF370" s="934"/>
      <c r="AG370" s="934"/>
      <c r="AH370" s="934"/>
      <c r="AI370" s="934"/>
      <c r="AJ370" s="934"/>
    </row>
    <row r="371" spans="2:36" ht="15" hidden="1" customHeight="1">
      <c r="B371" s="1437"/>
      <c r="C371" s="909">
        <v>393434</v>
      </c>
      <c r="D371" s="732" t="s">
        <v>1373</v>
      </c>
      <c r="E371" s="733"/>
      <c r="F371" s="733"/>
      <c r="G371" s="733"/>
      <c r="H371" s="733"/>
      <c r="I371" s="734" t="s">
        <v>178</v>
      </c>
      <c r="J371" s="838">
        <v>0</v>
      </c>
      <c r="K371" s="977">
        <f>IFERROR(_xlfn.CEILING.MATH(J371,INDEX('СВОДНАЯ СПЕЦИФИКАЦИЯ'!$C$10:$C$408,MATCH(D371,'СВОДНАЯ СПЕЦИФИКАЦИЯ'!$D$10:$D$408,0))),"Введите кол-во")</f>
        <v>0</v>
      </c>
      <c r="L371" s="978">
        <f>INDEX('СВОДНАЯ СПЕЦИФИКАЦИЯ'!$H$10:$H$408,MATCH(D371,Таблица2[Наименование материала],0))</f>
        <v>0</v>
      </c>
      <c r="M371" s="979">
        <f t="shared" si="14"/>
        <v>0</v>
      </c>
      <c r="O371" s="934">
        <f t="shared" si="15"/>
        <v>0</v>
      </c>
      <c r="Q371" s="984" t="s">
        <v>996</v>
      </c>
      <c r="R371" s="985"/>
      <c r="S371" s="985"/>
      <c r="T371" s="986">
        <v>120</v>
      </c>
      <c r="U371" s="985" t="s">
        <v>150</v>
      </c>
      <c r="V371" s="957"/>
      <c r="W371" s="957"/>
      <c r="X371" s="934"/>
      <c r="Y371" s="934"/>
      <c r="Z371" s="934"/>
      <c r="AA371" s="934"/>
      <c r="AB371" s="987"/>
      <c r="AC371" s="934"/>
      <c r="AD371" s="934"/>
      <c r="AE371" s="934"/>
      <c r="AF371" s="934"/>
      <c r="AG371" s="934"/>
      <c r="AH371" s="934"/>
      <c r="AI371" s="934"/>
      <c r="AJ371" s="934"/>
    </row>
    <row r="372" spans="2:36" ht="15" hidden="1" customHeight="1">
      <c r="B372" s="1437"/>
      <c r="C372" s="909">
        <v>365277</v>
      </c>
      <c r="D372" s="732" t="s">
        <v>1374</v>
      </c>
      <c r="E372" s="733"/>
      <c r="F372" s="733"/>
      <c r="G372" s="733"/>
      <c r="H372" s="733"/>
      <c r="I372" s="734" t="s">
        <v>178</v>
      </c>
      <c r="J372" s="838">
        <v>0</v>
      </c>
      <c r="K372" s="977">
        <f>IFERROR(_xlfn.CEILING.MATH(J372,INDEX('СВОДНАЯ СПЕЦИФИКАЦИЯ'!$C$10:$C$408,MATCH(D372,'СВОДНАЯ СПЕЦИФИКАЦИЯ'!$D$10:$D$408,0))),"Введите кол-во")</f>
        <v>0</v>
      </c>
      <c r="L372" s="978">
        <f>INDEX('СВОДНАЯ СПЕЦИФИКАЦИЯ'!$H$10:$H$408,MATCH(D372,Таблица2[Наименование материала],0))</f>
        <v>0</v>
      </c>
      <c r="M372" s="979">
        <f t="shared" si="14"/>
        <v>0</v>
      </c>
      <c r="O372" s="934">
        <f t="shared" si="15"/>
        <v>0</v>
      </c>
      <c r="Q372" s="984" t="s">
        <v>996</v>
      </c>
      <c r="R372" s="985"/>
      <c r="S372" s="985"/>
      <c r="T372" s="986">
        <v>130</v>
      </c>
      <c r="U372" s="985" t="s">
        <v>150</v>
      </c>
      <c r="V372" s="957"/>
      <c r="W372" s="957"/>
      <c r="X372" s="934"/>
      <c r="Y372" s="934"/>
      <c r="Z372" s="934"/>
      <c r="AA372" s="934"/>
      <c r="AB372" s="987"/>
      <c r="AC372" s="934"/>
      <c r="AD372" s="934"/>
      <c r="AE372" s="934"/>
      <c r="AF372" s="934"/>
      <c r="AG372" s="934"/>
      <c r="AH372" s="934"/>
      <c r="AI372" s="934"/>
      <c r="AJ372" s="934"/>
    </row>
    <row r="373" spans="2:36" ht="15" hidden="1" customHeight="1">
      <c r="B373" s="1437"/>
      <c r="C373" s="909">
        <v>368226</v>
      </c>
      <c r="D373" s="732" t="s">
        <v>1375</v>
      </c>
      <c r="E373" s="733"/>
      <c r="F373" s="733"/>
      <c r="G373" s="733"/>
      <c r="H373" s="733"/>
      <c r="I373" s="734" t="s">
        <v>178</v>
      </c>
      <c r="J373" s="838">
        <v>0</v>
      </c>
      <c r="K373" s="977">
        <f>IFERROR(_xlfn.CEILING.MATH(J373,INDEX('СВОДНАЯ СПЕЦИФИКАЦИЯ'!$C$10:$C$408,MATCH(D373,'СВОДНАЯ СПЕЦИФИКАЦИЯ'!$D$10:$D$408,0))),"Введите кол-во")</f>
        <v>0</v>
      </c>
      <c r="L373" s="978">
        <f>INDEX('СВОДНАЯ СПЕЦИФИКАЦИЯ'!$H$10:$H$408,MATCH(D373,Таблица2[Наименование материала],0))</f>
        <v>0</v>
      </c>
      <c r="M373" s="979">
        <f t="shared" si="14"/>
        <v>0</v>
      </c>
      <c r="O373" s="934">
        <f t="shared" si="15"/>
        <v>0</v>
      </c>
      <c r="Q373" s="984" t="s">
        <v>996</v>
      </c>
      <c r="R373" s="985"/>
      <c r="S373" s="985"/>
      <c r="T373" s="986">
        <v>140</v>
      </c>
      <c r="U373" s="985" t="s">
        <v>150</v>
      </c>
      <c r="V373" s="957"/>
      <c r="W373" s="957"/>
      <c r="X373" s="934"/>
      <c r="Y373" s="934"/>
      <c r="Z373" s="934"/>
      <c r="AA373" s="934"/>
      <c r="AB373" s="987"/>
      <c r="AC373" s="934"/>
      <c r="AD373" s="934"/>
      <c r="AE373" s="934"/>
      <c r="AF373" s="934"/>
      <c r="AG373" s="934"/>
      <c r="AH373" s="934"/>
      <c r="AI373" s="934"/>
      <c r="AJ373" s="934"/>
    </row>
    <row r="374" spans="2:36" ht="15" hidden="1" customHeight="1">
      <c r="B374" s="1437"/>
      <c r="C374" s="909">
        <v>23463</v>
      </c>
      <c r="D374" s="732" t="s">
        <v>1376</v>
      </c>
      <c r="E374" s="733"/>
      <c r="F374" s="733"/>
      <c r="G374" s="733"/>
      <c r="H374" s="733"/>
      <c r="I374" s="734" t="s">
        <v>178</v>
      </c>
      <c r="J374" s="838">
        <v>0</v>
      </c>
      <c r="K374" s="977">
        <f>IFERROR(_xlfn.CEILING.MATH(J374,INDEX('СВОДНАЯ СПЕЦИФИКАЦИЯ'!$C$10:$C$408,MATCH(D374,'СВОДНАЯ СПЕЦИФИКАЦИЯ'!$D$10:$D$408,0))),"Введите кол-во")</f>
        <v>0</v>
      </c>
      <c r="L374" s="978">
        <f>INDEX('СВОДНАЯ СПЕЦИФИКАЦИЯ'!$H$10:$H$408,MATCH(D374,Таблица2[Наименование материала],0))</f>
        <v>0</v>
      </c>
      <c r="M374" s="979">
        <f t="shared" si="14"/>
        <v>0</v>
      </c>
      <c r="O374" s="934">
        <f t="shared" si="15"/>
        <v>0</v>
      </c>
      <c r="Q374" s="984" t="s">
        <v>996</v>
      </c>
      <c r="R374" s="985"/>
      <c r="S374" s="985"/>
      <c r="T374" s="986">
        <v>150</v>
      </c>
      <c r="U374" s="985" t="s">
        <v>150</v>
      </c>
      <c r="V374" s="957"/>
      <c r="W374" s="957"/>
      <c r="X374" s="934"/>
      <c r="Y374" s="934"/>
      <c r="Z374" s="934"/>
      <c r="AA374" s="934"/>
      <c r="AB374" s="987"/>
      <c r="AC374" s="934"/>
      <c r="AD374" s="934"/>
      <c r="AE374" s="934"/>
      <c r="AF374" s="934"/>
      <c r="AG374" s="934"/>
      <c r="AH374" s="934"/>
      <c r="AI374" s="934"/>
      <c r="AJ374" s="934"/>
    </row>
    <row r="375" spans="2:36" ht="15" hidden="1" customHeight="1">
      <c r="B375" s="1437"/>
      <c r="C375" s="909">
        <v>210024</v>
      </c>
      <c r="D375" s="732" t="s">
        <v>1377</v>
      </c>
      <c r="E375" s="733"/>
      <c r="F375" s="733"/>
      <c r="G375" s="733"/>
      <c r="H375" s="733"/>
      <c r="I375" s="734" t="s">
        <v>178</v>
      </c>
      <c r="J375" s="838">
        <v>0</v>
      </c>
      <c r="K375" s="977">
        <f>IFERROR(_xlfn.CEILING.MATH(J375,INDEX('СВОДНАЯ СПЕЦИФИКАЦИЯ'!$C$10:$C$408,MATCH(D375,'СВОДНАЯ СПЕЦИФИКАЦИЯ'!$D$10:$D$408,0))),"Введите кол-во")</f>
        <v>0</v>
      </c>
      <c r="L375" s="978">
        <f>INDEX('СВОДНАЯ СПЕЦИФИКАЦИЯ'!$H$10:$H$408,MATCH(D375,Таблица2[Наименование материала],0))</f>
        <v>0</v>
      </c>
      <c r="M375" s="979">
        <f t="shared" si="14"/>
        <v>0</v>
      </c>
      <c r="O375" s="934">
        <f t="shared" si="15"/>
        <v>0</v>
      </c>
      <c r="Q375" s="984" t="s">
        <v>996</v>
      </c>
      <c r="R375" s="985"/>
      <c r="S375" s="985"/>
      <c r="T375" s="986">
        <v>160</v>
      </c>
      <c r="U375" s="985" t="s">
        <v>150</v>
      </c>
      <c r="V375" s="957">
        <v>6.9120000000000008</v>
      </c>
      <c r="W375" s="957"/>
      <c r="X375" s="934"/>
      <c r="Y375" s="934"/>
      <c r="Z375" s="934"/>
      <c r="AA375" s="934"/>
      <c r="AB375" s="987"/>
      <c r="AC375" s="934"/>
      <c r="AD375" s="934"/>
      <c r="AE375" s="934"/>
      <c r="AF375" s="934"/>
      <c r="AG375" s="934"/>
      <c r="AH375" s="934"/>
      <c r="AI375" s="934"/>
      <c r="AJ375" s="934"/>
    </row>
    <row r="376" spans="2:36" ht="15" hidden="1" customHeight="1">
      <c r="B376" s="1437"/>
      <c r="C376" s="909">
        <v>210025</v>
      </c>
      <c r="D376" s="732" t="s">
        <v>1378</v>
      </c>
      <c r="E376" s="733"/>
      <c r="F376" s="733"/>
      <c r="G376" s="733"/>
      <c r="H376" s="733"/>
      <c r="I376" s="734" t="s">
        <v>178</v>
      </c>
      <c r="J376" s="838">
        <v>0</v>
      </c>
      <c r="K376" s="977">
        <f>IFERROR(_xlfn.CEILING.MATH(J376,INDEX('СВОДНАЯ СПЕЦИФИКАЦИЯ'!$C$10:$C$408,MATCH(D376,'СВОДНАЯ СПЕЦИФИКАЦИЯ'!$D$10:$D$408,0))),"Введите кол-во")</f>
        <v>0</v>
      </c>
      <c r="L376" s="978">
        <f>INDEX('СВОДНАЯ СПЕЦИФИКАЦИЯ'!$H$10:$H$408,MATCH(D376,Таблица2[Наименование материала],0))</f>
        <v>0</v>
      </c>
      <c r="M376" s="979">
        <f t="shared" si="14"/>
        <v>0</v>
      </c>
      <c r="O376" s="934">
        <f t="shared" si="15"/>
        <v>0</v>
      </c>
      <c r="Q376" s="984" t="s">
        <v>996</v>
      </c>
      <c r="R376" s="985"/>
      <c r="S376" s="985"/>
      <c r="T376" s="986">
        <v>170</v>
      </c>
      <c r="U376" s="985" t="s">
        <v>150</v>
      </c>
      <c r="V376" s="957">
        <v>5.8752000000000004</v>
      </c>
      <c r="W376" s="957"/>
      <c r="X376" s="934"/>
      <c r="Y376" s="934"/>
      <c r="Z376" s="934"/>
      <c r="AA376" s="934"/>
      <c r="AB376" s="987"/>
      <c r="AC376" s="934"/>
      <c r="AD376" s="934"/>
      <c r="AE376" s="934"/>
      <c r="AF376" s="934"/>
      <c r="AG376" s="934"/>
      <c r="AH376" s="934"/>
      <c r="AI376" s="934"/>
      <c r="AJ376" s="934"/>
    </row>
    <row r="377" spans="2:36" ht="15" hidden="1" customHeight="1">
      <c r="B377" s="1437"/>
      <c r="C377" s="909">
        <v>210026</v>
      </c>
      <c r="D377" s="732" t="s">
        <v>1379</v>
      </c>
      <c r="E377" s="733"/>
      <c r="F377" s="733"/>
      <c r="G377" s="733"/>
      <c r="H377" s="733"/>
      <c r="I377" s="734" t="s">
        <v>178</v>
      </c>
      <c r="J377" s="838">
        <v>0</v>
      </c>
      <c r="K377" s="977">
        <f>IFERROR(_xlfn.CEILING.MATH(J377,INDEX('СВОДНАЯ СПЕЦИФИКАЦИЯ'!$C$10:$C$408,MATCH(D377,'СВОДНАЯ СПЕЦИФИКАЦИЯ'!$D$10:$D$408,0))),"Введите кол-во")</f>
        <v>0</v>
      </c>
      <c r="L377" s="978">
        <f>INDEX('СВОДНАЯ СПЕЦИФИКАЦИЯ'!$H$10:$H$408,MATCH(D377,Таблица2[Наименование материала],0))</f>
        <v>0</v>
      </c>
      <c r="M377" s="979">
        <f t="shared" si="14"/>
        <v>0</v>
      </c>
      <c r="O377" s="934">
        <f t="shared" si="15"/>
        <v>0</v>
      </c>
      <c r="Q377" s="984" t="s">
        <v>996</v>
      </c>
      <c r="R377" s="985"/>
      <c r="S377" s="985"/>
      <c r="T377" s="986">
        <v>180</v>
      </c>
      <c r="U377" s="985" t="s">
        <v>150</v>
      </c>
      <c r="V377" s="957">
        <v>6.2208000000000006</v>
      </c>
      <c r="W377" s="957"/>
      <c r="X377" s="934"/>
      <c r="Y377" s="934"/>
      <c r="Z377" s="934"/>
      <c r="AA377" s="934"/>
      <c r="AB377" s="987"/>
      <c r="AC377" s="934"/>
      <c r="AD377" s="934"/>
      <c r="AE377" s="934"/>
      <c r="AF377" s="934"/>
      <c r="AG377" s="934"/>
      <c r="AH377" s="934"/>
      <c r="AI377" s="934"/>
      <c r="AJ377" s="934"/>
    </row>
    <row r="378" spans="2:36" ht="15" hidden="1" customHeight="1">
      <c r="B378" s="1437"/>
      <c r="C378" s="909">
        <v>210027</v>
      </c>
      <c r="D378" s="732" t="s">
        <v>1380</v>
      </c>
      <c r="E378" s="733"/>
      <c r="F378" s="733"/>
      <c r="G378" s="733"/>
      <c r="H378" s="733"/>
      <c r="I378" s="734" t="s">
        <v>178</v>
      </c>
      <c r="J378" s="838">
        <v>0</v>
      </c>
      <c r="K378" s="977">
        <f>IFERROR(_xlfn.CEILING.MATH(J378,INDEX('СВОДНАЯ СПЕЦИФИКАЦИЯ'!$C$10:$C$408,MATCH(D378,'СВОДНАЯ СПЕЦИФИКАЦИЯ'!$D$10:$D$408,0))),"Введите кол-во")</f>
        <v>0</v>
      </c>
      <c r="L378" s="978">
        <f>INDEX('СВОДНАЯ СПЕЦИФИКАЦИЯ'!$H$10:$H$408,MATCH(D378,Таблица2[Наименование материала],0))</f>
        <v>0</v>
      </c>
      <c r="M378" s="979">
        <f t="shared" si="14"/>
        <v>0</v>
      </c>
      <c r="O378" s="934">
        <f t="shared" si="15"/>
        <v>0</v>
      </c>
      <c r="Q378" s="984" t="s">
        <v>996</v>
      </c>
      <c r="R378" s="985"/>
      <c r="S378" s="985"/>
      <c r="T378" s="986">
        <v>190</v>
      </c>
      <c r="U378" s="985" t="s">
        <v>150</v>
      </c>
      <c r="V378" s="957">
        <v>6.5664000000000007</v>
      </c>
      <c r="W378" s="957"/>
      <c r="X378" s="934"/>
      <c r="Y378" s="934"/>
      <c r="Z378" s="934"/>
      <c r="AA378" s="934"/>
      <c r="AB378" s="987"/>
      <c r="AC378" s="934"/>
      <c r="AD378" s="934"/>
      <c r="AE378" s="934"/>
      <c r="AF378" s="934"/>
      <c r="AG378" s="934"/>
      <c r="AH378" s="934"/>
      <c r="AI378" s="934"/>
      <c r="AJ378" s="934"/>
    </row>
    <row r="379" spans="2:36" ht="15" hidden="1" customHeight="1">
      <c r="B379" s="1437"/>
      <c r="C379" s="909">
        <v>304941</v>
      </c>
      <c r="D379" s="732" t="s">
        <v>1381</v>
      </c>
      <c r="E379" s="733"/>
      <c r="F379" s="733"/>
      <c r="G379" s="733"/>
      <c r="H379" s="733"/>
      <c r="I379" s="734" t="s">
        <v>178</v>
      </c>
      <c r="J379" s="838">
        <v>0</v>
      </c>
      <c r="K379" s="977">
        <f>IFERROR(_xlfn.CEILING.MATH(J379,INDEX('СВОДНАЯ СПЕЦИФИКАЦИЯ'!$C$10:$C$408,MATCH(D379,'СВОДНАЯ СПЕЦИФИКАЦИЯ'!$D$10:$D$408,0))),"Введите кол-во")</f>
        <v>0</v>
      </c>
      <c r="L379" s="978">
        <f>INDEX('СВОДНАЯ СПЕЦИФИКАЦИЯ'!$H$10:$H$408,MATCH(D379,Таблица2[Наименование материала],0))</f>
        <v>0</v>
      </c>
      <c r="M379" s="979">
        <f t="shared" si="14"/>
        <v>0</v>
      </c>
      <c r="O379" s="934">
        <f t="shared" si="15"/>
        <v>0</v>
      </c>
      <c r="Q379" s="984" t="s">
        <v>996</v>
      </c>
      <c r="R379" s="985"/>
      <c r="S379" s="985"/>
      <c r="T379" s="986">
        <v>200</v>
      </c>
      <c r="U379" s="985" t="s">
        <v>150</v>
      </c>
      <c r="V379" s="957">
        <v>6.9119999999999999</v>
      </c>
      <c r="W379" s="957"/>
      <c r="X379" s="934"/>
      <c r="Y379" s="934"/>
      <c r="Z379" s="934"/>
      <c r="AA379" s="934"/>
      <c r="AB379" s="987"/>
      <c r="AC379" s="934"/>
      <c r="AD379" s="934"/>
      <c r="AE379" s="934"/>
      <c r="AF379" s="934"/>
      <c r="AG379" s="934"/>
      <c r="AH379" s="934"/>
      <c r="AI379" s="934"/>
      <c r="AJ379" s="934"/>
    </row>
    <row r="380" spans="2:36" ht="15" hidden="1" customHeight="1">
      <c r="B380" s="1437"/>
      <c r="C380" s="909">
        <v>12658</v>
      </c>
      <c r="D380" s="732" t="s">
        <v>1382</v>
      </c>
      <c r="E380" s="733"/>
      <c r="F380" s="733"/>
      <c r="G380" s="733"/>
      <c r="H380" s="733"/>
      <c r="I380" s="734" t="s">
        <v>178</v>
      </c>
      <c r="J380" s="838">
        <v>0</v>
      </c>
      <c r="K380" s="977">
        <f>IFERROR(_xlfn.CEILING.MATH(J380,INDEX('СВОДНАЯ СПЕЦИФИКАЦИЯ'!$C$10:$C$408,MATCH(D380,'СВОДНАЯ СПЕЦИФИКАЦИЯ'!$D$10:$D$408,0))),"Введите кол-во")</f>
        <v>0</v>
      </c>
      <c r="L380" s="978">
        <f>INDEX('СВОДНАЯ СПЕЦИФИКАЦИЯ'!$H$10:$H$408,MATCH(D380,Таблица2[Наименование материала],0))</f>
        <v>0</v>
      </c>
      <c r="M380" s="979">
        <f t="shared" si="14"/>
        <v>0</v>
      </c>
      <c r="O380" s="934">
        <f t="shared" si="15"/>
        <v>0</v>
      </c>
      <c r="Q380" s="984" t="s">
        <v>997</v>
      </c>
      <c r="R380" s="985"/>
      <c r="S380" s="985"/>
      <c r="T380" s="986">
        <v>50</v>
      </c>
      <c r="U380" s="985" t="s">
        <v>150</v>
      </c>
      <c r="V380" s="957">
        <v>6.9119999999999999</v>
      </c>
      <c r="W380" s="957"/>
      <c r="X380" s="934"/>
      <c r="Y380" s="934"/>
      <c r="Z380" s="934"/>
      <c r="AA380" s="934"/>
      <c r="AB380" s="987"/>
      <c r="AC380" s="934"/>
      <c r="AD380" s="934"/>
      <c r="AE380" s="934"/>
      <c r="AF380" s="934"/>
      <c r="AG380" s="934"/>
      <c r="AH380" s="934"/>
      <c r="AI380" s="934"/>
      <c r="AJ380" s="934"/>
    </row>
    <row r="381" spans="2:36" ht="15" hidden="1" customHeight="1">
      <c r="B381" s="1437"/>
      <c r="C381" s="909">
        <v>12659</v>
      </c>
      <c r="D381" s="732" t="s">
        <v>1383</v>
      </c>
      <c r="E381" s="733"/>
      <c r="F381" s="733"/>
      <c r="G381" s="733"/>
      <c r="H381" s="733"/>
      <c r="I381" s="734" t="s">
        <v>178</v>
      </c>
      <c r="J381" s="838">
        <v>0</v>
      </c>
      <c r="K381" s="977">
        <f>IFERROR(_xlfn.CEILING.MATH(J381,INDEX('СВОДНАЯ СПЕЦИФИКАЦИЯ'!$C$10:$C$408,MATCH(D381,'СВОДНАЯ СПЕЦИФИКАЦИЯ'!$D$10:$D$408,0))),"Введите кол-во")</f>
        <v>0</v>
      </c>
      <c r="L381" s="978">
        <f>INDEX('СВОДНАЯ СПЕЦИФИКАЦИЯ'!$H$10:$H$408,MATCH(D381,Таблица2[Наименование материала],0))</f>
        <v>0</v>
      </c>
      <c r="M381" s="979">
        <f t="shared" si="14"/>
        <v>0</v>
      </c>
      <c r="O381" s="934">
        <f t="shared" si="15"/>
        <v>0</v>
      </c>
      <c r="Q381" s="984" t="s">
        <v>997</v>
      </c>
      <c r="R381" s="985"/>
      <c r="S381" s="985"/>
      <c r="T381" s="986">
        <v>60</v>
      </c>
      <c r="U381" s="985" t="s">
        <v>150</v>
      </c>
      <c r="V381" s="957">
        <v>6.9119999999999999</v>
      </c>
      <c r="W381" s="957"/>
      <c r="X381" s="934"/>
      <c r="Y381" s="934"/>
      <c r="Z381" s="934"/>
      <c r="AA381" s="934"/>
      <c r="AB381" s="987"/>
      <c r="AC381" s="934"/>
      <c r="AD381" s="934"/>
      <c r="AE381" s="934"/>
      <c r="AF381" s="934"/>
      <c r="AG381" s="934"/>
      <c r="AH381" s="934"/>
      <c r="AI381" s="934"/>
      <c r="AJ381" s="934"/>
    </row>
    <row r="382" spans="2:36" ht="15" hidden="1" customHeight="1">
      <c r="B382" s="1437"/>
      <c r="C382" s="909">
        <v>12660</v>
      </c>
      <c r="D382" s="732" t="s">
        <v>1384</v>
      </c>
      <c r="E382" s="733"/>
      <c r="F382" s="733"/>
      <c r="G382" s="733"/>
      <c r="H382" s="733"/>
      <c r="I382" s="734" t="s">
        <v>178</v>
      </c>
      <c r="J382" s="838">
        <v>0</v>
      </c>
      <c r="K382" s="977">
        <f>IFERROR(_xlfn.CEILING.MATH(J382,INDEX('СВОДНАЯ СПЕЦИФИКАЦИЯ'!$C$10:$C$408,MATCH(D382,'СВОДНАЯ СПЕЦИФИКАЦИЯ'!$D$10:$D$408,0))),"Введите кол-во")</f>
        <v>0</v>
      </c>
      <c r="L382" s="978">
        <f>INDEX('СВОДНАЯ СПЕЦИФИКАЦИЯ'!$H$10:$H$408,MATCH(D382,Таблица2[Наименование материала],0))</f>
        <v>0</v>
      </c>
      <c r="M382" s="979">
        <f t="shared" si="14"/>
        <v>0</v>
      </c>
      <c r="O382" s="934">
        <f t="shared" si="15"/>
        <v>0</v>
      </c>
      <c r="Q382" s="984" t="s">
        <v>997</v>
      </c>
      <c r="R382" s="985"/>
      <c r="S382" s="985"/>
      <c r="T382" s="986">
        <v>70</v>
      </c>
      <c r="U382" s="985" t="s">
        <v>150</v>
      </c>
      <c r="V382" s="957">
        <v>6.4512</v>
      </c>
      <c r="W382" s="957"/>
      <c r="X382" s="934"/>
      <c r="Y382" s="934"/>
      <c r="Z382" s="934"/>
      <c r="AA382" s="934"/>
      <c r="AB382" s="987"/>
      <c r="AC382" s="934"/>
      <c r="AD382" s="934"/>
      <c r="AE382" s="934"/>
      <c r="AF382" s="934"/>
      <c r="AG382" s="934"/>
      <c r="AH382" s="934"/>
      <c r="AI382" s="934"/>
      <c r="AJ382" s="934"/>
    </row>
    <row r="383" spans="2:36" ht="15" hidden="1" customHeight="1">
      <c r="B383" s="1437"/>
      <c r="C383" s="909">
        <v>16688</v>
      </c>
      <c r="D383" s="732" t="s">
        <v>1385</v>
      </c>
      <c r="E383" s="733"/>
      <c r="F383" s="733"/>
      <c r="G383" s="733"/>
      <c r="H383" s="733"/>
      <c r="I383" s="734" t="s">
        <v>178</v>
      </c>
      <c r="J383" s="838">
        <v>0</v>
      </c>
      <c r="K383" s="977">
        <f>IFERROR(_xlfn.CEILING.MATH(J383,INDEX('СВОДНАЯ СПЕЦИФИКАЦИЯ'!$C$10:$C$408,MATCH(D383,'СВОДНАЯ СПЕЦИФИКАЦИЯ'!$D$10:$D$408,0))),"Введите кол-во")</f>
        <v>0</v>
      </c>
      <c r="L383" s="978">
        <f>INDEX('СВОДНАЯ СПЕЦИФИКАЦИЯ'!$H$10:$H$408,MATCH(D383,Таблица2[Наименование материала],0))</f>
        <v>0</v>
      </c>
      <c r="M383" s="979">
        <f t="shared" si="14"/>
        <v>0</v>
      </c>
      <c r="O383" s="934">
        <f t="shared" si="15"/>
        <v>0</v>
      </c>
      <c r="Q383" s="984" t="s">
        <v>997</v>
      </c>
      <c r="R383" s="985"/>
      <c r="S383" s="985"/>
      <c r="T383" s="986">
        <v>80</v>
      </c>
      <c r="U383" s="985" t="s">
        <v>150</v>
      </c>
      <c r="V383" s="957">
        <v>6.911999999999999</v>
      </c>
      <c r="W383" s="957"/>
      <c r="X383" s="934"/>
      <c r="Y383" s="934"/>
      <c r="Z383" s="934"/>
      <c r="AA383" s="934"/>
      <c r="AB383" s="987"/>
      <c r="AC383" s="934"/>
      <c r="AD383" s="934"/>
      <c r="AE383" s="934"/>
      <c r="AF383" s="934"/>
      <c r="AG383" s="934"/>
      <c r="AH383" s="934"/>
      <c r="AI383" s="934"/>
      <c r="AJ383" s="934"/>
    </row>
    <row r="384" spans="2:36" ht="15" hidden="1" customHeight="1">
      <c r="B384" s="1437"/>
      <c r="C384" s="909">
        <v>368308</v>
      </c>
      <c r="D384" s="732" t="s">
        <v>1386</v>
      </c>
      <c r="E384" s="733"/>
      <c r="F384" s="733"/>
      <c r="G384" s="733"/>
      <c r="H384" s="733"/>
      <c r="I384" s="734" t="s">
        <v>178</v>
      </c>
      <c r="J384" s="838">
        <v>0</v>
      </c>
      <c r="K384" s="977">
        <f>IFERROR(_xlfn.CEILING.MATH(J384,INDEX('СВОДНАЯ СПЕЦИФИКАЦИЯ'!$C$10:$C$408,MATCH(D384,'СВОДНАЯ СПЕЦИФИКАЦИЯ'!$D$10:$D$408,0))),"Введите кол-во")</f>
        <v>0</v>
      </c>
      <c r="L384" s="978">
        <f>INDEX('СВОДНАЯ СПЕЦИФИКАЦИЯ'!$H$10:$H$408,MATCH(D384,Таблица2[Наименование материала],0))</f>
        <v>0</v>
      </c>
      <c r="M384" s="979">
        <f t="shared" si="14"/>
        <v>0</v>
      </c>
      <c r="O384" s="934">
        <f t="shared" si="15"/>
        <v>0</v>
      </c>
      <c r="Q384" s="984" t="s">
        <v>997</v>
      </c>
      <c r="R384" s="985"/>
      <c r="S384" s="985"/>
      <c r="T384" s="986">
        <v>90</v>
      </c>
      <c r="U384" s="985" t="s">
        <v>150</v>
      </c>
      <c r="V384" s="957">
        <v>6.48</v>
      </c>
      <c r="W384" s="957"/>
      <c r="X384" s="934"/>
      <c r="Y384" s="934"/>
      <c r="Z384" s="934"/>
      <c r="AA384" s="934"/>
      <c r="AB384" s="987"/>
      <c r="AC384" s="934"/>
      <c r="AD384" s="934"/>
      <c r="AE384" s="934"/>
      <c r="AF384" s="934"/>
      <c r="AG384" s="934"/>
      <c r="AH384" s="934"/>
      <c r="AI384" s="934"/>
      <c r="AJ384" s="934"/>
    </row>
    <row r="385" spans="2:36" ht="15" hidden="1" customHeight="1">
      <c r="B385" s="1437"/>
      <c r="C385" s="909">
        <v>12657</v>
      </c>
      <c r="D385" s="732" t="s">
        <v>1387</v>
      </c>
      <c r="E385" s="733"/>
      <c r="F385" s="733"/>
      <c r="G385" s="733"/>
      <c r="H385" s="733"/>
      <c r="I385" s="734" t="s">
        <v>178</v>
      </c>
      <c r="J385" s="838">
        <v>0</v>
      </c>
      <c r="K385" s="977">
        <f>IFERROR(_xlfn.CEILING.MATH(J385,INDEX('СВОДНАЯ СПЕЦИФИКАЦИЯ'!$C$10:$C$408,MATCH(D385,'СВОДНАЯ СПЕЦИФИКАЦИЯ'!$D$10:$D$408,0))),"Введите кол-во")</f>
        <v>0</v>
      </c>
      <c r="L385" s="978">
        <f>INDEX('СВОДНАЯ СПЕЦИФИКАЦИЯ'!$H$10:$H$408,MATCH(D385,Таблица2[Наименование материала],0))</f>
        <v>0</v>
      </c>
      <c r="M385" s="979">
        <f t="shared" si="14"/>
        <v>0</v>
      </c>
      <c r="O385" s="934">
        <f t="shared" si="15"/>
        <v>0</v>
      </c>
      <c r="Q385" s="984" t="s">
        <v>997</v>
      </c>
      <c r="R385" s="985"/>
      <c r="S385" s="985"/>
      <c r="T385" s="986">
        <v>100</v>
      </c>
      <c r="U385" s="985" t="s">
        <v>150</v>
      </c>
      <c r="V385" s="957">
        <v>6.911999999999999</v>
      </c>
      <c r="W385" s="957"/>
      <c r="X385" s="934"/>
      <c r="Y385" s="934"/>
      <c r="Z385" s="934"/>
      <c r="AA385" s="934"/>
      <c r="AB385" s="987"/>
      <c r="AC385" s="934"/>
      <c r="AD385" s="934"/>
      <c r="AE385" s="934"/>
      <c r="AF385" s="934"/>
      <c r="AG385" s="934"/>
      <c r="AH385" s="934"/>
      <c r="AI385" s="934"/>
      <c r="AJ385" s="934"/>
    </row>
    <row r="386" spans="2:36" ht="15" hidden="1" customHeight="1">
      <c r="B386" s="1437"/>
      <c r="C386" s="909">
        <v>39089</v>
      </c>
      <c r="D386" s="732" t="s">
        <v>1388</v>
      </c>
      <c r="E386" s="733"/>
      <c r="F386" s="733"/>
      <c r="G386" s="733"/>
      <c r="H386" s="733"/>
      <c r="I386" s="734" t="s">
        <v>178</v>
      </c>
      <c r="J386" s="838">
        <v>0</v>
      </c>
      <c r="K386" s="977">
        <f>IFERROR(_xlfn.CEILING.MATH(J386,INDEX('СВОДНАЯ СПЕЦИФИКАЦИЯ'!$C$10:$C$408,MATCH(D386,'СВОДНАЯ СПЕЦИФИКАЦИЯ'!$D$10:$D$408,0))),"Введите кол-во")</f>
        <v>0</v>
      </c>
      <c r="L386" s="978">
        <f>INDEX('СВОДНАЯ СПЕЦИФИКАЦИЯ'!$H$10:$H$408,MATCH(D386,Таблица2[Наименование материала],0))</f>
        <v>0</v>
      </c>
      <c r="M386" s="979">
        <f t="shared" si="14"/>
        <v>0</v>
      </c>
      <c r="O386" s="934">
        <f t="shared" si="15"/>
        <v>0</v>
      </c>
      <c r="Q386" s="984" t="s">
        <v>997</v>
      </c>
      <c r="R386" s="985"/>
      <c r="S386" s="985"/>
      <c r="T386" s="986">
        <v>110</v>
      </c>
      <c r="U386" s="985" t="s">
        <v>150</v>
      </c>
      <c r="V386" s="957">
        <v>6.6528000000000009</v>
      </c>
      <c r="W386" s="957"/>
      <c r="X386" s="934"/>
      <c r="Y386" s="934"/>
      <c r="Z386" s="934"/>
      <c r="AA386" s="934"/>
      <c r="AB386" s="987"/>
      <c r="AC386" s="934"/>
      <c r="AD386" s="934"/>
      <c r="AE386" s="934"/>
      <c r="AF386" s="934"/>
      <c r="AG386" s="934"/>
      <c r="AH386" s="934"/>
      <c r="AI386" s="934"/>
      <c r="AJ386" s="934"/>
    </row>
    <row r="387" spans="2:36" ht="15" hidden="1" customHeight="1">
      <c r="B387" s="1437"/>
      <c r="C387" s="909">
        <v>368312</v>
      </c>
      <c r="D387" s="732" t="s">
        <v>1389</v>
      </c>
      <c r="E387" s="733"/>
      <c r="F387" s="733"/>
      <c r="G387" s="733"/>
      <c r="H387" s="733"/>
      <c r="I387" s="734" t="s">
        <v>178</v>
      </c>
      <c r="J387" s="838">
        <v>0</v>
      </c>
      <c r="K387" s="977">
        <f>IFERROR(_xlfn.CEILING.MATH(J387,INDEX('СВОДНАЯ СПЕЦИФИКАЦИЯ'!$C$10:$C$408,MATCH(D387,'СВОДНАЯ СПЕЦИФИКАЦИЯ'!$D$10:$D$408,0))),"Введите кол-во")</f>
        <v>0</v>
      </c>
      <c r="L387" s="978">
        <f>INDEX('СВОДНАЯ СПЕЦИФИКАЦИЯ'!$H$10:$H$408,MATCH(D387,Таблица2[Наименование материала],0))</f>
        <v>0</v>
      </c>
      <c r="M387" s="979">
        <f t="shared" si="14"/>
        <v>0</v>
      </c>
      <c r="O387" s="934">
        <f t="shared" si="15"/>
        <v>0</v>
      </c>
      <c r="Q387" s="984" t="s">
        <v>997</v>
      </c>
      <c r="R387" s="985"/>
      <c r="S387" s="985"/>
      <c r="T387" s="986">
        <v>120</v>
      </c>
      <c r="U387" s="985" t="s">
        <v>150</v>
      </c>
      <c r="V387" s="957">
        <v>6.911999999999999</v>
      </c>
      <c r="W387" s="957"/>
      <c r="X387" s="934"/>
      <c r="Y387" s="934"/>
      <c r="Z387" s="934"/>
      <c r="AA387" s="934"/>
      <c r="AB387" s="987"/>
      <c r="AC387" s="934"/>
      <c r="AD387" s="934"/>
      <c r="AE387" s="934"/>
      <c r="AF387" s="934"/>
      <c r="AG387" s="934"/>
      <c r="AH387" s="934"/>
      <c r="AI387" s="934"/>
      <c r="AJ387" s="934"/>
    </row>
    <row r="388" spans="2:36" ht="15" hidden="1" customHeight="1">
      <c r="B388" s="1437"/>
      <c r="C388" s="909">
        <v>12662</v>
      </c>
      <c r="D388" s="732" t="s">
        <v>1390</v>
      </c>
      <c r="E388" s="733"/>
      <c r="F388" s="733"/>
      <c r="G388" s="733"/>
      <c r="H388" s="733"/>
      <c r="I388" s="734" t="s">
        <v>178</v>
      </c>
      <c r="J388" s="838">
        <v>0</v>
      </c>
      <c r="K388" s="977">
        <f>IFERROR(_xlfn.CEILING.MATH(J388,INDEX('СВОДНАЯ СПЕЦИФИКАЦИЯ'!$C$10:$C$408,MATCH(D388,'СВОДНАЯ СПЕЦИФИКАЦИЯ'!$D$10:$D$408,0))),"Введите кол-во")</f>
        <v>0</v>
      </c>
      <c r="L388" s="978">
        <f>INDEX('СВОДНАЯ СПЕЦИФИКАЦИЯ'!$H$10:$H$408,MATCH(D388,Таблица2[Наименование материала],0))</f>
        <v>0</v>
      </c>
      <c r="M388" s="979">
        <f t="shared" si="14"/>
        <v>0</v>
      </c>
      <c r="O388" s="934">
        <f t="shared" si="15"/>
        <v>0</v>
      </c>
      <c r="Q388" s="984" t="s">
        <v>997</v>
      </c>
      <c r="R388" s="985"/>
      <c r="S388" s="985"/>
      <c r="T388" s="986">
        <v>130</v>
      </c>
      <c r="U388" s="985" t="s">
        <v>150</v>
      </c>
      <c r="V388" s="957">
        <v>6.7391999999999994</v>
      </c>
      <c r="W388" s="957"/>
      <c r="X388" s="934"/>
      <c r="Y388" s="934"/>
      <c r="Z388" s="934"/>
      <c r="AA388" s="934"/>
      <c r="AB388" s="987"/>
      <c r="AC388" s="934"/>
      <c r="AD388" s="934"/>
      <c r="AE388" s="934"/>
      <c r="AF388" s="934"/>
      <c r="AG388" s="934"/>
      <c r="AH388" s="934"/>
      <c r="AI388" s="934"/>
      <c r="AJ388" s="934"/>
    </row>
    <row r="389" spans="2:36" ht="15" hidden="1" customHeight="1">
      <c r="B389" s="1437"/>
      <c r="C389" s="909">
        <v>23290</v>
      </c>
      <c r="D389" s="732" t="s">
        <v>1391</v>
      </c>
      <c r="E389" s="733"/>
      <c r="F389" s="733"/>
      <c r="G389" s="733"/>
      <c r="H389" s="733"/>
      <c r="I389" s="734" t="s">
        <v>178</v>
      </c>
      <c r="J389" s="838">
        <v>0</v>
      </c>
      <c r="K389" s="977">
        <f>IFERROR(_xlfn.CEILING.MATH(J389,INDEX('СВОДНАЯ СПЕЦИФИКАЦИЯ'!$C$10:$C$408,MATCH(D389,'СВОДНАЯ СПЕЦИФИКАЦИЯ'!$D$10:$D$408,0))),"Введите кол-во")</f>
        <v>0</v>
      </c>
      <c r="L389" s="978">
        <f>INDEX('СВОДНАЯ СПЕЦИФИКАЦИЯ'!$H$10:$H$408,MATCH(D389,Таблица2[Наименование материала],0))</f>
        <v>0</v>
      </c>
      <c r="M389" s="979">
        <f t="shared" si="14"/>
        <v>0</v>
      </c>
      <c r="O389" s="934">
        <f t="shared" si="15"/>
        <v>0</v>
      </c>
      <c r="Q389" s="984" t="s">
        <v>997</v>
      </c>
      <c r="R389" s="985"/>
      <c r="S389" s="985"/>
      <c r="T389" s="986">
        <v>140</v>
      </c>
      <c r="U389" s="985" t="s">
        <v>150</v>
      </c>
      <c r="V389" s="957">
        <v>6.4512</v>
      </c>
      <c r="W389" s="957"/>
      <c r="X389" s="934"/>
      <c r="Y389" s="934"/>
      <c r="Z389" s="934"/>
      <c r="AA389" s="934"/>
      <c r="AB389" s="987"/>
      <c r="AC389" s="934"/>
      <c r="AD389" s="934"/>
      <c r="AE389" s="934"/>
      <c r="AF389" s="934"/>
      <c r="AG389" s="934"/>
      <c r="AH389" s="934"/>
      <c r="AI389" s="934"/>
      <c r="AJ389" s="934"/>
    </row>
    <row r="390" spans="2:36" ht="15" hidden="1" customHeight="1">
      <c r="B390" s="1437"/>
      <c r="C390" s="909">
        <v>14364</v>
      </c>
      <c r="D390" s="732" t="s">
        <v>1392</v>
      </c>
      <c r="E390" s="733"/>
      <c r="F390" s="733"/>
      <c r="G390" s="733"/>
      <c r="H390" s="733"/>
      <c r="I390" s="734" t="s">
        <v>178</v>
      </c>
      <c r="J390" s="838">
        <v>0</v>
      </c>
      <c r="K390" s="977">
        <f>IFERROR(_xlfn.CEILING.MATH(J390,INDEX('СВОДНАЯ СПЕЦИФИКАЦИЯ'!$C$10:$C$408,MATCH(D390,'СВОДНАЯ СПЕЦИФИКАЦИЯ'!$D$10:$D$408,0))),"Введите кол-во")</f>
        <v>0</v>
      </c>
      <c r="L390" s="978">
        <f>INDEX('СВОДНАЯ СПЕЦИФИКАЦИЯ'!$H$10:$H$408,MATCH(D390,Таблица2[Наименование материала],0))</f>
        <v>0</v>
      </c>
      <c r="M390" s="979">
        <f t="shared" si="14"/>
        <v>0</v>
      </c>
      <c r="O390" s="934">
        <f t="shared" si="15"/>
        <v>0</v>
      </c>
      <c r="Q390" s="984" t="s">
        <v>997</v>
      </c>
      <c r="R390" s="985"/>
      <c r="S390" s="985"/>
      <c r="T390" s="986">
        <v>150</v>
      </c>
      <c r="U390" s="985" t="s">
        <v>150</v>
      </c>
      <c r="V390" s="957">
        <v>6.9119999999999999</v>
      </c>
      <c r="W390" s="957"/>
      <c r="X390" s="934"/>
      <c r="Y390" s="934"/>
      <c r="Z390" s="934"/>
      <c r="AA390" s="934"/>
      <c r="AB390" s="987"/>
      <c r="AC390" s="934"/>
      <c r="AD390" s="934"/>
      <c r="AE390" s="934"/>
      <c r="AF390" s="934"/>
      <c r="AG390" s="934"/>
      <c r="AH390" s="934"/>
      <c r="AI390" s="934"/>
      <c r="AJ390" s="934"/>
    </row>
    <row r="391" spans="2:36" ht="15" hidden="1" customHeight="1">
      <c r="B391" s="1437"/>
      <c r="C391" s="909">
        <v>210133</v>
      </c>
      <c r="D391" s="732" t="s">
        <v>1393</v>
      </c>
      <c r="E391" s="733"/>
      <c r="F391" s="733"/>
      <c r="G391" s="733"/>
      <c r="H391" s="733"/>
      <c r="I391" s="734" t="s">
        <v>178</v>
      </c>
      <c r="J391" s="838">
        <v>0</v>
      </c>
      <c r="K391" s="977">
        <f>IFERROR(_xlfn.CEILING.MATH(J391,INDEX('СВОДНАЯ СПЕЦИФИКАЦИЯ'!$C$10:$C$408,MATCH(D391,'СВОДНАЯ СПЕЦИФИКАЦИЯ'!$D$10:$D$408,0))),"Введите кол-во")</f>
        <v>0</v>
      </c>
      <c r="L391" s="978">
        <f>INDEX('СВОДНАЯ СПЕЦИФИКАЦИЯ'!$H$10:$H$408,MATCH(D391,Таблица2[Наименование материала],0))</f>
        <v>0</v>
      </c>
      <c r="M391" s="979">
        <f t="shared" si="14"/>
        <v>0</v>
      </c>
      <c r="O391" s="934">
        <f t="shared" si="15"/>
        <v>0</v>
      </c>
      <c r="Q391" s="984" t="s">
        <v>997</v>
      </c>
      <c r="R391" s="985"/>
      <c r="S391" s="985"/>
      <c r="T391" s="986">
        <v>160</v>
      </c>
      <c r="U391" s="985" t="s">
        <v>150</v>
      </c>
      <c r="V391" s="957">
        <v>6.4511999999999992</v>
      </c>
      <c r="W391" s="957"/>
      <c r="X391" s="934"/>
      <c r="Y391" s="934"/>
      <c r="Z391" s="934"/>
      <c r="AA391" s="934"/>
      <c r="AB391" s="987"/>
      <c r="AC391" s="934"/>
      <c r="AD391" s="934"/>
      <c r="AE391" s="934"/>
      <c r="AF391" s="934"/>
      <c r="AG391" s="934"/>
      <c r="AH391" s="934"/>
      <c r="AI391" s="934"/>
      <c r="AJ391" s="934"/>
    </row>
    <row r="392" spans="2:36" ht="15" hidden="1" customHeight="1">
      <c r="B392" s="1437"/>
      <c r="C392" s="909">
        <v>210134</v>
      </c>
      <c r="D392" s="732" t="s">
        <v>1394</v>
      </c>
      <c r="E392" s="733"/>
      <c r="F392" s="733"/>
      <c r="G392" s="733"/>
      <c r="H392" s="733"/>
      <c r="I392" s="734" t="s">
        <v>178</v>
      </c>
      <c r="J392" s="838">
        <v>0</v>
      </c>
      <c r="K392" s="977">
        <f>IFERROR(_xlfn.CEILING.MATH(J392,INDEX('СВОДНАЯ СПЕЦИФИКАЦИЯ'!$C$10:$C$408,MATCH(D392,'СВОДНАЯ СПЕЦИФИКАЦИЯ'!$D$10:$D$408,0))),"Введите кол-во")</f>
        <v>0</v>
      </c>
      <c r="L392" s="978">
        <f>INDEX('СВОДНАЯ СПЕЦИФИКАЦИЯ'!$H$10:$H$408,MATCH(D392,Таблица2[Наименование материала],0))</f>
        <v>0</v>
      </c>
      <c r="M392" s="979">
        <f t="shared" si="14"/>
        <v>0</v>
      </c>
      <c r="O392" s="934">
        <f t="shared" si="15"/>
        <v>0</v>
      </c>
      <c r="Q392" s="984" t="s">
        <v>997</v>
      </c>
      <c r="R392" s="985"/>
      <c r="S392" s="985"/>
      <c r="T392" s="986">
        <v>170</v>
      </c>
      <c r="U392" s="985" t="s">
        <v>150</v>
      </c>
      <c r="V392" s="957">
        <v>6.8544</v>
      </c>
      <c r="W392" s="957"/>
      <c r="X392" s="934"/>
      <c r="Y392" s="934"/>
      <c r="Z392" s="934"/>
      <c r="AA392" s="934"/>
      <c r="AB392" s="987"/>
      <c r="AC392" s="934"/>
      <c r="AD392" s="934"/>
      <c r="AE392" s="934"/>
      <c r="AF392" s="934"/>
      <c r="AG392" s="934"/>
      <c r="AH392" s="934"/>
      <c r="AI392" s="934"/>
      <c r="AJ392" s="934"/>
    </row>
    <row r="393" spans="2:36" ht="15" hidden="1" customHeight="1">
      <c r="B393" s="1437"/>
      <c r="C393" s="909">
        <v>210135</v>
      </c>
      <c r="D393" s="732" t="s">
        <v>1395</v>
      </c>
      <c r="E393" s="733"/>
      <c r="F393" s="733"/>
      <c r="G393" s="733"/>
      <c r="H393" s="733"/>
      <c r="I393" s="734" t="s">
        <v>178</v>
      </c>
      <c r="J393" s="838">
        <v>0</v>
      </c>
      <c r="K393" s="977">
        <f>IFERROR(_xlfn.CEILING.MATH(J393,INDEX('СВОДНАЯ СПЕЦИФИКАЦИЯ'!$C$10:$C$408,MATCH(D393,'СВОДНАЯ СПЕЦИФИКАЦИЯ'!$D$10:$D$408,0))),"Введите кол-во")</f>
        <v>0</v>
      </c>
      <c r="L393" s="978">
        <f>INDEX('СВОДНАЯ СПЕЦИФИКАЦИЯ'!$H$10:$H$408,MATCH(D393,Таблица2[Наименование материала],0))</f>
        <v>0</v>
      </c>
      <c r="M393" s="979">
        <f t="shared" si="14"/>
        <v>0</v>
      </c>
      <c r="O393" s="934">
        <f t="shared" si="15"/>
        <v>0</v>
      </c>
      <c r="Q393" s="984" t="s">
        <v>997</v>
      </c>
      <c r="R393" s="985"/>
      <c r="S393" s="985"/>
      <c r="T393" s="986">
        <v>180</v>
      </c>
      <c r="U393" s="985" t="s">
        <v>150</v>
      </c>
      <c r="V393" s="957">
        <v>6.2207999999999997</v>
      </c>
      <c r="W393" s="957"/>
      <c r="X393" s="934"/>
      <c r="Y393" s="934"/>
      <c r="Z393" s="934"/>
      <c r="AA393" s="934"/>
      <c r="AB393" s="987"/>
      <c r="AC393" s="934"/>
      <c r="AD393" s="934"/>
      <c r="AE393" s="934"/>
      <c r="AF393" s="934"/>
      <c r="AG393" s="934"/>
      <c r="AH393" s="934"/>
      <c r="AI393" s="934"/>
      <c r="AJ393" s="934"/>
    </row>
    <row r="394" spans="2:36" ht="15" hidden="1" customHeight="1">
      <c r="B394" s="1437"/>
      <c r="C394" s="909">
        <v>210136</v>
      </c>
      <c r="D394" s="732" t="s">
        <v>1396</v>
      </c>
      <c r="E394" s="733"/>
      <c r="F394" s="733"/>
      <c r="G394" s="733"/>
      <c r="H394" s="733"/>
      <c r="I394" s="734" t="s">
        <v>178</v>
      </c>
      <c r="J394" s="838">
        <v>0</v>
      </c>
      <c r="K394" s="977">
        <f>IFERROR(_xlfn.CEILING.MATH(J394,INDEX('СВОДНАЯ СПЕЦИФИКАЦИЯ'!$C$10:$C$408,MATCH(D394,'СВОДНАЯ СПЕЦИФИКАЦИЯ'!$D$10:$D$408,0))),"Введите кол-во")</f>
        <v>0</v>
      </c>
      <c r="L394" s="978">
        <f>INDEX('СВОДНАЯ СПЕЦИФИКАЦИЯ'!$H$10:$H$408,MATCH(D394,Таблица2[Наименование материала],0))</f>
        <v>0</v>
      </c>
      <c r="M394" s="979">
        <f t="shared" si="14"/>
        <v>0</v>
      </c>
      <c r="O394" s="934">
        <f t="shared" si="15"/>
        <v>0</v>
      </c>
      <c r="Q394" s="984" t="s">
        <v>997</v>
      </c>
      <c r="R394" s="985"/>
      <c r="S394" s="985"/>
      <c r="T394" s="986">
        <v>190</v>
      </c>
      <c r="U394" s="985" t="s">
        <v>150</v>
      </c>
      <c r="V394" s="957">
        <v>6.5663999999999989</v>
      </c>
      <c r="W394" s="957"/>
      <c r="X394" s="934"/>
      <c r="Y394" s="934"/>
      <c r="Z394" s="934"/>
      <c r="AA394" s="934"/>
      <c r="AB394" s="987"/>
      <c r="AC394" s="934"/>
      <c r="AD394" s="934"/>
      <c r="AE394" s="934"/>
      <c r="AF394" s="934"/>
      <c r="AG394" s="934"/>
      <c r="AH394" s="934"/>
      <c r="AI394" s="934"/>
      <c r="AJ394" s="934"/>
    </row>
    <row r="395" spans="2:36" ht="15" hidden="1" customHeight="1">
      <c r="B395" s="1437"/>
      <c r="C395" s="909">
        <v>90743</v>
      </c>
      <c r="D395" s="732" t="s">
        <v>1397</v>
      </c>
      <c r="E395" s="733"/>
      <c r="F395" s="733"/>
      <c r="G395" s="733"/>
      <c r="H395" s="733"/>
      <c r="I395" s="734" t="s">
        <v>178</v>
      </c>
      <c r="J395" s="838">
        <v>0</v>
      </c>
      <c r="K395" s="977">
        <f>IFERROR(_xlfn.CEILING.MATH(J395,INDEX('СВОДНАЯ СПЕЦИФИКАЦИЯ'!$C$10:$C$408,MATCH(D395,'СВОДНАЯ СПЕЦИФИКАЦИЯ'!$D$10:$D$408,0))),"Введите кол-во")</f>
        <v>0</v>
      </c>
      <c r="L395" s="978">
        <f>INDEX('СВОДНАЯ СПЕЦИФИКАЦИЯ'!$H$10:$H$408,MATCH(D395,Таблица2[Наименование материала],0))</f>
        <v>0</v>
      </c>
      <c r="M395" s="979">
        <f t="shared" si="14"/>
        <v>0</v>
      </c>
      <c r="O395" s="934">
        <f t="shared" si="15"/>
        <v>0</v>
      </c>
      <c r="Q395" s="984" t="s">
        <v>997</v>
      </c>
      <c r="R395" s="985"/>
      <c r="S395" s="985"/>
      <c r="T395" s="986">
        <v>200</v>
      </c>
      <c r="U395" s="985" t="s">
        <v>150</v>
      </c>
      <c r="V395" s="957">
        <v>6.911999999999999</v>
      </c>
      <c r="W395" s="957"/>
      <c r="X395" s="934"/>
      <c r="Y395" s="934"/>
      <c r="Z395" s="934"/>
      <c r="AA395" s="934"/>
      <c r="AB395" s="987"/>
      <c r="AC395" s="934"/>
      <c r="AD395" s="934"/>
      <c r="AE395" s="934"/>
      <c r="AF395" s="934"/>
      <c r="AG395" s="934"/>
      <c r="AH395" s="934"/>
      <c r="AI395" s="934"/>
      <c r="AJ395" s="934"/>
    </row>
    <row r="396" spans="2:36" ht="15" customHeight="1">
      <c r="B396" s="1437"/>
      <c r="C396" s="909" t="s">
        <v>767</v>
      </c>
      <c r="D396" s="732" t="s">
        <v>1398</v>
      </c>
      <c r="E396" s="733"/>
      <c r="F396" s="733"/>
      <c r="G396" s="733"/>
      <c r="H396" s="733"/>
      <c r="I396" s="734" t="s">
        <v>190</v>
      </c>
      <c r="J396" s="750">
        <v>316</v>
      </c>
      <c r="K396" s="977">
        <f>IFERROR(_xlfn.CEILING.MATH(J396,INDEX('СВОДНАЯ СПЕЦИФИКАЦИЯ'!$C$10:$C$408,MATCH(D396,'СВОДНАЯ СПЕЦИФИКАЦИЯ'!$D$10:$D$408,0))),"Введите кол-во")</f>
        <v>2000</v>
      </c>
      <c r="L396" s="978">
        <f>INDEX('СВОДНАЯ СПЕЦИФИКАЦИЯ'!$H$10:$H$408,MATCH(D396,Таблица2[Наименование материала],0))</f>
        <v>0</v>
      </c>
      <c r="M396" s="979">
        <f t="shared" si="14"/>
        <v>0</v>
      </c>
      <c r="O396" s="934">
        <f t="shared" si="15"/>
        <v>1</v>
      </c>
      <c r="Q396" s="984" t="s">
        <v>268</v>
      </c>
      <c r="R396" s="985"/>
      <c r="S396" s="985"/>
      <c r="T396" s="986">
        <v>20</v>
      </c>
      <c r="U396" s="985" t="s">
        <v>150</v>
      </c>
      <c r="V396" s="957"/>
      <c r="W396" s="957"/>
      <c r="X396" s="934"/>
      <c r="Y396" s="934"/>
      <c r="Z396" s="934"/>
      <c r="AA396" s="934"/>
      <c r="AB396" s="987"/>
      <c r="AC396" s="934"/>
      <c r="AD396" s="934"/>
      <c r="AE396" s="934"/>
      <c r="AF396" s="934"/>
      <c r="AG396" s="934"/>
      <c r="AH396" s="934"/>
      <c r="AI396" s="934"/>
      <c r="AJ396" s="934"/>
    </row>
    <row r="397" spans="2:36" ht="15" hidden="1" customHeight="1">
      <c r="B397" s="1437"/>
      <c r="C397" s="909">
        <v>335517</v>
      </c>
      <c r="D397" s="732" t="s">
        <v>1399</v>
      </c>
      <c r="E397" s="733"/>
      <c r="F397" s="733"/>
      <c r="G397" s="733"/>
      <c r="H397" s="733"/>
      <c r="I397" s="734" t="s">
        <v>190</v>
      </c>
      <c r="J397" s="750">
        <v>0</v>
      </c>
      <c r="K397" s="977">
        <f>IFERROR(_xlfn.CEILING.MATH(J397,INDEX('СВОДНАЯ СПЕЦИФИКАЦИЯ'!$C$10:$C$408,MATCH(D397,'СВОДНАЯ СПЕЦИФИКАЦИЯ'!$D$10:$D$408,0))),"Введите кол-во")</f>
        <v>0</v>
      </c>
      <c r="L397" s="978">
        <f>INDEX('СВОДНАЯ СПЕЦИФИКАЦИЯ'!$H$10:$H$408,MATCH(D397,Таблица2[Наименование материала],0))</f>
        <v>0</v>
      </c>
      <c r="M397" s="979">
        <f t="shared" si="14"/>
        <v>0</v>
      </c>
      <c r="O397" s="934">
        <f t="shared" si="15"/>
        <v>0</v>
      </c>
      <c r="Q397" s="984" t="s">
        <v>268</v>
      </c>
      <c r="R397" s="985"/>
      <c r="S397" s="985"/>
      <c r="T397" s="986">
        <v>50</v>
      </c>
      <c r="U397" s="985" t="s">
        <v>150</v>
      </c>
      <c r="V397" s="957"/>
      <c r="W397" s="957"/>
      <c r="X397" s="934"/>
      <c r="Y397" s="934"/>
      <c r="Z397" s="934"/>
      <c r="AA397" s="934"/>
      <c r="AB397" s="987"/>
      <c r="AC397" s="934"/>
      <c r="AD397" s="934"/>
      <c r="AE397" s="934"/>
      <c r="AF397" s="934"/>
      <c r="AG397" s="934"/>
      <c r="AH397" s="934"/>
      <c r="AI397" s="934"/>
      <c r="AJ397" s="934"/>
    </row>
    <row r="398" spans="2:36" ht="15" hidden="1" customHeight="1">
      <c r="B398" s="1437"/>
      <c r="C398" s="909">
        <v>291504</v>
      </c>
      <c r="D398" s="732" t="s">
        <v>1400</v>
      </c>
      <c r="E398" s="733"/>
      <c r="F398" s="733"/>
      <c r="G398" s="733"/>
      <c r="H398" s="733"/>
      <c r="I398" s="734" t="s">
        <v>190</v>
      </c>
      <c r="J398" s="750">
        <v>0</v>
      </c>
      <c r="K398" s="977">
        <f>IFERROR(_xlfn.CEILING.MATH(J398,INDEX('СВОДНАЯ СПЕЦИФИКАЦИЯ'!$C$10:$C$408,MATCH(D398,'СВОДНАЯ СПЕЦИФИКАЦИЯ'!$D$10:$D$408,0))),"Введите кол-во")</f>
        <v>0</v>
      </c>
      <c r="L398" s="978">
        <f>INDEX('СВОДНАЯ СПЕЦИФИКАЦИЯ'!$H$10:$H$408,MATCH(D398,Таблица2[Наименование материала],0))</f>
        <v>0</v>
      </c>
      <c r="M398" s="979">
        <f t="shared" si="14"/>
        <v>0</v>
      </c>
      <c r="O398" s="934">
        <f t="shared" si="15"/>
        <v>0</v>
      </c>
      <c r="Q398" s="984" t="s">
        <v>268</v>
      </c>
      <c r="R398" s="985"/>
      <c r="S398" s="985"/>
      <c r="T398" s="986">
        <v>80</v>
      </c>
      <c r="U398" s="985" t="s">
        <v>150</v>
      </c>
      <c r="V398" s="957"/>
      <c r="W398" s="957"/>
      <c r="X398" s="934"/>
      <c r="Y398" s="934"/>
      <c r="Z398" s="934"/>
      <c r="AA398" s="934"/>
      <c r="AB398" s="987"/>
      <c r="AC398" s="934"/>
      <c r="AD398" s="934"/>
      <c r="AE398" s="934"/>
      <c r="AF398" s="934"/>
      <c r="AG398" s="934"/>
      <c r="AH398" s="934"/>
      <c r="AI398" s="934"/>
      <c r="AJ398" s="934"/>
    </row>
    <row r="399" spans="2:36" ht="15" hidden="1" customHeight="1">
      <c r="B399" s="1437"/>
      <c r="C399" s="909">
        <v>291502</v>
      </c>
      <c r="D399" s="732" t="s">
        <v>1401</v>
      </c>
      <c r="E399" s="733"/>
      <c r="F399" s="733"/>
      <c r="G399" s="733"/>
      <c r="H399" s="733"/>
      <c r="I399" s="734" t="s">
        <v>190</v>
      </c>
      <c r="J399" s="750">
        <v>0</v>
      </c>
      <c r="K399" s="977">
        <f>IFERROR(_xlfn.CEILING.MATH(J399,INDEX('СВОДНАЯ СПЕЦИФИКАЦИЯ'!$C$10:$C$408,MATCH(D399,'СВОДНАЯ СПЕЦИФИКАЦИЯ'!$D$10:$D$408,0))),"Введите кол-во")</f>
        <v>0</v>
      </c>
      <c r="L399" s="978">
        <f>INDEX('СВОДНАЯ СПЕЦИФИКАЦИЯ'!$H$10:$H$408,MATCH(D399,Таблица2[Наименование материала],0))</f>
        <v>0</v>
      </c>
      <c r="M399" s="979">
        <f t="shared" si="14"/>
        <v>0</v>
      </c>
      <c r="O399" s="934">
        <f t="shared" si="15"/>
        <v>0</v>
      </c>
      <c r="Q399" s="984" t="s">
        <v>268</v>
      </c>
      <c r="R399" s="985"/>
      <c r="S399" s="985"/>
      <c r="T399" s="986">
        <v>100</v>
      </c>
      <c r="U399" s="985" t="s">
        <v>150</v>
      </c>
      <c r="V399" s="957"/>
      <c r="W399" s="957"/>
      <c r="X399" s="934"/>
      <c r="Y399" s="934"/>
      <c r="Z399" s="934"/>
      <c r="AA399" s="934"/>
      <c r="AB399" s="987"/>
      <c r="AC399" s="934"/>
      <c r="AD399" s="934"/>
      <c r="AE399" s="934"/>
      <c r="AF399" s="934"/>
      <c r="AG399" s="934"/>
      <c r="AH399" s="934"/>
      <c r="AI399" s="934"/>
      <c r="AJ399" s="934"/>
    </row>
    <row r="400" spans="2:36" ht="15" hidden="1" customHeight="1">
      <c r="B400" s="1437"/>
      <c r="C400" s="909">
        <v>291503</v>
      </c>
      <c r="D400" s="732" t="s">
        <v>1402</v>
      </c>
      <c r="E400" s="733"/>
      <c r="F400" s="733"/>
      <c r="G400" s="733"/>
      <c r="H400" s="733"/>
      <c r="I400" s="734" t="s">
        <v>190</v>
      </c>
      <c r="J400" s="750">
        <v>0</v>
      </c>
      <c r="K400" s="977">
        <f>IFERROR(_xlfn.CEILING.MATH(J400,INDEX('СВОДНАЯ СПЕЦИФИКАЦИЯ'!$C$10:$C$408,MATCH(D400,'СВОДНАЯ СПЕЦИФИКАЦИЯ'!$D$10:$D$408,0))),"Введите кол-во")</f>
        <v>0</v>
      </c>
      <c r="L400" s="978">
        <f>INDEX('СВОДНАЯ СПЕЦИФИКАЦИЯ'!$H$10:$H$408,MATCH(D400,Таблица2[Наименование материала],0))</f>
        <v>0</v>
      </c>
      <c r="M400" s="979">
        <f t="shared" si="14"/>
        <v>0</v>
      </c>
      <c r="O400" s="934">
        <f t="shared" si="15"/>
        <v>0</v>
      </c>
      <c r="Q400" s="984" t="s">
        <v>268</v>
      </c>
      <c r="R400" s="985"/>
      <c r="S400" s="985"/>
      <c r="T400" s="986">
        <v>120</v>
      </c>
      <c r="U400" s="985" t="s">
        <v>150</v>
      </c>
      <c r="V400" s="957"/>
      <c r="W400" s="957"/>
      <c r="X400" s="934"/>
      <c r="Y400" s="934"/>
      <c r="Z400" s="934"/>
      <c r="AA400" s="934"/>
      <c r="AB400" s="987"/>
      <c r="AC400" s="934"/>
      <c r="AD400" s="934"/>
      <c r="AE400" s="934"/>
      <c r="AF400" s="934"/>
      <c r="AG400" s="934"/>
      <c r="AH400" s="934"/>
      <c r="AI400" s="934"/>
      <c r="AJ400" s="934"/>
    </row>
    <row r="401" spans="2:36" ht="15" hidden="1" customHeight="1">
      <c r="B401" s="1437"/>
      <c r="C401" s="909">
        <v>335923</v>
      </c>
      <c r="D401" s="732" t="s">
        <v>1403</v>
      </c>
      <c r="E401" s="733"/>
      <c r="F401" s="733"/>
      <c r="G401" s="733"/>
      <c r="H401" s="733"/>
      <c r="I401" s="734" t="s">
        <v>190</v>
      </c>
      <c r="J401" s="750">
        <v>0</v>
      </c>
      <c r="K401" s="977">
        <f>IFERROR(_xlfn.CEILING.MATH(J401,INDEX('СВОДНАЯ СПЕЦИФИКАЦИЯ'!$C$10:$C$408,MATCH(D401,'СВОДНАЯ СПЕЦИФИКАЦИЯ'!$D$10:$D$408,0))),"Введите кол-во")</f>
        <v>0</v>
      </c>
      <c r="L401" s="978">
        <f>INDEX('СВОДНАЯ СПЕЦИФИКАЦИЯ'!$H$10:$H$408,MATCH(D401,Таблица2[Наименование материала],0))</f>
        <v>0</v>
      </c>
      <c r="M401" s="979">
        <f t="shared" si="14"/>
        <v>0</v>
      </c>
      <c r="O401" s="934">
        <f t="shared" si="15"/>
        <v>0</v>
      </c>
      <c r="Q401" s="984" t="s">
        <v>268</v>
      </c>
      <c r="R401" s="985"/>
      <c r="S401" s="985"/>
      <c r="T401" s="986">
        <v>130</v>
      </c>
      <c r="U401" s="985" t="s">
        <v>150</v>
      </c>
      <c r="V401" s="957"/>
      <c r="W401" s="957"/>
      <c r="X401" s="934"/>
      <c r="Y401" s="934"/>
      <c r="Z401" s="934"/>
      <c r="AA401" s="934"/>
      <c r="AB401" s="987"/>
      <c r="AC401" s="934"/>
      <c r="AD401" s="934"/>
      <c r="AE401" s="934"/>
      <c r="AF401" s="934"/>
      <c r="AG401" s="934"/>
      <c r="AH401" s="934"/>
      <c r="AI401" s="934"/>
      <c r="AJ401" s="934"/>
    </row>
    <row r="402" spans="2:36" ht="15" hidden="1" customHeight="1">
      <c r="B402" s="1437"/>
      <c r="C402" s="909">
        <v>336704</v>
      </c>
      <c r="D402" s="732" t="s">
        <v>1404</v>
      </c>
      <c r="E402" s="733"/>
      <c r="F402" s="733"/>
      <c r="G402" s="733"/>
      <c r="H402" s="733"/>
      <c r="I402" s="734" t="s">
        <v>190</v>
      </c>
      <c r="J402" s="750">
        <v>0</v>
      </c>
      <c r="K402" s="977">
        <f>IFERROR(_xlfn.CEILING.MATH(J402,INDEX('СВОДНАЯ СПЕЦИФИКАЦИЯ'!$C$10:$C$408,MATCH(D402,'СВОДНАЯ СПЕЦИФИКАЦИЯ'!$D$10:$D$408,0))),"Введите кол-во")</f>
        <v>0</v>
      </c>
      <c r="L402" s="978">
        <f>INDEX('СВОДНАЯ СПЕЦИФИКАЦИЯ'!$H$10:$H$408,MATCH(D402,Таблица2[Наименование материала],0))</f>
        <v>0</v>
      </c>
      <c r="M402" s="979">
        <f t="shared" si="14"/>
        <v>0</v>
      </c>
      <c r="O402" s="934">
        <f t="shared" si="15"/>
        <v>0</v>
      </c>
      <c r="Q402" s="984" t="s">
        <v>268</v>
      </c>
      <c r="R402" s="985"/>
      <c r="S402" s="985"/>
      <c r="T402" s="986">
        <v>140</v>
      </c>
      <c r="U402" s="985" t="s">
        <v>150</v>
      </c>
      <c r="V402" s="957"/>
      <c r="W402" s="957"/>
      <c r="X402" s="934"/>
      <c r="Y402" s="934"/>
      <c r="Z402" s="934"/>
      <c r="AA402" s="934"/>
      <c r="AB402" s="987"/>
      <c r="AC402" s="934"/>
      <c r="AD402" s="934"/>
      <c r="AE402" s="934"/>
      <c r="AF402" s="934"/>
      <c r="AG402" s="934"/>
      <c r="AH402" s="934"/>
      <c r="AI402" s="934"/>
      <c r="AJ402" s="934"/>
    </row>
    <row r="403" spans="2:36" ht="15" hidden="1" customHeight="1">
      <c r="B403" s="1437"/>
      <c r="C403" s="909">
        <v>329259</v>
      </c>
      <c r="D403" s="732" t="s">
        <v>1405</v>
      </c>
      <c r="E403" s="733"/>
      <c r="F403" s="733"/>
      <c r="G403" s="733"/>
      <c r="H403" s="733"/>
      <c r="I403" s="734" t="s">
        <v>190</v>
      </c>
      <c r="J403" s="750">
        <v>0</v>
      </c>
      <c r="K403" s="977">
        <f>IFERROR(_xlfn.CEILING.MATH(J403,INDEX('СВОДНАЯ СПЕЦИФИКАЦИЯ'!$C$10:$C$408,MATCH(D403,'СВОДНАЯ СПЕЦИФИКАЦИЯ'!$D$10:$D$408,0))),"Введите кол-во")</f>
        <v>0</v>
      </c>
      <c r="L403" s="978">
        <f>INDEX('СВОДНАЯ СПЕЦИФИКАЦИЯ'!$H$10:$H$408,MATCH(D403,Таблица2[Наименование материала],0))</f>
        <v>0</v>
      </c>
      <c r="M403" s="979">
        <f t="shared" si="14"/>
        <v>0</v>
      </c>
      <c r="O403" s="934">
        <f t="shared" si="15"/>
        <v>0</v>
      </c>
      <c r="Q403" s="984" t="s">
        <v>268</v>
      </c>
      <c r="R403" s="985"/>
      <c r="S403" s="985"/>
      <c r="T403" s="986">
        <v>150</v>
      </c>
      <c r="U403" s="985" t="s">
        <v>150</v>
      </c>
      <c r="V403" s="957"/>
      <c r="W403" s="957"/>
      <c r="X403" s="934"/>
      <c r="Y403" s="934"/>
      <c r="Z403" s="934"/>
      <c r="AA403" s="934"/>
      <c r="AB403" s="987"/>
      <c r="AC403" s="934"/>
      <c r="AD403" s="934"/>
      <c r="AE403" s="934"/>
      <c r="AF403" s="934"/>
      <c r="AG403" s="934"/>
      <c r="AH403" s="934"/>
      <c r="AI403" s="934"/>
      <c r="AJ403" s="934"/>
    </row>
    <row r="404" spans="2:36" ht="15" hidden="1" customHeight="1">
      <c r="B404" s="1437"/>
      <c r="C404" s="909" t="s">
        <v>768</v>
      </c>
      <c r="D404" s="732" t="s">
        <v>1406</v>
      </c>
      <c r="E404" s="733"/>
      <c r="F404" s="733"/>
      <c r="G404" s="733"/>
      <c r="H404" s="733"/>
      <c r="I404" s="734" t="s">
        <v>190</v>
      </c>
      <c r="J404" s="750">
        <v>0</v>
      </c>
      <c r="K404" s="977">
        <f>IFERROR(_xlfn.CEILING.MATH(J404,INDEX('СВОДНАЯ СПЕЦИФИКАЦИЯ'!$C$10:$C$408,MATCH(D404,'СВОДНАЯ СПЕЦИФИКАЦИЯ'!$D$10:$D$408,0))),"Введите кол-во")</f>
        <v>0</v>
      </c>
      <c r="L404" s="978">
        <f>INDEX('СВОДНАЯ СПЕЦИФИКАЦИЯ'!$H$10:$H$408,MATCH(D404,Таблица2[Наименование материала],0))</f>
        <v>0</v>
      </c>
      <c r="M404" s="979">
        <f t="shared" si="14"/>
        <v>0</v>
      </c>
      <c r="O404" s="934">
        <f t="shared" si="15"/>
        <v>0</v>
      </c>
      <c r="Q404" s="984" t="s">
        <v>268</v>
      </c>
      <c r="R404" s="985"/>
      <c r="S404" s="985"/>
      <c r="T404" s="986">
        <v>170</v>
      </c>
      <c r="U404" s="985" t="s">
        <v>150</v>
      </c>
      <c r="V404" s="957"/>
      <c r="W404" s="957"/>
      <c r="X404" s="934"/>
      <c r="Y404" s="934"/>
      <c r="Z404" s="934"/>
      <c r="AA404" s="934"/>
      <c r="AB404" s="987"/>
      <c r="AC404" s="934"/>
      <c r="AD404" s="934"/>
      <c r="AE404" s="934"/>
      <c r="AF404" s="934"/>
      <c r="AG404" s="934"/>
      <c r="AH404" s="934"/>
      <c r="AI404" s="934"/>
      <c r="AJ404" s="934"/>
    </row>
    <row r="405" spans="2:36" ht="15" hidden="1" customHeight="1">
      <c r="B405" s="1437"/>
      <c r="C405" s="909" t="s">
        <v>769</v>
      </c>
      <c r="D405" s="732" t="s">
        <v>1407</v>
      </c>
      <c r="E405" s="733"/>
      <c r="F405" s="733"/>
      <c r="G405" s="733"/>
      <c r="H405" s="733"/>
      <c r="I405" s="734" t="s">
        <v>190</v>
      </c>
      <c r="J405" s="750">
        <v>0</v>
      </c>
      <c r="K405" s="977">
        <f>IFERROR(_xlfn.CEILING.MATH(J405,INDEX('СВОДНАЯ СПЕЦИФИКАЦИЯ'!$C$10:$C$408,MATCH(D405,'СВОДНАЯ СПЕЦИФИКАЦИЯ'!$D$10:$D$408,0))),"Введите кол-во")</f>
        <v>0</v>
      </c>
      <c r="L405" s="978">
        <f>INDEX('СВОДНАЯ СПЕЦИФИКАЦИЯ'!$H$10:$H$408,MATCH(D405,Таблица2[Наименование материала],0))</f>
        <v>0</v>
      </c>
      <c r="M405" s="979">
        <f t="shared" si="14"/>
        <v>0</v>
      </c>
      <c r="O405" s="934">
        <f t="shared" si="15"/>
        <v>0</v>
      </c>
      <c r="Q405" s="984" t="s">
        <v>268</v>
      </c>
      <c r="R405" s="985"/>
      <c r="S405" s="985"/>
      <c r="T405" s="986">
        <v>180</v>
      </c>
      <c r="U405" s="985" t="s">
        <v>150</v>
      </c>
      <c r="V405" s="957"/>
      <c r="W405" s="957"/>
      <c r="X405" s="934"/>
      <c r="Y405" s="934"/>
      <c r="Z405" s="934"/>
      <c r="AA405" s="934"/>
      <c r="AB405" s="987"/>
      <c r="AC405" s="934"/>
      <c r="AD405" s="934"/>
      <c r="AE405" s="934"/>
      <c r="AF405" s="934"/>
      <c r="AG405" s="934"/>
      <c r="AH405" s="934"/>
      <c r="AI405" s="934"/>
      <c r="AJ405" s="934"/>
    </row>
    <row r="406" spans="2:36" ht="15" hidden="1" customHeight="1">
      <c r="B406" s="1437"/>
      <c r="C406" s="909" t="s">
        <v>770</v>
      </c>
      <c r="D406" s="732" t="s">
        <v>1408</v>
      </c>
      <c r="E406" s="733"/>
      <c r="F406" s="733"/>
      <c r="G406" s="733"/>
      <c r="H406" s="733"/>
      <c r="I406" s="734" t="s">
        <v>190</v>
      </c>
      <c r="J406" s="750">
        <v>0</v>
      </c>
      <c r="K406" s="977">
        <f>IFERROR(_xlfn.CEILING.MATH(J406,INDEX('СВОДНАЯ СПЕЦИФИКАЦИЯ'!$C$10:$C$408,MATCH(D406,'СВОДНАЯ СПЕЦИФИКАЦИЯ'!$D$10:$D$408,0))),"Введите кол-во")</f>
        <v>0</v>
      </c>
      <c r="L406" s="978">
        <f>INDEX('СВОДНАЯ СПЕЦИФИКАЦИЯ'!$H$10:$H$408,MATCH(D406,Таблица2[Наименование материала],0))</f>
        <v>0</v>
      </c>
      <c r="M406" s="979">
        <f t="shared" si="14"/>
        <v>0</v>
      </c>
      <c r="O406" s="934">
        <f t="shared" si="15"/>
        <v>0</v>
      </c>
      <c r="Q406" s="984" t="s">
        <v>268</v>
      </c>
      <c r="R406" s="985"/>
      <c r="S406" s="985"/>
      <c r="T406" s="986">
        <v>200</v>
      </c>
      <c r="U406" s="985" t="s">
        <v>150</v>
      </c>
      <c r="V406" s="957"/>
      <c r="W406" s="957"/>
      <c r="X406" s="934"/>
      <c r="Y406" s="934"/>
      <c r="Z406" s="934"/>
      <c r="AA406" s="934"/>
      <c r="AB406" s="987"/>
      <c r="AC406" s="934"/>
      <c r="AD406" s="934"/>
      <c r="AE406" s="934"/>
      <c r="AF406" s="934"/>
      <c r="AG406" s="934"/>
      <c r="AH406" s="934"/>
      <c r="AI406" s="934"/>
      <c r="AJ406" s="934"/>
    </row>
    <row r="407" spans="2:36" ht="15" hidden="1" customHeight="1">
      <c r="B407" s="1437"/>
      <c r="C407" s="909" t="s">
        <v>771</v>
      </c>
      <c r="D407" s="732" t="s">
        <v>1409</v>
      </c>
      <c r="E407" s="733"/>
      <c r="F407" s="733"/>
      <c r="G407" s="733"/>
      <c r="H407" s="733"/>
      <c r="I407" s="734" t="s">
        <v>190</v>
      </c>
      <c r="J407" s="750">
        <v>0</v>
      </c>
      <c r="K407" s="977">
        <f>IFERROR(_xlfn.CEILING.MATH(J407,INDEX('СВОДНАЯ СПЕЦИФИКАЦИЯ'!$C$10:$C$408,MATCH(D407,'СВОДНАЯ СПЕЦИФИКАЦИЯ'!$D$10:$D$408,0))),"Введите кол-во")</f>
        <v>0</v>
      </c>
      <c r="L407" s="978">
        <f>INDEX('СВОДНАЯ СПЕЦИФИКАЦИЯ'!$H$10:$H$408,MATCH(D407,Таблица2[Наименование материала],0))</f>
        <v>0</v>
      </c>
      <c r="M407" s="979">
        <f t="shared" si="14"/>
        <v>0</v>
      </c>
      <c r="O407" s="934">
        <f t="shared" si="15"/>
        <v>0</v>
      </c>
      <c r="Q407" s="984" t="s">
        <v>268</v>
      </c>
      <c r="R407" s="985"/>
      <c r="S407" s="985"/>
      <c r="T407" s="986">
        <v>220</v>
      </c>
      <c r="U407" s="985" t="s">
        <v>150</v>
      </c>
      <c r="V407" s="957"/>
      <c r="W407" s="957"/>
      <c r="X407" s="934"/>
      <c r="Y407" s="934"/>
      <c r="Z407" s="934"/>
      <c r="AA407" s="934"/>
      <c r="AB407" s="987"/>
      <c r="AC407" s="934"/>
      <c r="AD407" s="934"/>
      <c r="AE407" s="934"/>
      <c r="AF407" s="934"/>
      <c r="AG407" s="934"/>
      <c r="AH407" s="934"/>
      <c r="AI407" s="934"/>
      <c r="AJ407" s="934"/>
    </row>
    <row r="408" spans="2:36" ht="15" hidden="1" customHeight="1">
      <c r="B408" s="1437"/>
      <c r="C408" s="909">
        <v>422430</v>
      </c>
      <c r="D408" s="732" t="s">
        <v>1410</v>
      </c>
      <c r="E408" s="733"/>
      <c r="F408" s="733"/>
      <c r="G408" s="733"/>
      <c r="H408" s="733"/>
      <c r="I408" s="734" t="s">
        <v>190</v>
      </c>
      <c r="J408" s="750">
        <v>0</v>
      </c>
      <c r="K408" s="977">
        <f>IFERROR(_xlfn.CEILING.MATH(J408,INDEX('СВОДНАЯ СПЕЦИФИКАЦИЯ'!$C$10:$C$408,MATCH(D408,'СВОДНАЯ СПЕЦИФИКАЦИЯ'!$D$10:$D$408,0))),"Введите кол-во")</f>
        <v>0</v>
      </c>
      <c r="L408" s="978">
        <f>INDEX('СВОДНАЯ СПЕЦИФИКАЦИЯ'!$H$10:$H$408,MATCH(D408,Таблица2[Наименование материала],0))</f>
        <v>0</v>
      </c>
      <c r="M408" s="979">
        <f t="shared" si="14"/>
        <v>0</v>
      </c>
      <c r="O408" s="934">
        <f t="shared" si="15"/>
        <v>0</v>
      </c>
      <c r="Q408" s="984" t="s">
        <v>268</v>
      </c>
      <c r="R408" s="985"/>
      <c r="S408" s="985"/>
      <c r="T408" s="986">
        <v>240</v>
      </c>
      <c r="U408" s="985" t="s">
        <v>150</v>
      </c>
      <c r="V408" s="957"/>
      <c r="W408" s="957"/>
      <c r="X408" s="934"/>
      <c r="Y408" s="934"/>
      <c r="Z408" s="934"/>
      <c r="AA408" s="934"/>
      <c r="AB408" s="987"/>
      <c r="AC408" s="934"/>
      <c r="AD408" s="934"/>
      <c r="AE408" s="934"/>
      <c r="AF408" s="934"/>
      <c r="AG408" s="934"/>
      <c r="AH408" s="934"/>
      <c r="AI408" s="934"/>
      <c r="AJ408" s="934"/>
    </row>
    <row r="409" spans="2:36" ht="15" hidden="1" customHeight="1">
      <c r="B409" s="1437"/>
      <c r="C409" s="909" t="s">
        <v>772</v>
      </c>
      <c r="D409" s="732" t="s">
        <v>1411</v>
      </c>
      <c r="E409" s="733"/>
      <c r="F409" s="733"/>
      <c r="G409" s="733"/>
      <c r="H409" s="733"/>
      <c r="I409" s="734" t="s">
        <v>190</v>
      </c>
      <c r="J409" s="750">
        <v>0</v>
      </c>
      <c r="K409" s="977">
        <f>IFERROR(_xlfn.CEILING.MATH(J409,INDEX('СВОДНАЯ СПЕЦИФИКАЦИЯ'!$C$10:$C$408,MATCH(D409,'СВОДНАЯ СПЕЦИФИКАЦИЯ'!$D$10:$D$408,0))),"Введите кол-во")</f>
        <v>0</v>
      </c>
      <c r="L409" s="978">
        <f>INDEX('СВОДНАЯ СПЕЦИФИКАЦИЯ'!$H$10:$H$408,MATCH(D409,Таблица2[Наименование материала],0))</f>
        <v>0</v>
      </c>
      <c r="M409" s="979">
        <f t="shared" si="14"/>
        <v>0</v>
      </c>
      <c r="O409" s="934">
        <f t="shared" si="15"/>
        <v>0</v>
      </c>
      <c r="Q409" s="984" t="s">
        <v>268</v>
      </c>
      <c r="R409" s="985"/>
      <c r="S409" s="985"/>
      <c r="T409" s="986">
        <v>260</v>
      </c>
      <c r="U409" s="985" t="s">
        <v>150</v>
      </c>
      <c r="V409" s="957"/>
      <c r="W409" s="957"/>
      <c r="X409" s="934"/>
      <c r="Y409" s="934"/>
      <c r="Z409" s="934"/>
      <c r="AA409" s="934"/>
      <c r="AB409" s="987"/>
      <c r="AC409" s="934"/>
      <c r="AD409" s="934"/>
      <c r="AE409" s="934"/>
      <c r="AF409" s="934"/>
      <c r="AG409" s="934"/>
      <c r="AH409" s="934"/>
      <c r="AI409" s="934"/>
      <c r="AJ409" s="934"/>
    </row>
    <row r="410" spans="2:36" ht="15" hidden="1" customHeight="1">
      <c r="B410" s="1437"/>
      <c r="C410" s="754"/>
      <c r="D410" s="732"/>
      <c r="E410" s="733"/>
      <c r="F410" s="733"/>
      <c r="G410" s="733"/>
      <c r="H410" s="733"/>
      <c r="I410" s="734"/>
      <c r="J410" s="750"/>
      <c r="K410" s="998"/>
      <c r="L410" s="978"/>
      <c r="M410" s="979">
        <f t="shared" si="14"/>
        <v>0</v>
      </c>
      <c r="O410" s="934">
        <f t="shared" si="15"/>
        <v>0</v>
      </c>
      <c r="Q410" s="984"/>
      <c r="R410" s="985"/>
      <c r="S410" s="985"/>
      <c r="T410" s="986"/>
      <c r="U410" s="985"/>
      <c r="V410" s="990"/>
      <c r="W410" s="957"/>
      <c r="X410" s="934"/>
      <c r="Y410" s="934"/>
      <c r="Z410" s="934"/>
      <c r="AA410" s="934"/>
      <c r="AB410" s="987"/>
      <c r="AC410" s="934"/>
      <c r="AD410" s="934"/>
      <c r="AE410" s="934"/>
      <c r="AF410" s="934"/>
      <c r="AG410" s="934"/>
      <c r="AH410" s="934"/>
      <c r="AI410" s="934"/>
      <c r="AJ410" s="934"/>
    </row>
    <row r="411" spans="2:36" ht="15" hidden="1" customHeight="1">
      <c r="B411" s="1437"/>
      <c r="C411" s="909" t="s">
        <v>775</v>
      </c>
      <c r="D411" s="732" t="s">
        <v>1416</v>
      </c>
      <c r="E411" s="733"/>
      <c r="F411" s="733"/>
      <c r="G411" s="733"/>
      <c r="H411" s="733"/>
      <c r="I411" s="734" t="s">
        <v>190</v>
      </c>
      <c r="J411" s="750">
        <v>0</v>
      </c>
      <c r="K411" s="977">
        <f>IFERROR(_xlfn.CEILING.MATH(J411,INDEX('СВОДНАЯ СПЕЦИФИКАЦИЯ'!$C$10:$C$408,MATCH(D411,'СВОДНАЯ СПЕЦИФИКАЦИЯ'!$D$10:$D$408,0))),"Введите кол-во")</f>
        <v>0</v>
      </c>
      <c r="L411" s="978">
        <f>INDEX('СВОДНАЯ СПЕЦИФИКАЦИЯ'!$H$10:$H$408,MATCH(D411,Таблица2[Наименование материала],0))</f>
        <v>0</v>
      </c>
      <c r="M411" s="979">
        <f t="shared" si="14"/>
        <v>0</v>
      </c>
      <c r="O411" s="934">
        <f t="shared" si="15"/>
        <v>0</v>
      </c>
      <c r="Q411" s="984" t="s">
        <v>531</v>
      </c>
      <c r="R411" s="985"/>
      <c r="S411" s="985"/>
      <c r="T411" s="986">
        <v>60</v>
      </c>
      <c r="U411" s="985" t="s">
        <v>150</v>
      </c>
      <c r="V411" s="990" t="str">
        <f t="shared" ref="V411:V417" si="16">TRIM(Q411)</f>
        <v>Саморез сверлоконечный ТехноНИКОЛЬ 4,8х</v>
      </c>
      <c r="W411" s="957"/>
      <c r="X411" s="934"/>
      <c r="Y411" s="934"/>
      <c r="Z411" s="934"/>
      <c r="AA411" s="934"/>
      <c r="AB411" s="987"/>
      <c r="AC411" s="934"/>
      <c r="AD411" s="934"/>
      <c r="AE411" s="934"/>
      <c r="AF411" s="934"/>
      <c r="AG411" s="934"/>
      <c r="AH411" s="934"/>
      <c r="AI411" s="934"/>
      <c r="AJ411" s="934"/>
    </row>
    <row r="412" spans="2:36" ht="15" customHeight="1">
      <c r="B412" s="1437"/>
      <c r="C412" s="909" t="s">
        <v>776</v>
      </c>
      <c r="D412" s="732" t="s">
        <v>1420</v>
      </c>
      <c r="E412" s="733"/>
      <c r="F412" s="733"/>
      <c r="G412" s="733"/>
      <c r="H412" s="733"/>
      <c r="I412" s="734" t="s">
        <v>190</v>
      </c>
      <c r="J412" s="750">
        <v>166</v>
      </c>
      <c r="K412" s="977">
        <f>IFERROR(_xlfn.CEILING.MATH(J412,INDEX('СВОДНАЯ СПЕЦИФИКАЦИЯ'!$C$10:$C$408,MATCH(D412,'СВОДНАЯ СПЕЦИФИКАЦИЯ'!$D$10:$D$408,0))),"Введите кол-во")</f>
        <v>500</v>
      </c>
      <c r="L412" s="978">
        <f>INDEX('СВОДНАЯ СПЕЦИФИКАЦИЯ'!$H$10:$H$408,MATCH(D412,Таблица2[Наименование материала],0))</f>
        <v>0</v>
      </c>
      <c r="M412" s="979">
        <f t="shared" si="14"/>
        <v>0</v>
      </c>
      <c r="O412" s="934">
        <f t="shared" si="15"/>
        <v>1</v>
      </c>
      <c r="Q412" s="984" t="s">
        <v>531</v>
      </c>
      <c r="R412" s="985"/>
      <c r="S412" s="985"/>
      <c r="T412" s="986">
        <v>70</v>
      </c>
      <c r="U412" s="985" t="s">
        <v>150</v>
      </c>
      <c r="V412" s="990" t="str">
        <f t="shared" si="16"/>
        <v>Саморез сверлоконечный ТехноНИКОЛЬ 4,8х</v>
      </c>
      <c r="W412" s="957"/>
      <c r="X412" s="934"/>
      <c r="Y412" s="934"/>
      <c r="Z412" s="934"/>
      <c r="AA412" s="934"/>
      <c r="AB412" s="987"/>
      <c r="AC412" s="934"/>
      <c r="AD412" s="934"/>
      <c r="AE412" s="934"/>
      <c r="AF412" s="934"/>
      <c r="AG412" s="934"/>
      <c r="AH412" s="934"/>
      <c r="AI412" s="934"/>
      <c r="AJ412" s="934"/>
    </row>
    <row r="413" spans="2:36" ht="15" hidden="1" customHeight="1">
      <c r="B413" s="1437"/>
      <c r="C413" s="909" t="s">
        <v>777</v>
      </c>
      <c r="D413" s="732" t="s">
        <v>1421</v>
      </c>
      <c r="E413" s="733"/>
      <c r="F413" s="733"/>
      <c r="G413" s="733"/>
      <c r="H413" s="733"/>
      <c r="I413" s="734" t="s">
        <v>190</v>
      </c>
      <c r="J413" s="750">
        <v>0</v>
      </c>
      <c r="K413" s="977">
        <f>IFERROR(_xlfn.CEILING.MATH(J413,INDEX('СВОДНАЯ СПЕЦИФИКАЦИЯ'!$C$10:$C$408,MATCH(D413,'СВОДНАЯ СПЕЦИФИКАЦИЯ'!$D$10:$D$408,0))),"Введите кол-во")</f>
        <v>0</v>
      </c>
      <c r="L413" s="978">
        <f>INDEX('СВОДНАЯ СПЕЦИФИКАЦИЯ'!$H$10:$H$408,MATCH(D413,Таблица2[Наименование материала],0))</f>
        <v>0</v>
      </c>
      <c r="M413" s="979">
        <f t="shared" si="14"/>
        <v>0</v>
      </c>
      <c r="O413" s="934">
        <f t="shared" si="15"/>
        <v>0</v>
      </c>
      <c r="Q413" s="984" t="s">
        <v>531</v>
      </c>
      <c r="R413" s="985"/>
      <c r="S413" s="985"/>
      <c r="T413" s="986">
        <v>80</v>
      </c>
      <c r="U413" s="985" t="s">
        <v>150</v>
      </c>
      <c r="V413" s="990" t="str">
        <f t="shared" si="16"/>
        <v>Саморез сверлоконечный ТехноНИКОЛЬ 4,8х</v>
      </c>
      <c r="W413" s="957"/>
      <c r="X413" s="934"/>
      <c r="Y413" s="934"/>
      <c r="Z413" s="934"/>
      <c r="AA413" s="934"/>
      <c r="AB413" s="987"/>
      <c r="AC413" s="934"/>
      <c r="AD413" s="934"/>
      <c r="AE413" s="934"/>
      <c r="AF413" s="934"/>
      <c r="AG413" s="934"/>
      <c r="AH413" s="934"/>
      <c r="AI413" s="934"/>
      <c r="AJ413" s="934"/>
    </row>
    <row r="414" spans="2:36" ht="15" customHeight="1">
      <c r="B414" s="1437"/>
      <c r="C414" s="909" t="s">
        <v>778</v>
      </c>
      <c r="D414" s="732" t="s">
        <v>1422</v>
      </c>
      <c r="E414" s="733"/>
      <c r="F414" s="733"/>
      <c r="G414" s="733"/>
      <c r="H414" s="733"/>
      <c r="I414" s="734" t="s">
        <v>190</v>
      </c>
      <c r="J414" s="750">
        <v>150</v>
      </c>
      <c r="K414" s="977">
        <f>IFERROR(_xlfn.CEILING.MATH(J414,INDEX('СВОДНАЯ СПЕЦИФИКАЦИЯ'!$C$10:$C$408,MATCH(D414,'СВОДНАЯ СПЕЦИФИКАЦИЯ'!$D$10:$D$408,0))),"Введите кол-во")</f>
        <v>500</v>
      </c>
      <c r="L414" s="978">
        <f>INDEX('СВОДНАЯ СПЕЦИФИКАЦИЯ'!$H$10:$H$408,MATCH(D414,Таблица2[Наименование материала],0))</f>
        <v>0</v>
      </c>
      <c r="M414" s="979">
        <f t="shared" si="14"/>
        <v>0</v>
      </c>
      <c r="O414" s="934">
        <f t="shared" si="15"/>
        <v>1</v>
      </c>
      <c r="Q414" s="984" t="s">
        <v>531</v>
      </c>
      <c r="R414" s="985"/>
      <c r="S414" s="985"/>
      <c r="T414" s="986">
        <v>100</v>
      </c>
      <c r="U414" s="985" t="s">
        <v>150</v>
      </c>
      <c r="V414" s="990" t="str">
        <f t="shared" si="16"/>
        <v>Саморез сверлоконечный ТехноНИКОЛЬ 4,8х</v>
      </c>
      <c r="W414" s="957"/>
      <c r="X414" s="934"/>
      <c r="Y414" s="934"/>
      <c r="Z414" s="934"/>
      <c r="AA414" s="934"/>
      <c r="AB414" s="987"/>
      <c r="AC414" s="934"/>
      <c r="AD414" s="934"/>
      <c r="AE414" s="934"/>
      <c r="AF414" s="934"/>
      <c r="AG414" s="934"/>
      <c r="AH414" s="934"/>
      <c r="AI414" s="934"/>
      <c r="AJ414" s="934"/>
    </row>
    <row r="415" spans="2:36" ht="15" hidden="1" customHeight="1">
      <c r="B415" s="1437"/>
      <c r="C415" s="909" t="s">
        <v>779</v>
      </c>
      <c r="D415" s="732" t="s">
        <v>1423</v>
      </c>
      <c r="E415" s="733"/>
      <c r="F415" s="733"/>
      <c r="G415" s="733"/>
      <c r="H415" s="733"/>
      <c r="I415" s="734" t="s">
        <v>190</v>
      </c>
      <c r="J415" s="750">
        <v>0</v>
      </c>
      <c r="K415" s="977">
        <f>IFERROR(_xlfn.CEILING.MATH(J415,INDEX('СВОДНАЯ СПЕЦИФИКАЦИЯ'!$C$10:$C$408,MATCH(D415,'СВОДНАЯ СПЕЦИФИКАЦИЯ'!$D$10:$D$408,0))),"Введите кол-во")</f>
        <v>0</v>
      </c>
      <c r="L415" s="978">
        <f>INDEX('СВОДНАЯ СПЕЦИФИКАЦИЯ'!$H$10:$H$408,MATCH(D415,Таблица2[Наименование материала],0))</f>
        <v>0</v>
      </c>
      <c r="M415" s="979">
        <f t="shared" si="14"/>
        <v>0</v>
      </c>
      <c r="O415" s="934">
        <f t="shared" si="15"/>
        <v>0</v>
      </c>
      <c r="Q415" s="984" t="s">
        <v>531</v>
      </c>
      <c r="R415" s="985"/>
      <c r="S415" s="985"/>
      <c r="T415" s="986">
        <v>120</v>
      </c>
      <c r="U415" s="985" t="s">
        <v>150</v>
      </c>
      <c r="V415" s="990" t="str">
        <f t="shared" si="16"/>
        <v>Саморез сверлоконечный ТехноНИКОЛЬ 4,8х</v>
      </c>
      <c r="W415" s="957"/>
      <c r="X415" s="934"/>
      <c r="Y415" s="934"/>
      <c r="Z415" s="934"/>
      <c r="AA415" s="934"/>
      <c r="AB415" s="987"/>
      <c r="AC415" s="934"/>
      <c r="AD415" s="934"/>
      <c r="AE415" s="934"/>
      <c r="AF415" s="934"/>
      <c r="AG415" s="934"/>
      <c r="AH415" s="934"/>
      <c r="AI415" s="934"/>
      <c r="AJ415" s="934"/>
    </row>
    <row r="416" spans="2:36" ht="15" hidden="1" customHeight="1">
      <c r="B416" s="1437"/>
      <c r="C416" s="909" t="s">
        <v>780</v>
      </c>
      <c r="D416" s="732" t="s">
        <v>1424</v>
      </c>
      <c r="E416" s="733"/>
      <c r="F416" s="733"/>
      <c r="G416" s="733"/>
      <c r="H416" s="733"/>
      <c r="I416" s="734" t="s">
        <v>190</v>
      </c>
      <c r="J416" s="750">
        <v>0</v>
      </c>
      <c r="K416" s="977">
        <f>IFERROR(_xlfn.CEILING.MATH(J416,INDEX('СВОДНАЯ СПЕЦИФИКАЦИЯ'!$C$10:$C$408,MATCH(D416,'СВОДНАЯ СПЕЦИФИКАЦИЯ'!$D$10:$D$408,0))),"Введите кол-во")</f>
        <v>0</v>
      </c>
      <c r="L416" s="978">
        <f>INDEX('СВОДНАЯ СПЕЦИФИКАЦИЯ'!$H$10:$H$408,MATCH(D416,Таблица2[Наименование материала],0))</f>
        <v>0</v>
      </c>
      <c r="M416" s="979">
        <f t="shared" si="14"/>
        <v>0</v>
      </c>
      <c r="O416" s="934">
        <f t="shared" si="15"/>
        <v>0</v>
      </c>
      <c r="Q416" s="984" t="s">
        <v>531</v>
      </c>
      <c r="R416" s="985"/>
      <c r="S416" s="985"/>
      <c r="T416" s="986">
        <v>160</v>
      </c>
      <c r="U416" s="985" t="s">
        <v>150</v>
      </c>
      <c r="V416" s="990" t="str">
        <f t="shared" si="16"/>
        <v>Саморез сверлоконечный ТехноНИКОЛЬ 4,8х</v>
      </c>
      <c r="W416" s="957"/>
      <c r="X416" s="934"/>
      <c r="Y416" s="934"/>
      <c r="Z416" s="934"/>
      <c r="AA416" s="934"/>
      <c r="AB416" s="987"/>
      <c r="AC416" s="934"/>
      <c r="AD416" s="934"/>
      <c r="AE416" s="934"/>
      <c r="AF416" s="934"/>
      <c r="AG416" s="934"/>
      <c r="AH416" s="934"/>
      <c r="AI416" s="934"/>
      <c r="AJ416" s="934"/>
    </row>
    <row r="417" spans="1:36" ht="15" hidden="1" customHeight="1">
      <c r="B417" s="1437"/>
      <c r="C417" s="909" t="s">
        <v>781</v>
      </c>
      <c r="D417" s="732" t="s">
        <v>1425</v>
      </c>
      <c r="E417" s="733"/>
      <c r="F417" s="733"/>
      <c r="G417" s="733"/>
      <c r="H417" s="733"/>
      <c r="I417" s="734" t="s">
        <v>190</v>
      </c>
      <c r="J417" s="750">
        <v>0</v>
      </c>
      <c r="K417" s="977">
        <f>IFERROR(_xlfn.CEILING.MATH(J417,INDEX('СВОДНАЯ СПЕЦИФИКАЦИЯ'!$C$10:$C$408,MATCH(D417,'СВОДНАЯ СПЕЦИФИКАЦИЯ'!$D$10:$D$408,0))),"Введите кол-во")</f>
        <v>0</v>
      </c>
      <c r="L417" s="978">
        <f>INDEX('СВОДНАЯ СПЕЦИФИКАЦИЯ'!$H$10:$H$408,MATCH(D417,Таблица2[Наименование материала],0))</f>
        <v>0</v>
      </c>
      <c r="M417" s="979">
        <f t="shared" si="14"/>
        <v>0</v>
      </c>
      <c r="O417" s="934">
        <f t="shared" si="15"/>
        <v>0</v>
      </c>
      <c r="Q417" s="984" t="s">
        <v>531</v>
      </c>
      <c r="R417" s="985"/>
      <c r="S417" s="985"/>
      <c r="T417" s="986">
        <v>200</v>
      </c>
      <c r="U417" s="985" t="s">
        <v>150</v>
      </c>
      <c r="V417" s="990" t="str">
        <f t="shared" si="16"/>
        <v>Саморез сверлоконечный ТехноНИКОЛЬ 4,8х</v>
      </c>
      <c r="W417" s="957"/>
      <c r="X417" s="934"/>
      <c r="Y417" s="934"/>
      <c r="Z417" s="934"/>
      <c r="AA417" s="934"/>
      <c r="AB417" s="987"/>
      <c r="AC417" s="934"/>
      <c r="AD417" s="934"/>
      <c r="AE417" s="934"/>
      <c r="AF417" s="934"/>
      <c r="AG417" s="934"/>
      <c r="AH417" s="934"/>
      <c r="AI417" s="934"/>
      <c r="AJ417" s="934"/>
    </row>
    <row r="418" spans="1:36" ht="15" hidden="1" customHeight="1">
      <c r="B418" s="1437"/>
      <c r="C418" s="909" t="s">
        <v>296</v>
      </c>
      <c r="D418" s="732" t="s">
        <v>1412</v>
      </c>
      <c r="E418" s="733"/>
      <c r="F418" s="733"/>
      <c r="G418" s="733"/>
      <c r="H418" s="733"/>
      <c r="I418" s="734" t="s">
        <v>190</v>
      </c>
      <c r="J418" s="750">
        <v>0</v>
      </c>
      <c r="K418" s="977" t="str">
        <f>IFERROR(_xlfn.CEILING.MATH(J418,INDEX('СВОДНАЯ СПЕЦИФИКАЦИЯ'!$C$10:$C$408,MATCH(D418,'СВОДНАЯ СПЕЦИФИКАЦИЯ'!$D$10:$D$408,0))),"Введите кол-во")</f>
        <v>Введите кол-во</v>
      </c>
      <c r="L418" s="978">
        <f>INDEX('СВОДНАЯ СПЕЦИФИКАЦИЯ'!$H$10:$H$408,MATCH(D418,Таблица2[Наименование материала],0))</f>
        <v>0</v>
      </c>
      <c r="M418" s="979">
        <f t="shared" si="14"/>
        <v>0</v>
      </c>
      <c r="O418" s="934">
        <f t="shared" si="15"/>
        <v>0</v>
      </c>
      <c r="Q418" s="984" t="s">
        <v>531</v>
      </c>
      <c r="R418" s="985"/>
      <c r="S418" s="985"/>
      <c r="T418" s="986">
        <v>300</v>
      </c>
      <c r="U418" s="985" t="s">
        <v>150</v>
      </c>
      <c r="V418" s="988" t="s">
        <v>161</v>
      </c>
      <c r="W418" s="957"/>
      <c r="X418" s="934"/>
      <c r="Y418" s="934"/>
      <c r="Z418" s="934"/>
      <c r="AA418" s="934"/>
      <c r="AB418" s="987"/>
      <c r="AC418" s="934"/>
      <c r="AD418" s="934"/>
      <c r="AE418" s="934"/>
      <c r="AF418" s="934"/>
      <c r="AG418" s="934"/>
      <c r="AH418" s="934"/>
      <c r="AI418" s="934"/>
      <c r="AJ418" s="934"/>
    </row>
    <row r="419" spans="1:36" ht="15" hidden="1" customHeight="1">
      <c r="B419" s="1437"/>
      <c r="C419" s="911">
        <v>500464</v>
      </c>
      <c r="D419" s="732" t="s">
        <v>394</v>
      </c>
      <c r="E419" s="733"/>
      <c r="F419" s="733"/>
      <c r="G419" s="733"/>
      <c r="H419" s="733" t="s">
        <v>296</v>
      </c>
      <c r="I419" s="734" t="s">
        <v>112</v>
      </c>
      <c r="J419" s="736">
        <v>0</v>
      </c>
      <c r="K419" s="977">
        <f>IFERROR(_xlfn.CEILING.MATH(J419,INDEX('СВОДНАЯ СПЕЦИФИКАЦИЯ'!$C$10:$C$408,MATCH(D419,'СВОДНАЯ СПЕЦИФИКАЦИЯ'!$D$10:$D$408,0))),"Введите кол-во")</f>
        <v>0</v>
      </c>
      <c r="L419" s="978">
        <f>INDEX('СВОДНАЯ СПЕЦИФИКАЦИЯ'!$H$10:$H$408,MATCH(D419,Таблица2[Наименование материала],0))</f>
        <v>0</v>
      </c>
      <c r="M419" s="979">
        <f t="shared" si="14"/>
        <v>0</v>
      </c>
      <c r="O419" s="934">
        <f t="shared" si="15"/>
        <v>0</v>
      </c>
      <c r="Q419" s="957"/>
      <c r="R419" s="957"/>
      <c r="S419" s="957"/>
      <c r="T419" s="957"/>
      <c r="U419" s="957"/>
      <c r="V419" s="957"/>
      <c r="W419" s="957"/>
      <c r="X419" s="934"/>
      <c r="Y419" s="934"/>
      <c r="Z419" s="934"/>
      <c r="AA419" s="934"/>
      <c r="AB419" s="987"/>
      <c r="AC419" s="934"/>
      <c r="AD419" s="934"/>
      <c r="AE419" s="934"/>
      <c r="AF419" s="934"/>
      <c r="AG419" s="934"/>
      <c r="AH419" s="934"/>
      <c r="AI419" s="934"/>
      <c r="AJ419" s="934"/>
    </row>
    <row r="420" spans="1:36" ht="15" hidden="1" customHeight="1">
      <c r="B420" s="1437"/>
      <c r="C420" s="909" t="s">
        <v>1069</v>
      </c>
      <c r="D420" s="732" t="s">
        <v>395</v>
      </c>
      <c r="E420" s="733"/>
      <c r="F420" s="733"/>
      <c r="G420" s="733"/>
      <c r="H420" s="733" t="s">
        <v>296</v>
      </c>
      <c r="I420" s="734" t="s">
        <v>112</v>
      </c>
      <c r="J420" s="736">
        <v>0</v>
      </c>
      <c r="K420" s="977">
        <f>IFERROR(_xlfn.CEILING.MATH(J420,INDEX('СВОДНАЯ СПЕЦИФИКАЦИЯ'!$C$10:$C$408,MATCH(D420,'СВОДНАЯ СПЕЦИФИКАЦИЯ'!$D$10:$D$408,0))),"Введите кол-во")</f>
        <v>0</v>
      </c>
      <c r="L420" s="978">
        <f>INDEX('СВОДНАЯ СПЕЦИФИКАЦИЯ'!$H$10:$H$408,MATCH(D420,Таблица2[Наименование материала],0))</f>
        <v>0</v>
      </c>
      <c r="M420" s="979">
        <f t="shared" ref="M420:M483" si="17">IFERROR(K420*L420,0)</f>
        <v>0</v>
      </c>
      <c r="O420" s="934">
        <f t="shared" si="15"/>
        <v>0</v>
      </c>
      <c r="Q420" s="957"/>
      <c r="R420" s="957"/>
      <c r="S420" s="957"/>
      <c r="T420" s="957"/>
      <c r="U420" s="957"/>
      <c r="V420" s="957"/>
      <c r="W420" s="957"/>
      <c r="X420" s="934"/>
      <c r="Y420" s="934"/>
      <c r="Z420" s="934"/>
      <c r="AA420" s="934"/>
      <c r="AB420" s="987"/>
      <c r="AC420" s="934"/>
      <c r="AD420" s="934"/>
      <c r="AE420" s="934"/>
      <c r="AF420" s="934"/>
      <c r="AG420" s="934"/>
      <c r="AH420" s="934"/>
      <c r="AI420" s="934"/>
      <c r="AJ420" s="934"/>
    </row>
    <row r="421" spans="1:36" ht="15" hidden="1" customHeight="1">
      <c r="B421" s="1437"/>
      <c r="C421" s="909" t="s">
        <v>1071</v>
      </c>
      <c r="D421" s="732" t="s">
        <v>396</v>
      </c>
      <c r="E421" s="733"/>
      <c r="F421" s="733"/>
      <c r="G421" s="733"/>
      <c r="H421" s="733" t="s">
        <v>296</v>
      </c>
      <c r="I421" s="734" t="s">
        <v>112</v>
      </c>
      <c r="J421" s="736">
        <v>0</v>
      </c>
      <c r="K421" s="977">
        <f>IFERROR(_xlfn.CEILING.MATH(J421,INDEX('СВОДНАЯ СПЕЦИФИКАЦИЯ'!$C$10:$C$408,MATCH(D421,'СВОДНАЯ СПЕЦИФИКАЦИЯ'!$D$10:$D$408,0))),"Введите кол-во")</f>
        <v>0</v>
      </c>
      <c r="L421" s="978">
        <f>INDEX('СВОДНАЯ СПЕЦИФИКАЦИЯ'!$H$10:$H$408,MATCH(D421,Таблица2[Наименование материала],0))</f>
        <v>0</v>
      </c>
      <c r="M421" s="979">
        <f t="shared" si="17"/>
        <v>0</v>
      </c>
      <c r="O421" s="934">
        <f t="shared" si="15"/>
        <v>0</v>
      </c>
      <c r="Q421" s="957"/>
      <c r="R421" s="957"/>
      <c r="S421" s="957"/>
      <c r="T421" s="957"/>
      <c r="U421" s="957"/>
      <c r="V421" s="957"/>
      <c r="W421" s="957"/>
      <c r="X421" s="934"/>
      <c r="Y421" s="934"/>
      <c r="Z421" s="934"/>
      <c r="AA421" s="934"/>
      <c r="AB421" s="987"/>
      <c r="AC421" s="934"/>
      <c r="AD421" s="934"/>
      <c r="AE421" s="934"/>
      <c r="AF421" s="934"/>
      <c r="AG421" s="934"/>
      <c r="AH421" s="934"/>
      <c r="AI421" s="934"/>
      <c r="AJ421" s="934"/>
    </row>
    <row r="422" spans="1:36" ht="15" hidden="1" customHeight="1">
      <c r="B422" s="1437"/>
      <c r="C422" s="909" t="s">
        <v>1053</v>
      </c>
      <c r="D422" s="732" t="s">
        <v>405</v>
      </c>
      <c r="E422" s="733"/>
      <c r="F422" s="733"/>
      <c r="G422" s="733"/>
      <c r="H422" s="733" t="s">
        <v>296</v>
      </c>
      <c r="I422" s="734" t="s">
        <v>112</v>
      </c>
      <c r="J422" s="736">
        <v>0</v>
      </c>
      <c r="K422" s="977">
        <f>IFERROR(_xlfn.CEILING.MATH(J422,INDEX('СВОДНАЯ СПЕЦИФИКАЦИЯ'!$C$10:$C$408,MATCH(D422,'СВОДНАЯ СПЕЦИФИКАЦИЯ'!$D$10:$D$408,0))),"Введите кол-во")</f>
        <v>0</v>
      </c>
      <c r="L422" s="978">
        <f>INDEX('СВОДНАЯ СПЕЦИФИКАЦИЯ'!$H$10:$H$408,MATCH(D422,Таблица2[Наименование материала],0))</f>
        <v>0</v>
      </c>
      <c r="M422" s="979">
        <f t="shared" si="17"/>
        <v>0</v>
      </c>
      <c r="O422" s="934">
        <f t="shared" si="15"/>
        <v>0</v>
      </c>
      <c r="Q422" s="957"/>
      <c r="R422" s="957"/>
      <c r="S422" s="957"/>
      <c r="T422" s="957"/>
      <c r="U422" s="957"/>
      <c r="V422" s="957"/>
      <c r="W422" s="957"/>
      <c r="X422" s="934"/>
      <c r="Y422" s="934"/>
      <c r="Z422" s="934"/>
      <c r="AA422" s="934"/>
      <c r="AB422" s="987"/>
      <c r="AC422" s="934"/>
      <c r="AD422" s="934"/>
      <c r="AE422" s="934"/>
      <c r="AF422" s="934"/>
      <c r="AG422" s="934"/>
      <c r="AH422" s="934"/>
      <c r="AI422" s="934"/>
      <c r="AJ422" s="934"/>
    </row>
    <row r="423" spans="1:36" ht="15" hidden="1" customHeight="1">
      <c r="A423" s="994"/>
      <c r="B423" s="1437"/>
      <c r="C423" s="909" t="s">
        <v>296</v>
      </c>
      <c r="D423" s="732" t="s">
        <v>397</v>
      </c>
      <c r="E423" s="733"/>
      <c r="F423" s="733"/>
      <c r="G423" s="733"/>
      <c r="H423" s="733" t="s">
        <v>296</v>
      </c>
      <c r="I423" s="734" t="s">
        <v>112</v>
      </c>
      <c r="J423" s="736">
        <v>0</v>
      </c>
      <c r="K423" s="977" t="str">
        <f>IFERROR(_xlfn.CEILING.MATH(J423,INDEX('СВОДНАЯ СПЕЦИФИКАЦИЯ'!$C$10:$C$408,MATCH(D423,'СВОДНАЯ СПЕЦИФИКАЦИЯ'!$D$10:$D$408,0))),"Введите кол-во")</f>
        <v>Введите кол-во</v>
      </c>
      <c r="L423" s="978">
        <f>INDEX('СВОДНАЯ СПЕЦИФИКАЦИЯ'!$H$10:$H$408,MATCH(D423,Таблица2[Наименование материала],0))</f>
        <v>0</v>
      </c>
      <c r="M423" s="979">
        <f t="shared" si="17"/>
        <v>0</v>
      </c>
      <c r="O423" s="934">
        <f t="shared" si="15"/>
        <v>0</v>
      </c>
      <c r="Q423" s="957"/>
      <c r="R423" s="957"/>
      <c r="S423" s="957"/>
      <c r="T423" s="957"/>
      <c r="U423" s="957"/>
      <c r="V423" s="957"/>
      <c r="W423" s="957"/>
      <c r="X423" s="934"/>
      <c r="Y423" s="934"/>
      <c r="Z423" s="934"/>
      <c r="AA423" s="934"/>
      <c r="AB423" s="987"/>
      <c r="AC423" s="934"/>
      <c r="AD423" s="934"/>
      <c r="AE423" s="934"/>
      <c r="AF423" s="934"/>
      <c r="AG423" s="934"/>
      <c r="AH423" s="934"/>
      <c r="AI423" s="934"/>
      <c r="AJ423" s="934"/>
    </row>
    <row r="424" spans="1:36" ht="15" hidden="1" customHeight="1">
      <c r="B424" s="1437"/>
      <c r="C424" s="909" t="s">
        <v>1072</v>
      </c>
      <c r="D424" s="732" t="s">
        <v>398</v>
      </c>
      <c r="E424" s="733"/>
      <c r="F424" s="733"/>
      <c r="G424" s="733"/>
      <c r="H424" s="733" t="s">
        <v>296</v>
      </c>
      <c r="I424" s="734" t="s">
        <v>112</v>
      </c>
      <c r="J424" s="736">
        <v>0</v>
      </c>
      <c r="K424" s="977">
        <f>IFERROR(_xlfn.CEILING.MATH(J424,INDEX('СВОДНАЯ СПЕЦИФИКАЦИЯ'!$C$10:$C$408,MATCH(D424,'СВОДНАЯ СПЕЦИФИКАЦИЯ'!$D$10:$D$408,0))),"Введите кол-во")</f>
        <v>0</v>
      </c>
      <c r="L424" s="978">
        <f>INDEX('СВОДНАЯ СПЕЦИФИКАЦИЯ'!$H$10:$H$408,MATCH(D424,Таблица2[Наименование материала],0))</f>
        <v>0</v>
      </c>
      <c r="M424" s="979">
        <f t="shared" si="17"/>
        <v>0</v>
      </c>
      <c r="O424" s="934">
        <f t="shared" si="15"/>
        <v>0</v>
      </c>
      <c r="Q424" s="957"/>
      <c r="R424" s="957"/>
      <c r="S424" s="957"/>
      <c r="T424" s="957"/>
      <c r="U424" s="957"/>
      <c r="V424" s="957"/>
      <c r="W424" s="957"/>
      <c r="X424" s="934"/>
      <c r="Y424" s="934"/>
      <c r="Z424" s="934"/>
      <c r="AA424" s="934"/>
      <c r="AB424" s="987"/>
      <c r="AC424" s="934"/>
      <c r="AD424" s="934"/>
      <c r="AE424" s="934"/>
      <c r="AF424" s="934"/>
      <c r="AG424" s="934"/>
      <c r="AH424" s="934"/>
      <c r="AI424" s="934"/>
      <c r="AJ424" s="934"/>
    </row>
    <row r="425" spans="1:36" ht="15" hidden="1" customHeight="1">
      <c r="A425" s="994"/>
      <c r="B425" s="1437"/>
      <c r="C425" s="909" t="s">
        <v>296</v>
      </c>
      <c r="D425" s="732" t="s">
        <v>399</v>
      </c>
      <c r="E425" s="733"/>
      <c r="F425" s="733"/>
      <c r="G425" s="733"/>
      <c r="H425" s="733" t="s">
        <v>296</v>
      </c>
      <c r="I425" s="734" t="s">
        <v>112</v>
      </c>
      <c r="J425" s="736">
        <v>0</v>
      </c>
      <c r="K425" s="977" t="str">
        <f>IFERROR(_xlfn.CEILING.MATH(J425,INDEX('СВОДНАЯ СПЕЦИФИКАЦИЯ'!$C$10:$C$408,MATCH(D425,'СВОДНАЯ СПЕЦИФИКАЦИЯ'!$D$10:$D$408,0))),"Введите кол-во")</f>
        <v>Введите кол-во</v>
      </c>
      <c r="L425" s="978">
        <f>INDEX('СВОДНАЯ СПЕЦИФИКАЦИЯ'!$H$10:$H$408,MATCH(D425,Таблица2[Наименование материала],0))</f>
        <v>0</v>
      </c>
      <c r="M425" s="979">
        <f t="shared" si="17"/>
        <v>0</v>
      </c>
      <c r="O425" s="934">
        <f t="shared" si="15"/>
        <v>0</v>
      </c>
      <c r="Q425" s="957"/>
      <c r="R425" s="957"/>
      <c r="S425" s="957"/>
      <c r="T425" s="957"/>
      <c r="U425" s="957"/>
      <c r="V425" s="957"/>
      <c r="W425" s="957"/>
      <c r="X425" s="934"/>
      <c r="Y425" s="934"/>
      <c r="Z425" s="934"/>
      <c r="AA425" s="934"/>
      <c r="AB425" s="987"/>
      <c r="AC425" s="934"/>
      <c r="AD425" s="934"/>
      <c r="AE425" s="934"/>
      <c r="AF425" s="934"/>
      <c r="AG425" s="934"/>
      <c r="AH425" s="934"/>
      <c r="AI425" s="934"/>
      <c r="AJ425" s="934"/>
    </row>
    <row r="426" spans="1:36" ht="15" hidden="1" customHeight="1">
      <c r="A426" s="994"/>
      <c r="B426" s="1437"/>
      <c r="C426" s="909" t="s">
        <v>296</v>
      </c>
      <c r="D426" s="732" t="s">
        <v>400</v>
      </c>
      <c r="E426" s="733"/>
      <c r="F426" s="733"/>
      <c r="G426" s="733"/>
      <c r="H426" s="733" t="s">
        <v>296</v>
      </c>
      <c r="I426" s="734" t="s">
        <v>112</v>
      </c>
      <c r="J426" s="736">
        <v>0</v>
      </c>
      <c r="K426" s="977" t="str">
        <f>IFERROR(_xlfn.CEILING.MATH(J426,INDEX('СВОДНАЯ СПЕЦИФИКАЦИЯ'!$C$10:$C$408,MATCH(D426,'СВОДНАЯ СПЕЦИФИКАЦИЯ'!$D$10:$D$408,0))),"Введите кол-во")</f>
        <v>Введите кол-во</v>
      </c>
      <c r="L426" s="978">
        <f>INDEX('СВОДНАЯ СПЕЦИФИКАЦИЯ'!$H$10:$H$408,MATCH(D426,Таблица2[Наименование материала],0))</f>
        <v>0</v>
      </c>
      <c r="M426" s="979">
        <f t="shared" si="17"/>
        <v>0</v>
      </c>
      <c r="O426" s="934">
        <f t="shared" si="15"/>
        <v>0</v>
      </c>
      <c r="Q426" s="957"/>
      <c r="R426" s="957"/>
      <c r="S426" s="957"/>
      <c r="T426" s="957"/>
      <c r="U426" s="957"/>
      <c r="V426" s="957"/>
      <c r="W426" s="957"/>
      <c r="X426" s="934"/>
      <c r="Y426" s="934"/>
      <c r="Z426" s="934"/>
      <c r="AA426" s="934"/>
      <c r="AB426" s="987"/>
      <c r="AC426" s="934"/>
      <c r="AD426" s="934"/>
      <c r="AE426" s="934"/>
      <c r="AF426" s="934"/>
      <c r="AG426" s="934"/>
      <c r="AH426" s="934"/>
      <c r="AI426" s="934"/>
      <c r="AJ426" s="934"/>
    </row>
    <row r="427" spans="1:36" ht="15" hidden="1" customHeight="1">
      <c r="A427" s="994"/>
      <c r="B427" s="1437"/>
      <c r="C427" s="911" t="s">
        <v>296</v>
      </c>
      <c r="D427" s="732" t="s">
        <v>336</v>
      </c>
      <c r="E427" s="733"/>
      <c r="F427" s="733"/>
      <c r="G427" s="733"/>
      <c r="H427" s="733"/>
      <c r="I427" s="734" t="s">
        <v>264</v>
      </c>
      <c r="J427" s="736">
        <v>0</v>
      </c>
      <c r="K427" s="977">
        <f>IFERROR(_xlfn.CEILING.MATH(J427,INDEX('СВОДНАЯ СПЕЦИФИКАЦИЯ'!$C$10:$C$408,MATCH(D427,'СВОДНАЯ СПЕЦИФИКАЦИЯ'!$D$10:$D$408,0))),"Введите кол-во")</f>
        <v>0</v>
      </c>
      <c r="L427" s="978">
        <f>INDEX('СВОДНАЯ СПЕЦИФИКАЦИЯ'!$H$10:$H$408,MATCH(D427,Таблица2[Наименование материала],0))</f>
        <v>0</v>
      </c>
      <c r="M427" s="979">
        <f t="shared" si="17"/>
        <v>0</v>
      </c>
      <c r="O427" s="934">
        <f t="shared" si="15"/>
        <v>0</v>
      </c>
      <c r="Q427" s="957"/>
      <c r="R427" s="957"/>
      <c r="S427" s="957"/>
      <c r="T427" s="957"/>
      <c r="U427" s="957"/>
      <c r="V427" s="957"/>
      <c r="W427" s="957"/>
      <c r="X427" s="934"/>
      <c r="Y427" s="934"/>
      <c r="Z427" s="934"/>
      <c r="AA427" s="934"/>
      <c r="AB427" s="987"/>
      <c r="AC427" s="934"/>
      <c r="AD427" s="934"/>
      <c r="AE427" s="934"/>
      <c r="AF427" s="934"/>
      <c r="AG427" s="934"/>
      <c r="AH427" s="934"/>
      <c r="AI427" s="934"/>
      <c r="AJ427" s="934"/>
    </row>
    <row r="428" spans="1:36" ht="15" customHeight="1">
      <c r="B428" s="1437"/>
      <c r="C428" s="909" t="s">
        <v>977</v>
      </c>
      <c r="D428" s="732" t="s">
        <v>936</v>
      </c>
      <c r="E428" s="733"/>
      <c r="F428" s="733"/>
      <c r="G428" s="733"/>
      <c r="H428" s="733"/>
      <c r="I428" s="739" t="s">
        <v>151</v>
      </c>
      <c r="J428" s="750">
        <v>57</v>
      </c>
      <c r="K428" s="977">
        <f>IFERROR(_xlfn.CEILING.MATH(J428,INDEX('СВОДНАЯ СПЕЦИФИКАЦИЯ'!$C$10:$C$408,MATCH(D428,'СВОДНАЯ СПЕЦИФИКАЦИЯ'!$D$10:$D$408,0))),"Введите кол-во")</f>
        <v>60</v>
      </c>
      <c r="L428" s="978">
        <f>INDEX('СВОДНАЯ СПЕЦИФИКАЦИЯ'!$H$10:$H$408,MATCH(D428,Таблица2[Наименование материала],0))</f>
        <v>0</v>
      </c>
      <c r="M428" s="979">
        <f t="shared" si="17"/>
        <v>0</v>
      </c>
      <c r="O428" s="934">
        <f t="shared" si="15"/>
        <v>1</v>
      </c>
      <c r="Q428" s="957"/>
      <c r="R428" s="957"/>
      <c r="S428" s="957"/>
      <c r="T428" s="957"/>
      <c r="U428" s="957"/>
      <c r="V428" s="957"/>
      <c r="W428" s="957"/>
      <c r="X428" s="934"/>
      <c r="Y428" s="934"/>
      <c r="Z428" s="934"/>
      <c r="AA428" s="934"/>
      <c r="AB428" s="987"/>
      <c r="AC428" s="934"/>
      <c r="AD428" s="934"/>
      <c r="AE428" s="934"/>
      <c r="AF428" s="934"/>
      <c r="AG428" s="934"/>
      <c r="AH428" s="934"/>
      <c r="AI428" s="934"/>
      <c r="AJ428" s="934"/>
    </row>
    <row r="429" spans="1:36" ht="15" hidden="1" customHeight="1">
      <c r="A429" s="940"/>
      <c r="B429" s="1437"/>
      <c r="C429" s="909" t="s">
        <v>1102</v>
      </c>
      <c r="D429" s="732" t="s">
        <v>249</v>
      </c>
      <c r="E429" s="733"/>
      <c r="F429" s="733"/>
      <c r="G429" s="733"/>
      <c r="H429" s="733"/>
      <c r="I429" s="739" t="s">
        <v>151</v>
      </c>
      <c r="J429" s="750">
        <v>0</v>
      </c>
      <c r="K429" s="977">
        <f>IFERROR(_xlfn.CEILING.MATH(J429,INDEX('СВОДНАЯ СПЕЦИФИКАЦИЯ'!$C$10:$C$408,MATCH(D429,'СВОДНАЯ СПЕЦИФИКАЦИЯ'!$D$10:$D$408,0))),"Введите кол-во")</f>
        <v>0</v>
      </c>
      <c r="L429" s="978">
        <f>INDEX('СВОДНАЯ СПЕЦИФИКАЦИЯ'!$H$10:$H$408,MATCH(D429,Таблица2[Наименование материала],0))</f>
        <v>0</v>
      </c>
      <c r="M429" s="979">
        <f t="shared" si="17"/>
        <v>0</v>
      </c>
      <c r="O429" s="934">
        <f t="shared" si="15"/>
        <v>0</v>
      </c>
      <c r="Q429" s="957"/>
      <c r="R429" s="957"/>
      <c r="S429" s="957"/>
      <c r="T429" s="957"/>
      <c r="U429" s="957"/>
      <c r="V429" s="957"/>
      <c r="W429" s="957"/>
      <c r="X429" s="934"/>
      <c r="Y429" s="934"/>
      <c r="Z429" s="934"/>
      <c r="AA429" s="934"/>
      <c r="AB429" s="987"/>
      <c r="AC429" s="934"/>
      <c r="AD429" s="934"/>
      <c r="AE429" s="934"/>
      <c r="AF429" s="934"/>
      <c r="AG429" s="934"/>
      <c r="AH429" s="934"/>
      <c r="AI429" s="934"/>
      <c r="AJ429" s="934"/>
    </row>
    <row r="430" spans="1:36" ht="15" hidden="1" customHeight="1">
      <c r="A430" s="994"/>
      <c r="B430" s="1437"/>
      <c r="C430" s="909" t="s">
        <v>296</v>
      </c>
      <c r="D430" s="732" t="s">
        <v>401</v>
      </c>
      <c r="E430" s="733"/>
      <c r="F430" s="733"/>
      <c r="G430" s="733"/>
      <c r="H430" s="733"/>
      <c r="I430" s="734" t="s">
        <v>112</v>
      </c>
      <c r="J430" s="736">
        <v>0</v>
      </c>
      <c r="K430" s="977" t="str">
        <f>IFERROR(_xlfn.CEILING.MATH(J430,INDEX('СВОДНАЯ СПЕЦИФИКАЦИЯ'!$C$10:$C$408,MATCH(D430,'СВОДНАЯ СПЕЦИФИКАЦИЯ'!$D$10:$D$408,0))),"Введите кол-во")</f>
        <v>Введите кол-во</v>
      </c>
      <c r="L430" s="978">
        <f>INDEX('СВОДНАЯ СПЕЦИФИКАЦИЯ'!$H$10:$H$408,MATCH(D430,Таблица2[Наименование материала],0))</f>
        <v>0</v>
      </c>
      <c r="M430" s="979">
        <f t="shared" si="17"/>
        <v>0</v>
      </c>
      <c r="O430" s="934">
        <f t="shared" si="15"/>
        <v>0</v>
      </c>
      <c r="Q430" s="957"/>
      <c r="R430" s="957"/>
      <c r="S430" s="957"/>
      <c r="T430" s="957"/>
      <c r="U430" s="957"/>
      <c r="V430" s="957"/>
      <c r="W430" s="957"/>
      <c r="X430" s="934"/>
      <c r="Y430" s="934"/>
      <c r="Z430" s="934"/>
      <c r="AA430" s="934"/>
      <c r="AB430" s="987"/>
      <c r="AC430" s="934"/>
      <c r="AD430" s="934"/>
      <c r="AE430" s="934"/>
      <c r="AF430" s="934"/>
      <c r="AG430" s="934"/>
      <c r="AH430" s="934"/>
      <c r="AI430" s="934"/>
      <c r="AJ430" s="934"/>
    </row>
    <row r="431" spans="1:36" ht="15" hidden="1" customHeight="1">
      <c r="A431" s="994"/>
      <c r="B431" s="1437"/>
      <c r="C431" s="909" t="s">
        <v>296</v>
      </c>
      <c r="D431" s="732" t="s">
        <v>402</v>
      </c>
      <c r="E431" s="733"/>
      <c r="F431" s="733"/>
      <c r="G431" s="733"/>
      <c r="H431" s="733"/>
      <c r="I431" s="734" t="s">
        <v>112</v>
      </c>
      <c r="J431" s="736">
        <v>0</v>
      </c>
      <c r="K431" s="977" t="str">
        <f>IFERROR(_xlfn.CEILING.MATH(J431,INDEX('СВОДНАЯ СПЕЦИФИКАЦИЯ'!$C$10:$C$408,MATCH(D431,'СВОДНАЯ СПЕЦИФИКАЦИЯ'!$D$10:$D$408,0))),"Введите кол-во")</f>
        <v>Введите кол-во</v>
      </c>
      <c r="L431" s="978">
        <f>INDEX('СВОДНАЯ СПЕЦИФИКАЦИЯ'!$H$10:$H$408,MATCH(D431,Таблица2[Наименование материала],0))</f>
        <v>0</v>
      </c>
      <c r="M431" s="979">
        <f t="shared" si="17"/>
        <v>0</v>
      </c>
      <c r="O431" s="934">
        <f t="shared" si="15"/>
        <v>0</v>
      </c>
      <c r="Q431" s="957"/>
      <c r="R431" s="957"/>
      <c r="S431" s="957"/>
      <c r="T431" s="957"/>
      <c r="U431" s="957"/>
      <c r="V431" s="957"/>
      <c r="W431" s="957"/>
      <c r="X431" s="934"/>
      <c r="Y431" s="934"/>
      <c r="Z431" s="934"/>
      <c r="AA431" s="934"/>
      <c r="AB431" s="987"/>
      <c r="AC431" s="934"/>
      <c r="AD431" s="934"/>
      <c r="AE431" s="934"/>
      <c r="AF431" s="934"/>
      <c r="AG431" s="934"/>
      <c r="AH431" s="934"/>
      <c r="AI431" s="934"/>
      <c r="AJ431" s="934"/>
    </row>
    <row r="432" spans="1:36" ht="15" hidden="1" customHeight="1">
      <c r="A432" s="994"/>
      <c r="B432" s="1437"/>
      <c r="C432" s="909" t="s">
        <v>296</v>
      </c>
      <c r="D432" s="732" t="s">
        <v>403</v>
      </c>
      <c r="E432" s="733"/>
      <c r="F432" s="733"/>
      <c r="G432" s="733"/>
      <c r="H432" s="733"/>
      <c r="I432" s="734" t="s">
        <v>112</v>
      </c>
      <c r="J432" s="736">
        <v>0</v>
      </c>
      <c r="K432" s="977" t="str">
        <f>IFERROR(_xlfn.CEILING.MATH(J432,INDEX('СВОДНАЯ СПЕЦИФИКАЦИЯ'!$C$10:$C$408,MATCH(D432,'СВОДНАЯ СПЕЦИФИКАЦИЯ'!$D$10:$D$408,0))),"Введите кол-во")</f>
        <v>Введите кол-во</v>
      </c>
      <c r="L432" s="978">
        <f>INDEX('СВОДНАЯ СПЕЦИФИКАЦИЯ'!$H$10:$H$408,MATCH(D432,Таблица2[Наименование материала],0))</f>
        <v>0</v>
      </c>
      <c r="M432" s="979">
        <f t="shared" si="17"/>
        <v>0</v>
      </c>
      <c r="O432" s="934">
        <f t="shared" si="15"/>
        <v>0</v>
      </c>
      <c r="Q432" s="957"/>
      <c r="R432" s="957"/>
      <c r="S432" s="957"/>
      <c r="T432" s="957"/>
      <c r="U432" s="957"/>
      <c r="V432" s="957"/>
      <c r="W432" s="957"/>
      <c r="X432" s="934"/>
      <c r="Y432" s="934"/>
      <c r="Z432" s="934"/>
      <c r="AA432" s="934"/>
      <c r="AB432" s="987"/>
      <c r="AC432" s="934"/>
      <c r="AD432" s="934"/>
      <c r="AE432" s="934"/>
      <c r="AF432" s="934"/>
      <c r="AG432" s="934"/>
      <c r="AH432" s="934"/>
      <c r="AI432" s="934"/>
      <c r="AJ432" s="934"/>
    </row>
    <row r="433" spans="1:36" ht="15" hidden="1" customHeight="1">
      <c r="A433" s="994"/>
      <c r="B433" s="1437"/>
      <c r="C433" s="909" t="s">
        <v>296</v>
      </c>
      <c r="D433" s="732" t="s">
        <v>404</v>
      </c>
      <c r="E433" s="733"/>
      <c r="F433" s="733"/>
      <c r="G433" s="733"/>
      <c r="H433" s="733"/>
      <c r="I433" s="734" t="s">
        <v>112</v>
      </c>
      <c r="J433" s="736">
        <v>0</v>
      </c>
      <c r="K433" s="977" t="str">
        <f>IFERROR(_xlfn.CEILING.MATH(J433,INDEX('СВОДНАЯ СПЕЦИФИКАЦИЯ'!$C$10:$C$408,MATCH(D433,'СВОДНАЯ СПЕЦИФИКАЦИЯ'!$D$10:$D$408,0))),"Введите кол-во")</f>
        <v>Введите кол-во</v>
      </c>
      <c r="L433" s="978">
        <f>INDEX('СВОДНАЯ СПЕЦИФИКАЦИЯ'!$H$10:$H$408,MATCH(D433,Таблица2[Наименование материала],0))</f>
        <v>0</v>
      </c>
      <c r="M433" s="979">
        <f t="shared" si="17"/>
        <v>0</v>
      </c>
      <c r="O433" s="934">
        <f t="shared" ref="O433:O506" si="18">IF(J433=0,0,1)</f>
        <v>0</v>
      </c>
      <c r="Q433" s="957"/>
      <c r="R433" s="957"/>
      <c r="S433" s="957"/>
      <c r="T433" s="957"/>
      <c r="U433" s="957"/>
      <c r="V433" s="957"/>
      <c r="W433" s="957"/>
      <c r="X433" s="934"/>
      <c r="Y433" s="934"/>
      <c r="Z433" s="934"/>
      <c r="AA433" s="934"/>
      <c r="AB433" s="987"/>
      <c r="AC433" s="934"/>
      <c r="AD433" s="934"/>
      <c r="AE433" s="934"/>
      <c r="AF433" s="934"/>
      <c r="AG433" s="934"/>
      <c r="AH433" s="934"/>
      <c r="AI433" s="934"/>
      <c r="AJ433" s="934"/>
    </row>
    <row r="434" spans="1:36" ht="15" hidden="1" customHeight="1">
      <c r="B434" s="1437"/>
      <c r="C434" s="909" t="s">
        <v>1051</v>
      </c>
      <c r="D434" s="732" t="s">
        <v>406</v>
      </c>
      <c r="E434" s="733"/>
      <c r="F434" s="733"/>
      <c r="G434" s="733"/>
      <c r="H434" s="733"/>
      <c r="I434" s="734" t="s">
        <v>112</v>
      </c>
      <c r="J434" s="736">
        <v>0</v>
      </c>
      <c r="K434" s="977">
        <f>IFERROR(_xlfn.CEILING.MATH(J434,INDEX('СВОДНАЯ СПЕЦИФИКАЦИЯ'!$C$10:$C$408,MATCH(D434,'СВОДНАЯ СПЕЦИФИКАЦИЯ'!$D$10:$D$408,0))),"Введите кол-во")</f>
        <v>0</v>
      </c>
      <c r="L434" s="978">
        <f>INDEX('СВОДНАЯ СПЕЦИФИКАЦИЯ'!$H$10:$H$408,MATCH(D434,Таблица2[Наименование материала],0))</f>
        <v>0</v>
      </c>
      <c r="M434" s="979">
        <f t="shared" si="17"/>
        <v>0</v>
      </c>
      <c r="O434" s="934">
        <f t="shared" si="18"/>
        <v>0</v>
      </c>
      <c r="Q434" s="957"/>
      <c r="R434" s="957"/>
      <c r="S434" s="957"/>
      <c r="T434" s="957"/>
      <c r="U434" s="957"/>
      <c r="V434" s="957"/>
      <c r="W434" s="957"/>
      <c r="X434" s="934"/>
      <c r="Y434" s="934"/>
      <c r="Z434" s="934"/>
      <c r="AA434" s="934"/>
      <c r="AB434" s="987"/>
      <c r="AC434" s="934"/>
      <c r="AD434" s="934"/>
      <c r="AE434" s="934"/>
      <c r="AF434" s="934"/>
      <c r="AG434" s="934"/>
      <c r="AH434" s="934"/>
      <c r="AI434" s="934"/>
      <c r="AJ434" s="934"/>
    </row>
    <row r="435" spans="1:36" ht="15" hidden="1" customHeight="1">
      <c r="B435" s="1437"/>
      <c r="C435" s="909" t="s">
        <v>1052</v>
      </c>
      <c r="D435" s="732" t="s">
        <v>407</v>
      </c>
      <c r="E435" s="733"/>
      <c r="F435" s="733"/>
      <c r="G435" s="733"/>
      <c r="H435" s="733"/>
      <c r="I435" s="734" t="s">
        <v>112</v>
      </c>
      <c r="J435" s="736">
        <v>0</v>
      </c>
      <c r="K435" s="977">
        <f>IFERROR(_xlfn.CEILING.MATH(J435,INDEX('СВОДНАЯ СПЕЦИФИКАЦИЯ'!$C$10:$C$408,MATCH(D435,'СВОДНАЯ СПЕЦИФИКАЦИЯ'!$D$10:$D$408,0))),"Введите кол-во")</f>
        <v>0</v>
      </c>
      <c r="L435" s="978">
        <f>INDEX('СВОДНАЯ СПЕЦИФИКАЦИЯ'!$H$10:$H$408,MATCH(D435,Таблица2[Наименование материала],0))</f>
        <v>0</v>
      </c>
      <c r="M435" s="979">
        <f t="shared" si="17"/>
        <v>0</v>
      </c>
      <c r="O435" s="934">
        <f t="shared" si="18"/>
        <v>0</v>
      </c>
      <c r="Q435" s="957"/>
      <c r="R435" s="957"/>
      <c r="S435" s="957"/>
      <c r="T435" s="957"/>
      <c r="U435" s="957"/>
      <c r="V435" s="957"/>
      <c r="W435" s="957"/>
      <c r="X435" s="934"/>
      <c r="Y435" s="934"/>
      <c r="Z435" s="934"/>
      <c r="AA435" s="934"/>
      <c r="AB435" s="987"/>
      <c r="AC435" s="934"/>
      <c r="AD435" s="934"/>
      <c r="AE435" s="934"/>
      <c r="AF435" s="934"/>
      <c r="AG435" s="934"/>
      <c r="AH435" s="934"/>
      <c r="AI435" s="934"/>
      <c r="AJ435" s="934"/>
    </row>
    <row r="436" spans="1:36" ht="15" hidden="1" customHeight="1">
      <c r="B436" s="1437"/>
      <c r="C436" s="909" t="s">
        <v>1095</v>
      </c>
      <c r="D436" s="732" t="s">
        <v>350</v>
      </c>
      <c r="E436" s="733"/>
      <c r="F436" s="733"/>
      <c r="G436" s="733"/>
      <c r="H436" s="733"/>
      <c r="I436" s="734" t="s">
        <v>112</v>
      </c>
      <c r="J436" s="736">
        <v>0</v>
      </c>
      <c r="K436" s="977">
        <f>IFERROR(_xlfn.CEILING.MATH(J436,INDEX('СВОДНАЯ СПЕЦИФИКАЦИЯ'!$C$10:$C$408,MATCH(D436,'СВОДНАЯ СПЕЦИФИКАЦИЯ'!$D$10:$D$408,0))),"Введите кол-во")</f>
        <v>0</v>
      </c>
      <c r="L436" s="978">
        <f>INDEX('СВОДНАЯ СПЕЦИФИКАЦИЯ'!$H$10:$H$408,MATCH(D436,Таблица2[Наименование материала],0))</f>
        <v>0</v>
      </c>
      <c r="M436" s="979">
        <f t="shared" si="17"/>
        <v>0</v>
      </c>
      <c r="O436" s="934">
        <f t="shared" si="18"/>
        <v>0</v>
      </c>
      <c r="Q436" s="957"/>
      <c r="R436" s="957"/>
      <c r="S436" s="957"/>
      <c r="T436" s="957"/>
      <c r="U436" s="957"/>
      <c r="V436" s="957"/>
      <c r="W436" s="957"/>
      <c r="X436" s="934"/>
      <c r="Y436" s="934"/>
      <c r="Z436" s="934"/>
      <c r="AA436" s="934"/>
      <c r="AB436" s="987"/>
      <c r="AC436" s="934"/>
      <c r="AD436" s="934"/>
      <c r="AE436" s="934"/>
      <c r="AF436" s="934"/>
      <c r="AG436" s="934"/>
      <c r="AH436" s="934"/>
      <c r="AI436" s="934"/>
      <c r="AJ436" s="934"/>
    </row>
    <row r="437" spans="1:36" ht="15" hidden="1" customHeight="1">
      <c r="B437" s="1437"/>
      <c r="C437" s="909">
        <v>670881</v>
      </c>
      <c r="D437" s="732" t="s">
        <v>437</v>
      </c>
      <c r="E437" s="733"/>
      <c r="F437" s="733"/>
      <c r="G437" s="733"/>
      <c r="H437" s="733"/>
      <c r="I437" s="734" t="s">
        <v>112</v>
      </c>
      <c r="J437" s="736">
        <v>0</v>
      </c>
      <c r="K437" s="977">
        <f>IFERROR(_xlfn.CEILING.MATH(J437,INDEX('СВОДНАЯ СПЕЦИФИКАЦИЯ'!$C$10:$C$408,MATCH(D437,'СВОДНАЯ СПЕЦИФИКАЦИЯ'!$D$10:$D$408,0))),"Введите кол-во")</f>
        <v>0</v>
      </c>
      <c r="L437" s="978">
        <f>INDEX('СВОДНАЯ СПЕЦИФИКАЦИЯ'!$H$10:$H$408,MATCH(D437,Таблица2[Наименование материала],0))</f>
        <v>0</v>
      </c>
      <c r="M437" s="979">
        <f t="shared" si="17"/>
        <v>0</v>
      </c>
      <c r="O437" s="934">
        <f t="shared" si="18"/>
        <v>0</v>
      </c>
      <c r="Q437" s="957"/>
      <c r="R437" s="957"/>
      <c r="S437" s="957"/>
      <c r="T437" s="957"/>
      <c r="U437" s="957"/>
      <c r="V437" s="957"/>
      <c r="W437" s="957"/>
      <c r="X437" s="934"/>
      <c r="Y437" s="934"/>
      <c r="Z437" s="934"/>
      <c r="AA437" s="934"/>
      <c r="AB437" s="987"/>
      <c r="AC437" s="934"/>
      <c r="AD437" s="934"/>
      <c r="AE437" s="934"/>
      <c r="AF437" s="934"/>
      <c r="AG437" s="934"/>
      <c r="AH437" s="934"/>
      <c r="AI437" s="934"/>
      <c r="AJ437" s="934"/>
    </row>
    <row r="438" spans="1:36" ht="15" hidden="1" customHeight="1">
      <c r="B438" s="1437"/>
      <c r="C438" s="909" t="s">
        <v>1100</v>
      </c>
      <c r="D438" s="732" t="s">
        <v>1099</v>
      </c>
      <c r="E438" s="733"/>
      <c r="F438" s="733"/>
      <c r="G438" s="733"/>
      <c r="H438" s="733"/>
      <c r="I438" s="739" t="s">
        <v>1101</v>
      </c>
      <c r="J438" s="736">
        <v>0</v>
      </c>
      <c r="K438" s="977">
        <f>IFERROR(_xlfn.CEILING.MATH(J438,INDEX('СВОДНАЯ СПЕЦИФИКАЦИЯ'!$C$10:$C$408,MATCH(D438,'СВОДНАЯ СПЕЦИФИКАЦИЯ'!$D$10:$D$408,0))),"Введите кол-во")</f>
        <v>0</v>
      </c>
      <c r="L438" s="978">
        <f>INDEX('СВОДНАЯ СПЕЦИФИКАЦИЯ'!$H$10:$H$408,MATCH(D438,Таблица2[Наименование материала],0))</f>
        <v>0</v>
      </c>
      <c r="M438" s="979">
        <f t="shared" si="17"/>
        <v>0</v>
      </c>
      <c r="O438" s="934">
        <f t="shared" si="18"/>
        <v>0</v>
      </c>
      <c r="Q438" s="957"/>
      <c r="R438" s="957"/>
      <c r="S438" s="957"/>
      <c r="T438" s="957"/>
      <c r="U438" s="957"/>
      <c r="V438" s="957"/>
      <c r="W438" s="957"/>
      <c r="X438" s="934"/>
      <c r="Y438" s="934"/>
      <c r="Z438" s="934"/>
      <c r="AA438" s="934"/>
      <c r="AB438" s="987"/>
      <c r="AC438" s="934"/>
      <c r="AD438" s="934"/>
      <c r="AE438" s="934"/>
      <c r="AF438" s="934"/>
      <c r="AG438" s="934"/>
      <c r="AH438" s="934"/>
      <c r="AI438" s="934"/>
      <c r="AJ438" s="934"/>
    </row>
    <row r="439" spans="1:36" ht="15" hidden="1" customHeight="1">
      <c r="A439" s="994"/>
      <c r="B439" s="1437"/>
      <c r="C439" s="909" t="s">
        <v>296</v>
      </c>
      <c r="D439" s="732" t="s">
        <v>282</v>
      </c>
      <c r="E439" s="733"/>
      <c r="F439" s="733"/>
      <c r="G439" s="733"/>
      <c r="H439" s="733"/>
      <c r="I439" s="751" t="s">
        <v>183</v>
      </c>
      <c r="J439" s="736">
        <v>0</v>
      </c>
      <c r="K439" s="977" t="str">
        <f>IFERROR(_xlfn.CEILING.MATH(J439,INDEX('СВОДНАЯ СПЕЦИФИКАЦИЯ'!$C$10:$C$408,MATCH(D439,'СВОДНАЯ СПЕЦИФИКАЦИЯ'!$D$10:$D$408,0))),"Введите кол-во")</f>
        <v>Введите кол-во</v>
      </c>
      <c r="L439" s="978">
        <f>INDEX('СВОДНАЯ СПЕЦИФИКАЦИЯ'!$H$10:$H$408,MATCH(D439,Таблица2[Наименование материала],0))</f>
        <v>0</v>
      </c>
      <c r="M439" s="979">
        <f t="shared" si="17"/>
        <v>0</v>
      </c>
      <c r="O439" s="934">
        <f t="shared" si="18"/>
        <v>0</v>
      </c>
      <c r="Q439" s="957"/>
      <c r="R439" s="957"/>
      <c r="S439" s="957"/>
      <c r="T439" s="957"/>
      <c r="U439" s="957"/>
      <c r="V439" s="957"/>
      <c r="W439" s="957"/>
      <c r="X439" s="934"/>
      <c r="Y439" s="934"/>
      <c r="Z439" s="934"/>
      <c r="AA439" s="934"/>
      <c r="AB439" s="987"/>
      <c r="AC439" s="934"/>
      <c r="AD439" s="934"/>
      <c r="AE439" s="934"/>
      <c r="AF439" s="934"/>
      <c r="AG439" s="934"/>
      <c r="AH439" s="934"/>
      <c r="AI439" s="934"/>
      <c r="AJ439" s="934"/>
    </row>
    <row r="440" spans="1:36" ht="15" hidden="1" customHeight="1">
      <c r="A440" s="994"/>
      <c r="B440" s="1437"/>
      <c r="C440" s="909" t="s">
        <v>296</v>
      </c>
      <c r="D440" s="732" t="s">
        <v>287</v>
      </c>
      <c r="E440" s="733"/>
      <c r="F440" s="733"/>
      <c r="G440" s="733"/>
      <c r="H440" s="733"/>
      <c r="I440" s="751" t="s">
        <v>183</v>
      </c>
      <c r="J440" s="736">
        <v>0</v>
      </c>
      <c r="K440" s="977" t="str">
        <f>IFERROR(_xlfn.CEILING.MATH(J440,INDEX('СВОДНАЯ СПЕЦИФИКАЦИЯ'!$C$10:$C$408,MATCH(D440,'СВОДНАЯ СПЕЦИФИКАЦИЯ'!$D$10:$D$408,0))),"Введите кол-во")</f>
        <v>Введите кол-во</v>
      </c>
      <c r="L440" s="978">
        <f>INDEX('СВОДНАЯ СПЕЦИФИКАЦИЯ'!$H$10:$H$408,MATCH(D440,Таблица2[Наименование материала],0))</f>
        <v>0</v>
      </c>
      <c r="M440" s="979">
        <f t="shared" si="17"/>
        <v>0</v>
      </c>
      <c r="O440" s="934">
        <f t="shared" si="18"/>
        <v>0</v>
      </c>
      <c r="Q440" s="957"/>
      <c r="R440" s="957"/>
      <c r="S440" s="957"/>
      <c r="T440" s="957"/>
      <c r="U440" s="957"/>
      <c r="V440" s="957"/>
      <c r="W440" s="957"/>
      <c r="X440" s="934"/>
      <c r="Y440" s="934"/>
      <c r="Z440" s="934"/>
      <c r="AA440" s="934"/>
      <c r="AB440" s="987"/>
      <c r="AC440" s="934"/>
      <c r="AD440" s="934"/>
      <c r="AE440" s="934"/>
      <c r="AF440" s="934"/>
      <c r="AG440" s="934"/>
      <c r="AH440" s="934"/>
      <c r="AI440" s="934"/>
      <c r="AJ440" s="934"/>
    </row>
    <row r="441" spans="1:36" ht="15" hidden="1" customHeight="1">
      <c r="A441" s="994"/>
      <c r="B441" s="1437"/>
      <c r="C441" s="909" t="s">
        <v>296</v>
      </c>
      <c r="D441" s="732" t="s">
        <v>283</v>
      </c>
      <c r="E441" s="733"/>
      <c r="F441" s="733"/>
      <c r="G441" s="733"/>
      <c r="H441" s="733"/>
      <c r="I441" s="751" t="s">
        <v>183</v>
      </c>
      <c r="J441" s="736">
        <v>0</v>
      </c>
      <c r="K441" s="977" t="str">
        <f>IFERROR(_xlfn.CEILING.MATH(J441,INDEX('СВОДНАЯ СПЕЦИФИКАЦИЯ'!$C$10:$C$408,MATCH(D441,'СВОДНАЯ СПЕЦИФИКАЦИЯ'!$D$10:$D$408,0))),"Введите кол-во")</f>
        <v>Введите кол-во</v>
      </c>
      <c r="L441" s="978">
        <f>INDEX('СВОДНАЯ СПЕЦИФИКАЦИЯ'!$H$10:$H$408,MATCH(D441,Таблица2[Наименование материала],0))</f>
        <v>0</v>
      </c>
      <c r="M441" s="979">
        <f t="shared" si="17"/>
        <v>0</v>
      </c>
      <c r="O441" s="934">
        <f t="shared" si="18"/>
        <v>0</v>
      </c>
      <c r="Q441" s="957"/>
      <c r="R441" s="957"/>
      <c r="S441" s="957"/>
      <c r="T441" s="957"/>
      <c r="U441" s="957"/>
      <c r="V441" s="957"/>
      <c r="W441" s="957"/>
      <c r="X441" s="934"/>
      <c r="Y441" s="934"/>
      <c r="Z441" s="934"/>
      <c r="AA441" s="934"/>
      <c r="AB441" s="987"/>
      <c r="AC441" s="934"/>
      <c r="AD441" s="934"/>
      <c r="AE441" s="934"/>
      <c r="AF441" s="934"/>
      <c r="AG441" s="934"/>
      <c r="AH441" s="934"/>
      <c r="AI441" s="934"/>
      <c r="AJ441" s="934"/>
    </row>
    <row r="442" spans="1:36" ht="15" hidden="1" customHeight="1">
      <c r="A442" s="994"/>
      <c r="B442" s="1437"/>
      <c r="C442" s="911" t="s">
        <v>296</v>
      </c>
      <c r="D442" s="732" t="s">
        <v>284</v>
      </c>
      <c r="E442" s="733"/>
      <c r="F442" s="733"/>
      <c r="G442" s="733"/>
      <c r="H442" s="733"/>
      <c r="I442" s="751" t="s">
        <v>112</v>
      </c>
      <c r="J442" s="736">
        <v>0</v>
      </c>
      <c r="K442" s="977" t="str">
        <f>IFERROR(_xlfn.CEILING.MATH(J442,INDEX('СВОДНАЯ СПЕЦИФИКАЦИЯ'!$C$10:$C$408,MATCH(D442,'СВОДНАЯ СПЕЦИФИКАЦИЯ'!$D$10:$D$408,0))),"Введите кол-во")</f>
        <v>Введите кол-во</v>
      </c>
      <c r="L442" s="978">
        <f>INDEX('СВОДНАЯ СПЕЦИФИКАЦИЯ'!$H$10:$H$408,MATCH(D442,Таблица2[Наименование материала],0))</f>
        <v>0</v>
      </c>
      <c r="M442" s="979">
        <f t="shared" si="17"/>
        <v>0</v>
      </c>
      <c r="O442" s="934">
        <f t="shared" si="18"/>
        <v>0</v>
      </c>
      <c r="Q442" s="957"/>
      <c r="R442" s="957"/>
      <c r="S442" s="957"/>
      <c r="T442" s="957"/>
      <c r="U442" s="957"/>
      <c r="V442" s="957"/>
      <c r="W442" s="957"/>
      <c r="X442" s="934"/>
      <c r="Y442" s="934"/>
      <c r="Z442" s="934"/>
      <c r="AA442" s="934"/>
      <c r="AB442" s="987"/>
      <c r="AC442" s="934"/>
      <c r="AD442" s="934"/>
      <c r="AE442" s="934"/>
      <c r="AF442" s="934"/>
      <c r="AG442" s="934"/>
      <c r="AH442" s="934"/>
      <c r="AI442" s="934"/>
      <c r="AJ442" s="934"/>
    </row>
    <row r="443" spans="1:36" ht="15" hidden="1" customHeight="1">
      <c r="B443" s="1437"/>
      <c r="C443" s="909">
        <v>450122</v>
      </c>
      <c r="D443" s="732" t="s">
        <v>653</v>
      </c>
      <c r="E443" s="733"/>
      <c r="F443" s="733"/>
      <c r="G443" s="733"/>
      <c r="H443" s="733"/>
      <c r="I443" s="751" t="s">
        <v>183</v>
      </c>
      <c r="J443" s="736">
        <v>0</v>
      </c>
      <c r="K443" s="977">
        <f>IFERROR(_xlfn.CEILING.MATH(J443,INDEX('СВОДНАЯ СПЕЦИФИКАЦИЯ'!$C$10:$C$408,MATCH(D443,'СВОДНАЯ СПЕЦИФИКАЦИЯ'!$D$10:$D$408,0))),"Введите кол-во")</f>
        <v>0</v>
      </c>
      <c r="L443" s="978">
        <f>INDEX('СВОДНАЯ СПЕЦИФИКАЦИЯ'!$H$10:$H$408,MATCH(D443,Таблица2[Наименование материала],0))</f>
        <v>0</v>
      </c>
      <c r="M443" s="979">
        <f t="shared" si="17"/>
        <v>0</v>
      </c>
      <c r="O443" s="934">
        <f t="shared" si="18"/>
        <v>0</v>
      </c>
      <c r="Q443" s="957"/>
      <c r="R443" s="957"/>
      <c r="S443" s="957"/>
      <c r="T443" s="957"/>
      <c r="U443" s="957"/>
      <c r="V443" s="957"/>
      <c r="W443" s="957"/>
      <c r="X443" s="934"/>
      <c r="Y443" s="934"/>
      <c r="Z443" s="934"/>
      <c r="AA443" s="934"/>
      <c r="AB443" s="987"/>
      <c r="AC443" s="934"/>
      <c r="AD443" s="934"/>
      <c r="AE443" s="934"/>
      <c r="AF443" s="934"/>
      <c r="AG443" s="934"/>
      <c r="AH443" s="934"/>
      <c r="AI443" s="934"/>
      <c r="AJ443" s="934"/>
    </row>
    <row r="444" spans="1:36" ht="15" hidden="1" customHeight="1">
      <c r="B444" s="1437"/>
      <c r="C444" s="909">
        <v>22450</v>
      </c>
      <c r="D444" s="732" t="s">
        <v>819</v>
      </c>
      <c r="E444" s="733"/>
      <c r="F444" s="733"/>
      <c r="G444" s="997" t="s">
        <v>1478</v>
      </c>
      <c r="H444" s="733"/>
      <c r="I444" s="751" t="s">
        <v>112</v>
      </c>
      <c r="J444" s="736">
        <v>0</v>
      </c>
      <c r="K444" s="977">
        <f>IFERROR(_xlfn.CEILING.MATH(J444,INDEX('СВОДНАЯ СПЕЦИФИКАЦИЯ'!$C$10:$C$408,MATCH(D444,'СВОДНАЯ СПЕЦИФИКАЦИЯ'!$D$10:$D$408,0))),"Введите кол-во")</f>
        <v>0</v>
      </c>
      <c r="L444" s="978">
        <f>INDEX('СВОДНАЯ СПЕЦИФИКАЦИЯ'!$H$10:$H$408,MATCH(D444,Таблица2[Наименование материала],0))</f>
        <v>0</v>
      </c>
      <c r="M444" s="979">
        <f t="shared" si="17"/>
        <v>0</v>
      </c>
      <c r="O444" s="934">
        <f t="shared" si="18"/>
        <v>0</v>
      </c>
      <c r="Q444" s="957"/>
      <c r="R444" s="957"/>
      <c r="S444" s="957"/>
      <c r="T444" s="957"/>
      <c r="U444" s="957"/>
      <c r="V444" s="957"/>
      <c r="W444" s="957"/>
      <c r="X444" s="934"/>
      <c r="Y444" s="934"/>
      <c r="Z444" s="934"/>
      <c r="AA444" s="934"/>
      <c r="AB444" s="987"/>
      <c r="AC444" s="934"/>
      <c r="AD444" s="934"/>
      <c r="AE444" s="934"/>
      <c r="AF444" s="934"/>
      <c r="AG444" s="934"/>
      <c r="AH444" s="934"/>
      <c r="AI444" s="934"/>
      <c r="AJ444" s="934"/>
    </row>
    <row r="445" spans="1:36" ht="15" hidden="1" customHeight="1">
      <c r="B445" s="1437"/>
      <c r="C445" s="911" t="s">
        <v>296</v>
      </c>
      <c r="D445" s="732" t="s">
        <v>820</v>
      </c>
      <c r="E445" s="733"/>
      <c r="F445" s="733"/>
      <c r="G445" s="997" t="s">
        <v>1478</v>
      </c>
      <c r="H445" s="733"/>
      <c r="I445" s="751" t="s">
        <v>112</v>
      </c>
      <c r="J445" s="736">
        <v>0</v>
      </c>
      <c r="K445" s="977">
        <f>IFERROR(_xlfn.CEILING.MATH(J445,INDEX('СВОДНАЯ СПЕЦИФИКАЦИЯ'!$C$10:$C$408,MATCH(D445,'СВОДНАЯ СПЕЦИФИКАЦИЯ'!$D$10:$D$408,0))),"Введите кол-во")</f>
        <v>0</v>
      </c>
      <c r="L445" s="978">
        <f>INDEX('СВОДНАЯ СПЕЦИФИКАЦИЯ'!$H$10:$H$408,MATCH(D445,Таблица2[Наименование материала],0))</f>
        <v>0</v>
      </c>
      <c r="M445" s="979">
        <f t="shared" si="17"/>
        <v>0</v>
      </c>
      <c r="O445" s="934">
        <f t="shared" si="18"/>
        <v>0</v>
      </c>
      <c r="Q445" s="957"/>
      <c r="R445" s="957"/>
      <c r="S445" s="957"/>
      <c r="T445" s="957"/>
      <c r="U445" s="957"/>
      <c r="V445" s="957"/>
      <c r="W445" s="957"/>
      <c r="X445" s="934"/>
      <c r="Y445" s="934"/>
      <c r="Z445" s="934"/>
      <c r="AA445" s="934"/>
      <c r="AB445" s="987"/>
      <c r="AC445" s="934"/>
      <c r="AD445" s="934"/>
      <c r="AE445" s="934"/>
      <c r="AF445" s="934"/>
      <c r="AG445" s="934"/>
      <c r="AH445" s="934"/>
      <c r="AI445" s="934"/>
      <c r="AJ445" s="934"/>
    </row>
    <row r="446" spans="1:36" ht="15" hidden="1" customHeight="1">
      <c r="B446" s="1437"/>
      <c r="C446" s="909" t="s">
        <v>1042</v>
      </c>
      <c r="D446" s="732" t="s">
        <v>821</v>
      </c>
      <c r="E446" s="733"/>
      <c r="F446" s="733"/>
      <c r="G446" s="997" t="s">
        <v>1477</v>
      </c>
      <c r="H446" s="733"/>
      <c r="I446" s="751" t="s">
        <v>112</v>
      </c>
      <c r="J446" s="736">
        <v>0</v>
      </c>
      <c r="K446" s="977">
        <f>IFERROR(_xlfn.CEILING.MATH(J446,INDEX('СВОДНАЯ СПЕЦИФИКАЦИЯ'!$C$10:$C$408,MATCH(D446,'СВОДНАЯ СПЕЦИФИКАЦИЯ'!$D$10:$D$408,0))),"Введите кол-во")</f>
        <v>0</v>
      </c>
      <c r="L446" s="978">
        <f>INDEX('СВОДНАЯ СПЕЦИФИКАЦИЯ'!$H$10:$H$408,MATCH(D446,Таблица2[Наименование материала],0))</f>
        <v>0</v>
      </c>
      <c r="M446" s="979">
        <f t="shared" si="17"/>
        <v>0</v>
      </c>
      <c r="O446" s="934">
        <f t="shared" si="18"/>
        <v>0</v>
      </c>
      <c r="Q446" s="957"/>
      <c r="R446" s="957"/>
      <c r="S446" s="957"/>
      <c r="T446" s="957"/>
      <c r="U446" s="957"/>
      <c r="V446" s="957"/>
      <c r="W446" s="957"/>
      <c r="X446" s="934"/>
      <c r="Y446" s="934"/>
      <c r="Z446" s="934"/>
      <c r="AA446" s="934"/>
      <c r="AB446" s="987"/>
      <c r="AC446" s="934"/>
      <c r="AD446" s="934"/>
      <c r="AE446" s="934"/>
      <c r="AF446" s="934"/>
      <c r="AG446" s="934"/>
      <c r="AH446" s="934"/>
      <c r="AI446" s="934"/>
      <c r="AJ446" s="934"/>
    </row>
    <row r="447" spans="1:36" ht="15" hidden="1" customHeight="1">
      <c r="A447" s="940"/>
      <c r="B447" s="1437"/>
      <c r="C447" s="909">
        <v>524894</v>
      </c>
      <c r="D447" s="732" t="s">
        <v>1204</v>
      </c>
      <c r="E447" s="733"/>
      <c r="F447" s="733"/>
      <c r="G447" s="733" t="s">
        <v>1464</v>
      </c>
      <c r="H447" s="733"/>
      <c r="I447" s="734" t="s">
        <v>178</v>
      </c>
      <c r="J447" s="838">
        <v>0</v>
      </c>
      <c r="K447" s="977">
        <f>IFERROR(_xlfn.CEILING.MATH(J447,INDEX('СВОДНАЯ СПЕЦИФИКАЦИЯ'!$C$10:$C$408,MATCH(D447,'СВОДНАЯ СПЕЦИФИКАЦИЯ'!$D$10:$D$408,0))),"Введите кол-во")</f>
        <v>0</v>
      </c>
      <c r="L447" s="978">
        <f>INDEX('СВОДНАЯ СПЕЦИФИКАЦИЯ'!$H$10:$H$408,MATCH(D447,Таблица2[Наименование материала],0))</f>
        <v>0</v>
      </c>
      <c r="M447" s="979">
        <f t="shared" si="17"/>
        <v>0</v>
      </c>
      <c r="O447" s="934">
        <f t="shared" si="18"/>
        <v>0</v>
      </c>
      <c r="Q447" s="984" t="s">
        <v>321</v>
      </c>
      <c r="R447" s="985"/>
      <c r="S447" s="985" t="s">
        <v>1464</v>
      </c>
      <c r="T447" s="986">
        <v>100</v>
      </c>
      <c r="U447" s="985" t="s">
        <v>150</v>
      </c>
      <c r="V447" s="957"/>
      <c r="W447" s="957"/>
      <c r="X447" s="934"/>
      <c r="Y447" s="934"/>
      <c r="Z447" s="934"/>
      <c r="AA447" s="934"/>
      <c r="AB447" s="987"/>
      <c r="AC447" s="934"/>
      <c r="AD447" s="934"/>
      <c r="AE447" s="934"/>
      <c r="AF447" s="934"/>
      <c r="AG447" s="934"/>
      <c r="AH447" s="934"/>
      <c r="AI447" s="934"/>
      <c r="AJ447" s="934"/>
    </row>
    <row r="448" spans="1:36" ht="15" customHeight="1">
      <c r="B448" s="1437"/>
      <c r="C448" s="909">
        <v>524809</v>
      </c>
      <c r="D448" s="732" t="s">
        <v>1199</v>
      </c>
      <c r="E448" s="733"/>
      <c r="F448" s="733"/>
      <c r="G448" s="733"/>
      <c r="H448" s="733"/>
      <c r="I448" s="734" t="s">
        <v>178</v>
      </c>
      <c r="J448" s="838">
        <v>2.4000000000000004</v>
      </c>
      <c r="K448" s="977">
        <f>IFERROR(_xlfn.CEILING.MATH(J448,INDEX('СВОДНАЯ СПЕЦИФИКАЦИЯ'!$C$10:$C$408,MATCH(D448,'СВОДНАЯ СПЕЦИФИКАЦИЯ'!$D$10:$D$408,0))),"Введите кол-во")</f>
        <v>6.9119999999999999</v>
      </c>
      <c r="L448" s="978">
        <f>INDEX('СВОДНАЯ СПЕЦИФИКАЦИЯ'!$H$10:$H$408,MATCH(D448,Таблица2[Наименование материала],0))</f>
        <v>0</v>
      </c>
      <c r="M448" s="979">
        <f t="shared" si="17"/>
        <v>0</v>
      </c>
      <c r="O448" s="934">
        <f t="shared" si="18"/>
        <v>1</v>
      </c>
      <c r="Q448" s="984" t="s">
        <v>321</v>
      </c>
      <c r="R448" s="989"/>
      <c r="S448" s="989"/>
      <c r="T448" s="986">
        <v>50</v>
      </c>
      <c r="U448" s="985" t="s">
        <v>150</v>
      </c>
      <c r="V448" s="957"/>
      <c r="W448" s="957"/>
      <c r="X448" s="934"/>
      <c r="Y448" s="934"/>
      <c r="Z448" s="934"/>
      <c r="AA448" s="934"/>
      <c r="AB448" s="987"/>
      <c r="AC448" s="934"/>
      <c r="AD448" s="934"/>
      <c r="AE448" s="934"/>
      <c r="AF448" s="934"/>
      <c r="AG448" s="934"/>
      <c r="AH448" s="934"/>
      <c r="AI448" s="934"/>
      <c r="AJ448" s="934"/>
    </row>
    <row r="449" spans="2:36" ht="15" hidden="1" customHeight="1">
      <c r="B449" s="1437"/>
      <c r="C449" s="909">
        <v>524890</v>
      </c>
      <c r="D449" s="732" t="s">
        <v>1200</v>
      </c>
      <c r="E449" s="733"/>
      <c r="F449" s="733"/>
      <c r="G449" s="733"/>
      <c r="H449" s="733"/>
      <c r="I449" s="734" t="s">
        <v>178</v>
      </c>
      <c r="J449" s="838">
        <v>0</v>
      </c>
      <c r="K449" s="977">
        <f>IFERROR(_xlfn.CEILING.MATH(J449,INDEX('СВОДНАЯ СПЕЦИФИКАЦИЯ'!$C$10:$C$408,MATCH(D449,'СВОДНАЯ СПЕЦИФИКАЦИЯ'!$D$10:$D$408,0))),"Введите кол-во")</f>
        <v>0</v>
      </c>
      <c r="L449" s="978">
        <f>INDEX('СВОДНАЯ СПЕЦИФИКАЦИЯ'!$H$10:$H$408,MATCH(D449,Таблица2[Наименование материала],0))</f>
        <v>0</v>
      </c>
      <c r="M449" s="979">
        <f t="shared" si="17"/>
        <v>0</v>
      </c>
      <c r="O449" s="934">
        <f t="shared" si="18"/>
        <v>0</v>
      </c>
      <c r="Q449" s="984" t="s">
        <v>321</v>
      </c>
      <c r="R449" s="989"/>
      <c r="S449" s="989"/>
      <c r="T449" s="986">
        <v>60</v>
      </c>
      <c r="U449" s="985" t="s">
        <v>150</v>
      </c>
      <c r="V449" s="957"/>
      <c r="W449" s="957"/>
      <c r="X449" s="934"/>
      <c r="Y449" s="934"/>
      <c r="Z449" s="934"/>
      <c r="AA449" s="934"/>
      <c r="AB449" s="987"/>
      <c r="AC449" s="934"/>
      <c r="AD449" s="934"/>
      <c r="AE449" s="934"/>
      <c r="AF449" s="934"/>
      <c r="AG449" s="934"/>
      <c r="AH449" s="934"/>
      <c r="AI449" s="934"/>
      <c r="AJ449" s="934"/>
    </row>
    <row r="450" spans="2:36" ht="15" hidden="1" customHeight="1">
      <c r="B450" s="1437"/>
      <c r="C450" s="909">
        <v>524891</v>
      </c>
      <c r="D450" s="732" t="s">
        <v>1201</v>
      </c>
      <c r="E450" s="733"/>
      <c r="F450" s="733"/>
      <c r="G450" s="733"/>
      <c r="H450" s="733"/>
      <c r="I450" s="734" t="s">
        <v>178</v>
      </c>
      <c r="J450" s="838">
        <v>0</v>
      </c>
      <c r="K450" s="977">
        <f>IFERROR(_xlfn.CEILING.MATH(J450,INDEX('СВОДНАЯ СПЕЦИФИКАЦИЯ'!$C$10:$C$408,MATCH(D450,'СВОДНАЯ СПЕЦИФИКАЦИЯ'!$D$10:$D$408,0))),"Введите кол-во")</f>
        <v>0</v>
      </c>
      <c r="L450" s="978">
        <f>INDEX('СВОДНАЯ СПЕЦИФИКАЦИЯ'!$H$10:$H$408,MATCH(D450,Таблица2[Наименование материала],0))</f>
        <v>0</v>
      </c>
      <c r="M450" s="979">
        <f t="shared" si="17"/>
        <v>0</v>
      </c>
      <c r="O450" s="934">
        <f t="shared" si="18"/>
        <v>0</v>
      </c>
      <c r="Q450" s="984" t="s">
        <v>321</v>
      </c>
      <c r="R450" s="989"/>
      <c r="S450" s="989"/>
      <c r="T450" s="986">
        <v>70</v>
      </c>
      <c r="U450" s="985" t="s">
        <v>150</v>
      </c>
      <c r="V450" s="957"/>
      <c r="W450" s="957"/>
      <c r="X450" s="934"/>
      <c r="Y450" s="934"/>
      <c r="Z450" s="934"/>
      <c r="AA450" s="934"/>
      <c r="AB450" s="987"/>
      <c r="AC450" s="934"/>
      <c r="AD450" s="934"/>
      <c r="AE450" s="934"/>
      <c r="AF450" s="934"/>
      <c r="AG450" s="934"/>
      <c r="AH450" s="934"/>
      <c r="AI450" s="934"/>
      <c r="AJ450" s="934"/>
    </row>
    <row r="451" spans="2:36" ht="15" hidden="1" customHeight="1">
      <c r="B451" s="1437"/>
      <c r="C451" s="909">
        <v>524892</v>
      </c>
      <c r="D451" s="732" t="s">
        <v>1202</v>
      </c>
      <c r="E451" s="733"/>
      <c r="F451" s="733"/>
      <c r="G451" s="733"/>
      <c r="H451" s="733"/>
      <c r="I451" s="734" t="s">
        <v>178</v>
      </c>
      <c r="J451" s="838">
        <v>0</v>
      </c>
      <c r="K451" s="977">
        <f>IFERROR(_xlfn.CEILING.MATH(J451,INDEX('СВОДНАЯ СПЕЦИФИКАЦИЯ'!$C$10:$C$408,MATCH(D451,'СВОДНАЯ СПЕЦИФИКАЦИЯ'!$D$10:$D$408,0))),"Введите кол-во")</f>
        <v>0</v>
      </c>
      <c r="L451" s="978">
        <f>INDEX('СВОДНАЯ СПЕЦИФИКАЦИЯ'!$H$10:$H$408,MATCH(D451,Таблица2[Наименование материала],0))</f>
        <v>0</v>
      </c>
      <c r="M451" s="979">
        <f t="shared" si="17"/>
        <v>0</v>
      </c>
      <c r="O451" s="934">
        <f t="shared" si="18"/>
        <v>0</v>
      </c>
      <c r="Q451" s="984" t="s">
        <v>321</v>
      </c>
      <c r="R451" s="989"/>
      <c r="S451" s="989"/>
      <c r="T451" s="986">
        <v>80</v>
      </c>
      <c r="U451" s="985" t="s">
        <v>150</v>
      </c>
      <c r="V451" s="957"/>
      <c r="W451" s="957"/>
      <c r="X451" s="934"/>
      <c r="Y451" s="934"/>
      <c r="Z451" s="934"/>
      <c r="AA451" s="934"/>
      <c r="AB451" s="987"/>
      <c r="AC451" s="934"/>
      <c r="AD451" s="934"/>
      <c r="AE451" s="934"/>
      <c r="AF451" s="934"/>
      <c r="AG451" s="934"/>
      <c r="AH451" s="934"/>
      <c r="AI451" s="934"/>
      <c r="AJ451" s="934"/>
    </row>
    <row r="452" spans="2:36" ht="15" hidden="1" customHeight="1">
      <c r="B452" s="1437"/>
      <c r="C452" s="909">
        <v>524893</v>
      </c>
      <c r="D452" s="732" t="s">
        <v>1203</v>
      </c>
      <c r="E452" s="733"/>
      <c r="F452" s="733"/>
      <c r="G452" s="733"/>
      <c r="H452" s="733"/>
      <c r="I452" s="734" t="s">
        <v>178</v>
      </c>
      <c r="J452" s="838">
        <v>0</v>
      </c>
      <c r="K452" s="977">
        <f>IFERROR(_xlfn.CEILING.MATH(J452,INDEX('СВОДНАЯ СПЕЦИФИКАЦИЯ'!$C$10:$C$408,MATCH(D452,'СВОДНАЯ СПЕЦИФИКАЦИЯ'!$D$10:$D$408,0))),"Введите кол-во")</f>
        <v>0</v>
      </c>
      <c r="L452" s="978">
        <f>INDEX('СВОДНАЯ СПЕЦИФИКАЦИЯ'!$H$10:$H$408,MATCH(D452,Таблица2[Наименование материала],0))</f>
        <v>0</v>
      </c>
      <c r="M452" s="979">
        <f t="shared" si="17"/>
        <v>0</v>
      </c>
      <c r="O452" s="934">
        <f t="shared" si="18"/>
        <v>0</v>
      </c>
      <c r="Q452" s="984" t="s">
        <v>321</v>
      </c>
      <c r="R452" s="989"/>
      <c r="S452" s="989"/>
      <c r="T452" s="986">
        <v>90</v>
      </c>
      <c r="U452" s="985" t="s">
        <v>150</v>
      </c>
      <c r="V452" s="957"/>
      <c r="W452" s="957"/>
      <c r="X452" s="934"/>
      <c r="Y452" s="934"/>
      <c r="Z452" s="934"/>
      <c r="AA452" s="934"/>
      <c r="AB452" s="987"/>
      <c r="AC452" s="934"/>
      <c r="AD452" s="934"/>
      <c r="AE452" s="934"/>
      <c r="AF452" s="934"/>
      <c r="AG452" s="934"/>
      <c r="AH452" s="934"/>
      <c r="AI452" s="934"/>
      <c r="AJ452" s="934"/>
    </row>
    <row r="453" spans="2:36" ht="15" hidden="1" customHeight="1">
      <c r="B453" s="1437"/>
      <c r="C453" s="909">
        <v>524894</v>
      </c>
      <c r="D453" s="732" t="s">
        <v>1204</v>
      </c>
      <c r="E453" s="733"/>
      <c r="F453" s="733"/>
      <c r="G453" s="733"/>
      <c r="H453" s="733"/>
      <c r="I453" s="734" t="s">
        <v>178</v>
      </c>
      <c r="J453" s="838">
        <v>0</v>
      </c>
      <c r="K453" s="977">
        <f>IFERROR(_xlfn.CEILING.MATH(J453,INDEX('СВОДНАЯ СПЕЦИФИКАЦИЯ'!$C$10:$C$408,MATCH(D453,'СВОДНАЯ СПЕЦИФИКАЦИЯ'!$D$10:$D$408,0))),"Введите кол-во")</f>
        <v>0</v>
      </c>
      <c r="L453" s="978">
        <f>INDEX('СВОДНАЯ СПЕЦИФИКАЦИЯ'!$H$10:$H$408,MATCH(D453,Таблица2[Наименование материала],0))</f>
        <v>0</v>
      </c>
      <c r="M453" s="979">
        <f t="shared" si="17"/>
        <v>0</v>
      </c>
      <c r="O453" s="934">
        <f t="shared" si="18"/>
        <v>0</v>
      </c>
      <c r="Q453" s="984" t="s">
        <v>321</v>
      </c>
      <c r="R453" s="989"/>
      <c r="S453" s="989"/>
      <c r="T453" s="986">
        <v>100</v>
      </c>
      <c r="U453" s="985" t="s">
        <v>150</v>
      </c>
      <c r="V453" s="957"/>
      <c r="W453" s="957"/>
      <c r="X453" s="934"/>
      <c r="Y453" s="934"/>
      <c r="Z453" s="934"/>
      <c r="AA453" s="934"/>
      <c r="AB453" s="987"/>
      <c r="AC453" s="934"/>
      <c r="AD453" s="934"/>
      <c r="AE453" s="934"/>
      <c r="AF453" s="934"/>
      <c r="AG453" s="934"/>
      <c r="AH453" s="934"/>
      <c r="AI453" s="934"/>
      <c r="AJ453" s="934"/>
    </row>
    <row r="454" spans="2:36" ht="15" hidden="1" customHeight="1">
      <c r="B454" s="1437"/>
      <c r="C454" s="909">
        <v>524895</v>
      </c>
      <c r="D454" s="732" t="s">
        <v>1205</v>
      </c>
      <c r="E454" s="733"/>
      <c r="F454" s="733"/>
      <c r="G454" s="733"/>
      <c r="H454" s="733"/>
      <c r="I454" s="734" t="s">
        <v>178</v>
      </c>
      <c r="J454" s="838">
        <v>0</v>
      </c>
      <c r="K454" s="977">
        <f>IFERROR(_xlfn.CEILING.MATH(J454,INDEX('СВОДНАЯ СПЕЦИФИКАЦИЯ'!$C$10:$C$408,MATCH(D454,'СВОДНАЯ СПЕЦИФИКАЦИЯ'!$D$10:$D$408,0))),"Введите кол-во")</f>
        <v>0</v>
      </c>
      <c r="L454" s="978">
        <f>INDEX('СВОДНАЯ СПЕЦИФИКАЦИЯ'!$H$10:$H$408,MATCH(D454,Таблица2[Наименование материала],0))</f>
        <v>0</v>
      </c>
      <c r="M454" s="979">
        <f t="shared" si="17"/>
        <v>0</v>
      </c>
      <c r="O454" s="934">
        <f t="shared" si="18"/>
        <v>0</v>
      </c>
      <c r="Q454" s="984" t="s">
        <v>321</v>
      </c>
      <c r="R454" s="989"/>
      <c r="S454" s="989"/>
      <c r="T454" s="986">
        <v>110</v>
      </c>
      <c r="U454" s="985" t="s">
        <v>150</v>
      </c>
      <c r="V454" s="957"/>
      <c r="W454" s="957"/>
      <c r="X454" s="934"/>
      <c r="Y454" s="934"/>
      <c r="Z454" s="934"/>
      <c r="AA454" s="934"/>
      <c r="AB454" s="987"/>
      <c r="AC454" s="934"/>
      <c r="AD454" s="934"/>
      <c r="AE454" s="934"/>
      <c r="AF454" s="934"/>
      <c r="AG454" s="934"/>
      <c r="AH454" s="934"/>
      <c r="AI454" s="934"/>
      <c r="AJ454" s="934"/>
    </row>
    <row r="455" spans="2:36" ht="15" hidden="1" customHeight="1">
      <c r="B455" s="1437"/>
      <c r="C455" s="909">
        <v>524896</v>
      </c>
      <c r="D455" s="732" t="s">
        <v>1206</v>
      </c>
      <c r="E455" s="733"/>
      <c r="F455" s="733"/>
      <c r="G455" s="733"/>
      <c r="H455" s="733"/>
      <c r="I455" s="734" t="s">
        <v>178</v>
      </c>
      <c r="J455" s="838">
        <v>0</v>
      </c>
      <c r="K455" s="977">
        <f>IFERROR(_xlfn.CEILING.MATH(J455,INDEX('СВОДНАЯ СПЕЦИФИКАЦИЯ'!$C$10:$C$408,MATCH(D455,'СВОДНАЯ СПЕЦИФИКАЦИЯ'!$D$10:$D$408,0))),"Введите кол-во")</f>
        <v>0</v>
      </c>
      <c r="L455" s="978">
        <f>INDEX('СВОДНАЯ СПЕЦИФИКАЦИЯ'!$H$10:$H$408,MATCH(D455,Таблица2[Наименование материала],0))</f>
        <v>0</v>
      </c>
      <c r="M455" s="979">
        <f t="shared" si="17"/>
        <v>0</v>
      </c>
      <c r="O455" s="934">
        <f t="shared" si="18"/>
        <v>0</v>
      </c>
      <c r="Q455" s="984" t="s">
        <v>321</v>
      </c>
      <c r="R455" s="989"/>
      <c r="S455" s="989"/>
      <c r="T455" s="986">
        <v>120</v>
      </c>
      <c r="U455" s="985" t="s">
        <v>150</v>
      </c>
      <c r="V455" s="957"/>
      <c r="W455" s="957"/>
      <c r="X455" s="934"/>
      <c r="Y455" s="934"/>
      <c r="Z455" s="934"/>
      <c r="AA455" s="934"/>
      <c r="AB455" s="987"/>
      <c r="AC455" s="934"/>
      <c r="AD455" s="934"/>
      <c r="AE455" s="934"/>
      <c r="AF455" s="934"/>
      <c r="AG455" s="934"/>
      <c r="AH455" s="934"/>
      <c r="AI455" s="934"/>
      <c r="AJ455" s="934"/>
    </row>
    <row r="456" spans="2:36" ht="15" hidden="1" customHeight="1">
      <c r="B456" s="1437"/>
      <c r="C456" s="909">
        <v>524918</v>
      </c>
      <c r="D456" s="732" t="s">
        <v>1207</v>
      </c>
      <c r="E456" s="733"/>
      <c r="F456" s="733"/>
      <c r="G456" s="733"/>
      <c r="H456" s="733"/>
      <c r="I456" s="734" t="s">
        <v>178</v>
      </c>
      <c r="J456" s="838">
        <v>0</v>
      </c>
      <c r="K456" s="977">
        <f>IFERROR(_xlfn.CEILING.MATH(J456,INDEX('СВОДНАЯ СПЕЦИФИКАЦИЯ'!$C$10:$C$408,MATCH(D456,'СВОДНАЯ СПЕЦИФИКАЦИЯ'!$D$10:$D$408,0))),"Введите кол-во")</f>
        <v>0</v>
      </c>
      <c r="L456" s="978">
        <f>INDEX('СВОДНАЯ СПЕЦИФИКАЦИЯ'!$H$10:$H$408,MATCH(D456,Таблица2[Наименование материала],0))</f>
        <v>0</v>
      </c>
      <c r="M456" s="979">
        <f t="shared" si="17"/>
        <v>0</v>
      </c>
      <c r="O456" s="934">
        <f t="shared" si="18"/>
        <v>0</v>
      </c>
      <c r="Q456" s="984" t="s">
        <v>321</v>
      </c>
      <c r="R456" s="989"/>
      <c r="S456" s="989"/>
      <c r="T456" s="986">
        <v>130</v>
      </c>
      <c r="U456" s="985" t="s">
        <v>150</v>
      </c>
      <c r="V456" s="957"/>
      <c r="W456" s="957"/>
      <c r="X456" s="934"/>
      <c r="Y456" s="934"/>
      <c r="Z456" s="934"/>
      <c r="AA456" s="934"/>
      <c r="AB456" s="987"/>
      <c r="AC456" s="934"/>
      <c r="AD456" s="934"/>
      <c r="AE456" s="934"/>
      <c r="AF456" s="934"/>
      <c r="AG456" s="934"/>
      <c r="AH456" s="934"/>
      <c r="AI456" s="934"/>
      <c r="AJ456" s="934"/>
    </row>
    <row r="457" spans="2:36" ht="15" hidden="1" customHeight="1">
      <c r="B457" s="1437"/>
      <c r="C457" s="909">
        <v>524919</v>
      </c>
      <c r="D457" s="732" t="s">
        <v>1208</v>
      </c>
      <c r="E457" s="733"/>
      <c r="F457" s="733"/>
      <c r="G457" s="733"/>
      <c r="H457" s="733"/>
      <c r="I457" s="734" t="s">
        <v>178</v>
      </c>
      <c r="J457" s="838">
        <v>0</v>
      </c>
      <c r="K457" s="977">
        <f>IFERROR(_xlfn.CEILING.MATH(J457,INDEX('СВОДНАЯ СПЕЦИФИКАЦИЯ'!$C$10:$C$408,MATCH(D457,'СВОДНАЯ СПЕЦИФИКАЦИЯ'!$D$10:$D$408,0))),"Введите кол-во")</f>
        <v>0</v>
      </c>
      <c r="L457" s="978">
        <f>INDEX('СВОДНАЯ СПЕЦИФИКАЦИЯ'!$H$10:$H$408,MATCH(D457,Таблица2[Наименование материала],0))</f>
        <v>0</v>
      </c>
      <c r="M457" s="979">
        <f t="shared" si="17"/>
        <v>0</v>
      </c>
      <c r="O457" s="934">
        <f t="shared" si="18"/>
        <v>0</v>
      </c>
      <c r="Q457" s="984" t="s">
        <v>321</v>
      </c>
      <c r="R457" s="989"/>
      <c r="S457" s="989"/>
      <c r="T457" s="986">
        <v>140</v>
      </c>
      <c r="U457" s="985" t="s">
        <v>150</v>
      </c>
      <c r="V457" s="957"/>
      <c r="W457" s="957"/>
      <c r="X457" s="934"/>
      <c r="Y457" s="934"/>
      <c r="Z457" s="934"/>
      <c r="AA457" s="934"/>
      <c r="AB457" s="987"/>
      <c r="AC457" s="934"/>
      <c r="AD457" s="934"/>
      <c r="AE457" s="934"/>
      <c r="AF457" s="934"/>
      <c r="AG457" s="934"/>
      <c r="AH457" s="934"/>
      <c r="AI457" s="934"/>
      <c r="AJ457" s="934"/>
    </row>
    <row r="458" spans="2:36" ht="15" hidden="1" customHeight="1">
      <c r="B458" s="1437"/>
      <c r="C458" s="909">
        <v>524879</v>
      </c>
      <c r="D458" s="732" t="s">
        <v>1209</v>
      </c>
      <c r="E458" s="733"/>
      <c r="F458" s="733"/>
      <c r="G458" s="733"/>
      <c r="H458" s="733"/>
      <c r="I458" s="734" t="s">
        <v>178</v>
      </c>
      <c r="J458" s="838">
        <v>0</v>
      </c>
      <c r="K458" s="977">
        <f>IFERROR(_xlfn.CEILING.MATH(J458,INDEX('СВОДНАЯ СПЕЦИФИКАЦИЯ'!$C$10:$C$408,MATCH(D458,'СВОДНАЯ СПЕЦИФИКАЦИЯ'!$D$10:$D$408,0))),"Введите кол-во")</f>
        <v>0</v>
      </c>
      <c r="L458" s="978">
        <f>INDEX('СВОДНАЯ СПЕЦИФИКАЦИЯ'!$H$10:$H$408,MATCH(D458,Таблица2[Наименование материала],0))</f>
        <v>0</v>
      </c>
      <c r="M458" s="979">
        <f t="shared" si="17"/>
        <v>0</v>
      </c>
      <c r="O458" s="934">
        <f t="shared" si="18"/>
        <v>0</v>
      </c>
      <c r="Q458" s="984" t="s">
        <v>321</v>
      </c>
      <c r="R458" s="989"/>
      <c r="S458" s="989"/>
      <c r="T458" s="986">
        <v>150</v>
      </c>
      <c r="U458" s="985" t="s">
        <v>150</v>
      </c>
      <c r="V458" s="957"/>
      <c r="W458" s="957"/>
      <c r="X458" s="934"/>
      <c r="Y458" s="934"/>
      <c r="Z458" s="934"/>
      <c r="AA458" s="934"/>
      <c r="AB458" s="987"/>
      <c r="AC458" s="934"/>
      <c r="AD458" s="934"/>
      <c r="AE458" s="934"/>
      <c r="AF458" s="934"/>
      <c r="AG458" s="934"/>
      <c r="AH458" s="934"/>
      <c r="AI458" s="934"/>
      <c r="AJ458" s="934"/>
    </row>
    <row r="459" spans="2:36" ht="15" hidden="1" customHeight="1">
      <c r="B459" s="1437"/>
      <c r="C459" s="909">
        <v>524920</v>
      </c>
      <c r="D459" s="732" t="s">
        <v>1210</v>
      </c>
      <c r="E459" s="733"/>
      <c r="F459" s="733"/>
      <c r="G459" s="733"/>
      <c r="H459" s="733"/>
      <c r="I459" s="734" t="s">
        <v>178</v>
      </c>
      <c r="J459" s="838">
        <v>0</v>
      </c>
      <c r="K459" s="977">
        <f>IFERROR(_xlfn.CEILING.MATH(J459,INDEX('СВОДНАЯ СПЕЦИФИКАЦИЯ'!$C$10:$C$408,MATCH(D459,'СВОДНАЯ СПЕЦИФИКАЦИЯ'!$D$10:$D$408,0))),"Введите кол-во")</f>
        <v>0</v>
      </c>
      <c r="L459" s="978">
        <f>INDEX('СВОДНАЯ СПЕЦИФИКАЦИЯ'!$H$10:$H$408,MATCH(D459,Таблица2[Наименование материала],0))</f>
        <v>0</v>
      </c>
      <c r="M459" s="979">
        <f t="shared" si="17"/>
        <v>0</v>
      </c>
      <c r="O459" s="934">
        <f t="shared" si="18"/>
        <v>0</v>
      </c>
      <c r="Q459" s="984" t="s">
        <v>321</v>
      </c>
      <c r="R459" s="989"/>
      <c r="S459" s="989"/>
      <c r="T459" s="986">
        <v>160</v>
      </c>
      <c r="U459" s="985" t="s">
        <v>150</v>
      </c>
      <c r="V459" s="957"/>
      <c r="W459" s="957"/>
      <c r="X459" s="934"/>
      <c r="Y459" s="934"/>
      <c r="Z459" s="934"/>
      <c r="AA459" s="934"/>
      <c r="AB459" s="987"/>
      <c r="AC459" s="934"/>
      <c r="AD459" s="934"/>
      <c r="AE459" s="934"/>
      <c r="AF459" s="934"/>
      <c r="AG459" s="934"/>
      <c r="AH459" s="934"/>
      <c r="AI459" s="934"/>
      <c r="AJ459" s="934"/>
    </row>
    <row r="460" spans="2:36" ht="15" hidden="1" customHeight="1">
      <c r="B460" s="1437"/>
      <c r="C460" s="909">
        <v>524921</v>
      </c>
      <c r="D460" s="732" t="s">
        <v>1211</v>
      </c>
      <c r="E460" s="733"/>
      <c r="F460" s="733"/>
      <c r="G460" s="733"/>
      <c r="H460" s="733"/>
      <c r="I460" s="734" t="s">
        <v>178</v>
      </c>
      <c r="J460" s="838">
        <v>0</v>
      </c>
      <c r="K460" s="977">
        <f>IFERROR(_xlfn.CEILING.MATH(J460,INDEX('СВОДНАЯ СПЕЦИФИКАЦИЯ'!$C$10:$C$408,MATCH(D460,'СВОДНАЯ СПЕЦИФИКАЦИЯ'!$D$10:$D$408,0))),"Введите кол-во")</f>
        <v>0</v>
      </c>
      <c r="L460" s="978">
        <f>INDEX('СВОДНАЯ СПЕЦИФИКАЦИЯ'!$H$10:$H$408,MATCH(D460,Таблица2[Наименование материала],0))</f>
        <v>0</v>
      </c>
      <c r="M460" s="979">
        <f t="shared" si="17"/>
        <v>0</v>
      </c>
      <c r="O460" s="934">
        <f t="shared" si="18"/>
        <v>0</v>
      </c>
      <c r="Q460" s="984" t="s">
        <v>321</v>
      </c>
      <c r="R460" s="989"/>
      <c r="S460" s="989"/>
      <c r="T460" s="986">
        <v>170</v>
      </c>
      <c r="U460" s="985" t="s">
        <v>150</v>
      </c>
      <c r="V460" s="957"/>
      <c r="W460" s="957"/>
      <c r="X460" s="934"/>
      <c r="Y460" s="934"/>
      <c r="Z460" s="934"/>
      <c r="AA460" s="934"/>
      <c r="AB460" s="987"/>
      <c r="AC460" s="934"/>
      <c r="AD460" s="934"/>
      <c r="AE460" s="934"/>
      <c r="AF460" s="934"/>
      <c r="AG460" s="934"/>
      <c r="AH460" s="934"/>
      <c r="AI460" s="934"/>
      <c r="AJ460" s="934"/>
    </row>
    <row r="461" spans="2:36" ht="15" hidden="1" customHeight="1">
      <c r="B461" s="1437"/>
      <c r="C461" s="909">
        <v>523815</v>
      </c>
      <c r="D461" s="732" t="s">
        <v>1212</v>
      </c>
      <c r="E461" s="733"/>
      <c r="F461" s="733"/>
      <c r="G461" s="733"/>
      <c r="H461" s="733"/>
      <c r="I461" s="734" t="s">
        <v>178</v>
      </c>
      <c r="J461" s="838">
        <v>0</v>
      </c>
      <c r="K461" s="977">
        <f>IFERROR(_xlfn.CEILING.MATH(J461,INDEX('СВОДНАЯ СПЕЦИФИКАЦИЯ'!$C$10:$C$408,MATCH(D461,'СВОДНАЯ СПЕЦИФИКАЦИЯ'!$D$10:$D$408,0))),"Введите кол-во")</f>
        <v>0</v>
      </c>
      <c r="L461" s="978">
        <f>INDEX('СВОДНАЯ СПЕЦИФИКАЦИЯ'!$H$10:$H$408,MATCH(D461,Таблица2[Наименование материала],0))</f>
        <v>0</v>
      </c>
      <c r="M461" s="979">
        <f t="shared" si="17"/>
        <v>0</v>
      </c>
      <c r="O461" s="934">
        <f t="shared" si="18"/>
        <v>0</v>
      </c>
      <c r="Q461" s="984" t="s">
        <v>321</v>
      </c>
      <c r="R461" s="989"/>
      <c r="S461" s="989"/>
      <c r="T461" s="986">
        <v>180</v>
      </c>
      <c r="U461" s="985" t="s">
        <v>150</v>
      </c>
      <c r="V461" s="957"/>
      <c r="W461" s="957"/>
      <c r="X461" s="934"/>
      <c r="Y461" s="934"/>
      <c r="Z461" s="934"/>
      <c r="AA461" s="934"/>
      <c r="AB461" s="987"/>
      <c r="AC461" s="934"/>
      <c r="AD461" s="934"/>
      <c r="AE461" s="934"/>
      <c r="AF461" s="934"/>
      <c r="AG461" s="934"/>
      <c r="AH461" s="934"/>
      <c r="AI461" s="934"/>
      <c r="AJ461" s="934"/>
    </row>
    <row r="462" spans="2:36" ht="15" hidden="1" customHeight="1">
      <c r="B462" s="1437"/>
      <c r="C462" s="909">
        <v>524930</v>
      </c>
      <c r="D462" s="732" t="s">
        <v>1213</v>
      </c>
      <c r="E462" s="733"/>
      <c r="F462" s="733"/>
      <c r="G462" s="733"/>
      <c r="H462" s="733"/>
      <c r="I462" s="734" t="s">
        <v>178</v>
      </c>
      <c r="J462" s="838">
        <v>0</v>
      </c>
      <c r="K462" s="977">
        <f>IFERROR(_xlfn.CEILING.MATH(J462,INDEX('СВОДНАЯ СПЕЦИФИКАЦИЯ'!$C$10:$C$408,MATCH(D462,'СВОДНАЯ СПЕЦИФИКАЦИЯ'!$D$10:$D$408,0))),"Введите кол-во")</f>
        <v>0</v>
      </c>
      <c r="L462" s="978">
        <f>INDEX('СВОДНАЯ СПЕЦИФИКАЦИЯ'!$H$10:$H$408,MATCH(D462,Таблица2[Наименование материала],0))</f>
        <v>0</v>
      </c>
      <c r="M462" s="979">
        <f t="shared" si="17"/>
        <v>0</v>
      </c>
      <c r="O462" s="934">
        <f t="shared" si="18"/>
        <v>0</v>
      </c>
      <c r="Q462" s="984" t="s">
        <v>321</v>
      </c>
      <c r="R462" s="989"/>
      <c r="S462" s="989"/>
      <c r="T462" s="986">
        <v>190</v>
      </c>
      <c r="U462" s="985" t="s">
        <v>150</v>
      </c>
      <c r="V462" s="957"/>
      <c r="W462" s="957"/>
      <c r="X462" s="934"/>
      <c r="Y462" s="934"/>
      <c r="Z462" s="934"/>
      <c r="AA462" s="934"/>
      <c r="AB462" s="987"/>
      <c r="AC462" s="934"/>
      <c r="AD462" s="934"/>
      <c r="AE462" s="934"/>
      <c r="AF462" s="934"/>
      <c r="AG462" s="934"/>
      <c r="AH462" s="934"/>
      <c r="AI462" s="934"/>
      <c r="AJ462" s="934"/>
    </row>
    <row r="463" spans="2:36" ht="15" hidden="1" customHeight="1">
      <c r="B463" s="1437"/>
      <c r="C463" s="909">
        <v>524932</v>
      </c>
      <c r="D463" s="732" t="s">
        <v>1214</v>
      </c>
      <c r="E463" s="733"/>
      <c r="F463" s="733"/>
      <c r="G463" s="733"/>
      <c r="H463" s="733"/>
      <c r="I463" s="734" t="s">
        <v>178</v>
      </c>
      <c r="J463" s="838">
        <v>0</v>
      </c>
      <c r="K463" s="977">
        <f>IFERROR(_xlfn.CEILING.MATH(J463,INDEX('СВОДНАЯ СПЕЦИФИКАЦИЯ'!$C$10:$C$408,MATCH(D463,'СВОДНАЯ СПЕЦИФИКАЦИЯ'!$D$10:$D$408,0))),"Введите кол-во")</f>
        <v>0</v>
      </c>
      <c r="L463" s="978">
        <f>INDEX('СВОДНАЯ СПЕЦИФИКАЦИЯ'!$H$10:$H$408,MATCH(D463,Таблица2[Наименование материала],0))</f>
        <v>0</v>
      </c>
      <c r="M463" s="979">
        <f t="shared" si="17"/>
        <v>0</v>
      </c>
      <c r="O463" s="934">
        <f t="shared" si="18"/>
        <v>0</v>
      </c>
      <c r="Q463" s="984" t="s">
        <v>321</v>
      </c>
      <c r="R463" s="957"/>
      <c r="S463" s="957"/>
      <c r="T463" s="986">
        <v>200</v>
      </c>
      <c r="U463" s="985" t="s">
        <v>150</v>
      </c>
      <c r="V463" s="957"/>
      <c r="W463" s="957"/>
      <c r="X463" s="934"/>
      <c r="Y463" s="934"/>
      <c r="Z463" s="934"/>
      <c r="AA463" s="934"/>
      <c r="AB463" s="987"/>
      <c r="AC463" s="934"/>
      <c r="AD463" s="934"/>
      <c r="AE463" s="934"/>
      <c r="AF463" s="934"/>
      <c r="AG463" s="934"/>
      <c r="AH463" s="934"/>
      <c r="AI463" s="934"/>
      <c r="AJ463" s="934"/>
    </row>
    <row r="464" spans="2:36" ht="15" hidden="1" customHeight="1">
      <c r="B464" s="1437"/>
      <c r="C464" s="909">
        <v>644711</v>
      </c>
      <c r="D464" s="732" t="s">
        <v>1282</v>
      </c>
      <c r="E464" s="733"/>
      <c r="F464" s="733"/>
      <c r="G464" s="733"/>
      <c r="H464" s="733"/>
      <c r="I464" s="734" t="s">
        <v>112</v>
      </c>
      <c r="J464" s="736">
        <v>0</v>
      </c>
      <c r="K464" s="977">
        <f>IFERROR(_xlfn.CEILING.MATH(J464,INDEX('СВОДНАЯ СПЕЦИФИКАЦИЯ'!$C$10:$C$408,MATCH(D464,'СВОДНАЯ СПЕЦИФИКАЦИЯ'!$D$10:$D$408,0))),"Введите кол-во")</f>
        <v>0</v>
      </c>
      <c r="L464" s="978">
        <f>INDEX('СВОДНАЯ СПЕЦИФИКАЦИЯ'!$H$10:$H$408,MATCH(D464,Таблица2[Наименование материала],0))</f>
        <v>0</v>
      </c>
      <c r="M464" s="979">
        <f t="shared" si="17"/>
        <v>0</v>
      </c>
      <c r="O464" s="934">
        <f t="shared" si="18"/>
        <v>0</v>
      </c>
      <c r="Q464" s="984" t="s">
        <v>1157</v>
      </c>
      <c r="R464" s="999"/>
      <c r="S464" s="991"/>
      <c r="T464" s="986">
        <v>30</v>
      </c>
      <c r="U464" s="985" t="s">
        <v>150</v>
      </c>
      <c r="V464" s="957"/>
      <c r="W464" s="957"/>
      <c r="X464" s="934"/>
      <c r="Y464" s="934"/>
      <c r="Z464" s="934"/>
      <c r="AA464" s="934"/>
      <c r="AB464" s="987"/>
      <c r="AC464" s="934"/>
      <c r="AD464" s="934"/>
      <c r="AE464" s="934"/>
      <c r="AF464" s="934"/>
      <c r="AG464" s="934"/>
      <c r="AH464" s="934"/>
      <c r="AI464" s="934"/>
      <c r="AJ464" s="934"/>
    </row>
    <row r="465" spans="2:36" ht="15" hidden="1" customHeight="1">
      <c r="B465" s="1437"/>
      <c r="C465" s="909">
        <v>644712</v>
      </c>
      <c r="D465" s="732" t="s">
        <v>1283</v>
      </c>
      <c r="E465" s="733"/>
      <c r="F465" s="733"/>
      <c r="G465" s="733"/>
      <c r="H465" s="733"/>
      <c r="I465" s="734" t="s">
        <v>112</v>
      </c>
      <c r="J465" s="736">
        <v>0</v>
      </c>
      <c r="K465" s="977">
        <f>IFERROR(_xlfn.CEILING.MATH(J465,INDEX('СВОДНАЯ СПЕЦИФИКАЦИЯ'!$C$10:$C$408,MATCH(D465,'СВОДНАЯ СПЕЦИФИКАЦИЯ'!$D$10:$D$408,0))),"Введите кол-во")</f>
        <v>0</v>
      </c>
      <c r="L465" s="978">
        <f>INDEX('СВОДНАЯ СПЕЦИФИКАЦИЯ'!$H$10:$H$408,MATCH(D465,Таблица2[Наименование материала],0))</f>
        <v>0</v>
      </c>
      <c r="M465" s="979">
        <f t="shared" si="17"/>
        <v>0</v>
      </c>
      <c r="O465" s="934">
        <f t="shared" si="18"/>
        <v>0</v>
      </c>
      <c r="Q465" s="984" t="s">
        <v>1157</v>
      </c>
      <c r="R465" s="999"/>
      <c r="S465" s="991"/>
      <c r="T465" s="986">
        <v>40</v>
      </c>
      <c r="U465" s="985" t="s">
        <v>150</v>
      </c>
      <c r="V465" s="957"/>
      <c r="W465" s="957"/>
      <c r="X465" s="934"/>
      <c r="Y465" s="934"/>
      <c r="Z465" s="934"/>
      <c r="AA465" s="934"/>
      <c r="AB465" s="987"/>
      <c r="AC465" s="934"/>
      <c r="AD465" s="934"/>
      <c r="AE465" s="934"/>
      <c r="AF465" s="934"/>
      <c r="AG465" s="934"/>
      <c r="AH465" s="934"/>
      <c r="AI465" s="934"/>
      <c r="AJ465" s="934"/>
    </row>
    <row r="466" spans="2:36" ht="15" hidden="1" customHeight="1">
      <c r="B466" s="1437"/>
      <c r="C466" s="909">
        <v>644713</v>
      </c>
      <c r="D466" s="732" t="s">
        <v>1285</v>
      </c>
      <c r="E466" s="733"/>
      <c r="F466" s="733"/>
      <c r="G466" s="733"/>
      <c r="H466" s="733"/>
      <c r="I466" s="734" t="s">
        <v>112</v>
      </c>
      <c r="J466" s="736">
        <v>0</v>
      </c>
      <c r="K466" s="977">
        <f>IFERROR(_xlfn.CEILING.MATH(J466,INDEX('СВОДНАЯ СПЕЦИФИКАЦИЯ'!$C$10:$C$408,MATCH(D466,'СВОДНАЯ СПЕЦИФИКАЦИЯ'!$D$10:$D$408,0))),"Введите кол-во")</f>
        <v>0</v>
      </c>
      <c r="L466" s="978">
        <f>INDEX('СВОДНАЯ СПЕЦИФИКАЦИЯ'!$H$10:$H$408,MATCH(D466,Таблица2[Наименование материала],0))</f>
        <v>0</v>
      </c>
      <c r="M466" s="979">
        <f t="shared" si="17"/>
        <v>0</v>
      </c>
      <c r="O466" s="934">
        <f t="shared" si="18"/>
        <v>0</v>
      </c>
      <c r="Q466" s="984" t="s">
        <v>1157</v>
      </c>
      <c r="R466" s="999"/>
      <c r="S466" s="991"/>
      <c r="T466" s="986">
        <v>50</v>
      </c>
      <c r="U466" s="985" t="s">
        <v>150</v>
      </c>
      <c r="V466" s="957"/>
      <c r="W466" s="957"/>
      <c r="X466" s="934"/>
      <c r="Y466" s="934"/>
      <c r="Z466" s="934"/>
      <c r="AA466" s="934"/>
      <c r="AB466" s="987"/>
      <c r="AC466" s="934"/>
      <c r="AD466" s="934"/>
      <c r="AE466" s="934"/>
      <c r="AF466" s="934"/>
      <c r="AG466" s="934"/>
      <c r="AH466" s="934"/>
      <c r="AI466" s="934"/>
      <c r="AJ466" s="934"/>
    </row>
    <row r="467" spans="2:36" ht="15" hidden="1" customHeight="1">
      <c r="B467" s="1437"/>
      <c r="C467" s="909">
        <v>644714</v>
      </c>
      <c r="D467" s="732" t="s">
        <v>1287</v>
      </c>
      <c r="E467" s="733"/>
      <c r="F467" s="733"/>
      <c r="G467" s="733"/>
      <c r="H467" s="733"/>
      <c r="I467" s="734" t="s">
        <v>112</v>
      </c>
      <c r="J467" s="736">
        <v>0</v>
      </c>
      <c r="K467" s="977">
        <f>IFERROR(_xlfn.CEILING.MATH(J467,INDEX('СВОДНАЯ СПЕЦИФИКАЦИЯ'!$C$10:$C$408,MATCH(D467,'СВОДНАЯ СПЕЦИФИКАЦИЯ'!$D$10:$D$408,0))),"Введите кол-во")</f>
        <v>0</v>
      </c>
      <c r="L467" s="978">
        <f>INDEX('СВОДНАЯ СПЕЦИФИКАЦИЯ'!$H$10:$H$408,MATCH(D467,Таблица2[Наименование материала],0))</f>
        <v>0</v>
      </c>
      <c r="M467" s="979">
        <f t="shared" si="17"/>
        <v>0</v>
      </c>
      <c r="O467" s="934">
        <f t="shared" si="18"/>
        <v>0</v>
      </c>
      <c r="Q467" s="984" t="s">
        <v>1157</v>
      </c>
      <c r="R467" s="999"/>
      <c r="S467" s="991"/>
      <c r="T467" s="986">
        <v>60</v>
      </c>
      <c r="U467" s="985" t="s">
        <v>150</v>
      </c>
      <c r="V467" s="957"/>
      <c r="W467" s="957"/>
      <c r="X467" s="934"/>
      <c r="Y467" s="934"/>
      <c r="Z467" s="934"/>
      <c r="AA467" s="934"/>
      <c r="AB467" s="987"/>
      <c r="AC467" s="934"/>
      <c r="AD467" s="934"/>
      <c r="AE467" s="934"/>
      <c r="AF467" s="934"/>
      <c r="AG467" s="934"/>
      <c r="AH467" s="934"/>
      <c r="AI467" s="934"/>
      <c r="AJ467" s="934"/>
    </row>
    <row r="468" spans="2:36" ht="15" hidden="1" customHeight="1">
      <c r="B468" s="1437"/>
      <c r="C468" s="909">
        <v>644715</v>
      </c>
      <c r="D468" s="732" t="s">
        <v>1289</v>
      </c>
      <c r="E468" s="733"/>
      <c r="F468" s="733"/>
      <c r="G468" s="733"/>
      <c r="H468" s="733"/>
      <c r="I468" s="734" t="s">
        <v>112</v>
      </c>
      <c r="J468" s="736">
        <v>0</v>
      </c>
      <c r="K468" s="977">
        <f>IFERROR(_xlfn.CEILING.MATH(J468,INDEX('СВОДНАЯ СПЕЦИФИКАЦИЯ'!$C$10:$C$408,MATCH(D468,'СВОДНАЯ СПЕЦИФИКАЦИЯ'!$D$10:$D$408,0))),"Введите кол-во")</f>
        <v>0</v>
      </c>
      <c r="L468" s="978">
        <f>INDEX('СВОДНАЯ СПЕЦИФИКАЦИЯ'!$H$10:$H$408,MATCH(D468,Таблица2[Наименование материала],0))</f>
        <v>0</v>
      </c>
      <c r="M468" s="979">
        <f t="shared" si="17"/>
        <v>0</v>
      </c>
      <c r="O468" s="934">
        <f t="shared" si="18"/>
        <v>0</v>
      </c>
      <c r="Q468" s="984" t="s">
        <v>1157</v>
      </c>
      <c r="R468" s="999"/>
      <c r="S468" s="991"/>
      <c r="T468" s="986">
        <v>70</v>
      </c>
      <c r="U468" s="985" t="s">
        <v>150</v>
      </c>
      <c r="V468" s="957"/>
      <c r="W468" s="957"/>
      <c r="X468" s="934"/>
      <c r="Y468" s="934"/>
      <c r="Z468" s="934"/>
      <c r="AA468" s="934"/>
      <c r="AB468" s="987"/>
      <c r="AC468" s="934"/>
      <c r="AD468" s="934"/>
      <c r="AE468" s="934"/>
      <c r="AF468" s="934"/>
      <c r="AG468" s="934"/>
      <c r="AH468" s="934"/>
      <c r="AI468" s="934"/>
      <c r="AJ468" s="934"/>
    </row>
    <row r="469" spans="2:36" ht="15" hidden="1" customHeight="1">
      <c r="B469" s="1437"/>
      <c r="C469" s="909">
        <v>644716</v>
      </c>
      <c r="D469" s="732" t="s">
        <v>1291</v>
      </c>
      <c r="E469" s="733"/>
      <c r="F469" s="733"/>
      <c r="G469" s="733"/>
      <c r="H469" s="733"/>
      <c r="I469" s="734" t="s">
        <v>112</v>
      </c>
      <c r="J469" s="736">
        <v>0</v>
      </c>
      <c r="K469" s="977">
        <f>IFERROR(_xlfn.CEILING.MATH(J469,INDEX('СВОДНАЯ СПЕЦИФИКАЦИЯ'!$C$10:$C$408,MATCH(D469,'СВОДНАЯ СПЕЦИФИКАЦИЯ'!$D$10:$D$408,0))),"Введите кол-во")</f>
        <v>0</v>
      </c>
      <c r="L469" s="978">
        <f>INDEX('СВОДНАЯ СПЕЦИФИКАЦИЯ'!$H$10:$H$408,MATCH(D469,Таблица2[Наименование материала],0))</f>
        <v>0</v>
      </c>
      <c r="M469" s="979">
        <f t="shared" si="17"/>
        <v>0</v>
      </c>
      <c r="O469" s="934">
        <f t="shared" si="18"/>
        <v>0</v>
      </c>
      <c r="Q469" s="984" t="s">
        <v>1157</v>
      </c>
      <c r="R469" s="999"/>
      <c r="S469" s="991"/>
      <c r="T469" s="986">
        <v>80</v>
      </c>
      <c r="U469" s="985" t="s">
        <v>150</v>
      </c>
      <c r="V469" s="957"/>
      <c r="W469" s="957"/>
      <c r="X469" s="934"/>
      <c r="Y469" s="934"/>
      <c r="Z469" s="934"/>
      <c r="AA469" s="934"/>
      <c r="AB469" s="987"/>
      <c r="AC469" s="934"/>
      <c r="AD469" s="934"/>
      <c r="AE469" s="934"/>
      <c r="AF469" s="934"/>
      <c r="AG469" s="934"/>
      <c r="AH469" s="934"/>
      <c r="AI469" s="934"/>
      <c r="AJ469" s="934"/>
    </row>
    <row r="470" spans="2:36" ht="15" hidden="1" customHeight="1">
      <c r="B470" s="1437"/>
      <c r="C470" s="909">
        <v>644717</v>
      </c>
      <c r="D470" s="732" t="s">
        <v>1293</v>
      </c>
      <c r="E470" s="733"/>
      <c r="F470" s="733"/>
      <c r="G470" s="733"/>
      <c r="H470" s="733"/>
      <c r="I470" s="734" t="s">
        <v>112</v>
      </c>
      <c r="J470" s="736">
        <v>0</v>
      </c>
      <c r="K470" s="977">
        <f>IFERROR(_xlfn.CEILING.MATH(J470,INDEX('СВОДНАЯ СПЕЦИФИКАЦИЯ'!$C$10:$C$408,MATCH(D470,'СВОДНАЯ СПЕЦИФИКАЦИЯ'!$D$10:$D$408,0))),"Введите кол-во")</f>
        <v>0</v>
      </c>
      <c r="L470" s="978">
        <f>INDEX('СВОДНАЯ СПЕЦИФИКАЦИЯ'!$H$10:$H$408,MATCH(D470,Таблица2[Наименование материала],0))</f>
        <v>0</v>
      </c>
      <c r="M470" s="979">
        <f t="shared" si="17"/>
        <v>0</v>
      </c>
      <c r="O470" s="934">
        <f t="shared" si="18"/>
        <v>0</v>
      </c>
      <c r="Q470" s="984" t="s">
        <v>1157</v>
      </c>
      <c r="R470" s="999"/>
      <c r="S470" s="991"/>
      <c r="T470" s="986">
        <v>90</v>
      </c>
      <c r="U470" s="985" t="s">
        <v>150</v>
      </c>
      <c r="V470" s="957"/>
      <c r="W470" s="957"/>
      <c r="X470" s="934"/>
      <c r="Y470" s="934"/>
      <c r="Z470" s="934"/>
      <c r="AA470" s="934"/>
      <c r="AB470" s="987"/>
      <c r="AC470" s="934"/>
      <c r="AD470" s="934"/>
      <c r="AE470" s="934"/>
      <c r="AF470" s="934"/>
      <c r="AG470" s="934"/>
      <c r="AH470" s="934"/>
      <c r="AI470" s="934"/>
      <c r="AJ470" s="934"/>
    </row>
    <row r="471" spans="2:36" ht="15" hidden="1" customHeight="1">
      <c r="B471" s="1437"/>
      <c r="C471" s="909">
        <v>695158</v>
      </c>
      <c r="D471" s="732" t="s">
        <v>1295</v>
      </c>
      <c r="E471" s="733"/>
      <c r="F471" s="733"/>
      <c r="G471" s="733"/>
      <c r="H471" s="733"/>
      <c r="I471" s="734" t="s">
        <v>112</v>
      </c>
      <c r="J471" s="736">
        <v>0</v>
      </c>
      <c r="K471" s="977">
        <f>IFERROR(_xlfn.CEILING.MATH(J471,INDEX('СВОДНАЯ СПЕЦИФИКАЦИЯ'!$C$10:$C$408,MATCH(D471,'СВОДНАЯ СПЕЦИФИКАЦИЯ'!$D$10:$D$408,0))),"Введите кол-во")</f>
        <v>0</v>
      </c>
      <c r="L471" s="978">
        <f>INDEX('СВОДНАЯ СПЕЦИФИКАЦИЯ'!$H$10:$H$408,MATCH(D471,Таблица2[Наименование материала],0))</f>
        <v>0</v>
      </c>
      <c r="M471" s="979">
        <f t="shared" si="17"/>
        <v>0</v>
      </c>
      <c r="O471" s="934">
        <f t="shared" si="18"/>
        <v>0</v>
      </c>
      <c r="Q471" s="984" t="s">
        <v>1157</v>
      </c>
      <c r="R471" s="999"/>
      <c r="S471" s="991"/>
      <c r="T471" s="986">
        <v>100</v>
      </c>
      <c r="U471" s="985" t="s">
        <v>150</v>
      </c>
      <c r="V471" s="957"/>
      <c r="W471" s="957"/>
      <c r="X471" s="934"/>
      <c r="Y471" s="934"/>
      <c r="Z471" s="934"/>
      <c r="AA471" s="934"/>
      <c r="AB471" s="987"/>
      <c r="AC471" s="934"/>
      <c r="AD471" s="934"/>
      <c r="AE471" s="934"/>
      <c r="AF471" s="934"/>
      <c r="AG471" s="934"/>
      <c r="AH471" s="934"/>
      <c r="AI471" s="934"/>
      <c r="AJ471" s="934"/>
    </row>
    <row r="472" spans="2:36" ht="15" hidden="1" customHeight="1">
      <c r="B472" s="1437"/>
      <c r="C472" s="909">
        <v>644719</v>
      </c>
      <c r="D472" s="732" t="s">
        <v>1296</v>
      </c>
      <c r="E472" s="733"/>
      <c r="F472" s="733"/>
      <c r="G472" s="733"/>
      <c r="H472" s="733"/>
      <c r="I472" s="734" t="s">
        <v>112</v>
      </c>
      <c r="J472" s="736">
        <v>0</v>
      </c>
      <c r="K472" s="977">
        <f>IFERROR(_xlfn.CEILING.MATH(J472,INDEX('СВОДНАЯ СПЕЦИФИКАЦИЯ'!$C$10:$C$408,MATCH(D472,'СВОДНАЯ СПЕЦИФИКАЦИЯ'!$D$10:$D$408,0))),"Введите кол-во")</f>
        <v>0</v>
      </c>
      <c r="L472" s="978">
        <f>INDEX('СВОДНАЯ СПЕЦИФИКАЦИЯ'!$H$10:$H$408,MATCH(D472,Таблица2[Наименование материала],0))</f>
        <v>0</v>
      </c>
      <c r="M472" s="979">
        <f t="shared" si="17"/>
        <v>0</v>
      </c>
      <c r="O472" s="934">
        <f t="shared" si="18"/>
        <v>0</v>
      </c>
      <c r="Q472" s="984" t="s">
        <v>1157</v>
      </c>
      <c r="R472" s="999"/>
      <c r="S472" s="991"/>
      <c r="T472" s="986">
        <v>110</v>
      </c>
      <c r="U472" s="985" t="s">
        <v>150</v>
      </c>
      <c r="V472" s="957"/>
      <c r="W472" s="957"/>
      <c r="X472" s="934"/>
      <c r="Y472" s="934"/>
      <c r="Z472" s="934"/>
      <c r="AA472" s="934"/>
      <c r="AB472" s="987"/>
      <c r="AC472" s="934"/>
      <c r="AD472" s="934"/>
      <c r="AE472" s="934"/>
      <c r="AF472" s="934"/>
      <c r="AG472" s="934"/>
      <c r="AH472" s="934"/>
      <c r="AI472" s="934"/>
      <c r="AJ472" s="934"/>
    </row>
    <row r="473" spans="2:36" ht="15" hidden="1" customHeight="1">
      <c r="B473" s="1437"/>
      <c r="C473" s="909">
        <v>644720</v>
      </c>
      <c r="D473" s="732" t="s">
        <v>1297</v>
      </c>
      <c r="E473" s="733"/>
      <c r="F473" s="733"/>
      <c r="G473" s="733"/>
      <c r="H473" s="733"/>
      <c r="I473" s="734" t="s">
        <v>112</v>
      </c>
      <c r="J473" s="736">
        <v>0</v>
      </c>
      <c r="K473" s="977">
        <f>IFERROR(_xlfn.CEILING.MATH(J473,INDEX('СВОДНАЯ СПЕЦИФИКАЦИЯ'!$C$10:$C$408,MATCH(D473,'СВОДНАЯ СПЕЦИФИКАЦИЯ'!$D$10:$D$408,0))),"Введите кол-во")</f>
        <v>0</v>
      </c>
      <c r="L473" s="978">
        <f>INDEX('СВОДНАЯ СПЕЦИФИКАЦИЯ'!$H$10:$H$408,MATCH(D473,Таблица2[Наименование материала],0))</f>
        <v>0</v>
      </c>
      <c r="M473" s="979">
        <f t="shared" si="17"/>
        <v>0</v>
      </c>
      <c r="O473" s="934">
        <f t="shared" si="18"/>
        <v>0</v>
      </c>
      <c r="Q473" s="984" t="s">
        <v>1157</v>
      </c>
      <c r="R473" s="999"/>
      <c r="S473" s="991"/>
      <c r="T473" s="986">
        <v>120</v>
      </c>
      <c r="U473" s="985" t="s">
        <v>150</v>
      </c>
      <c r="V473" s="957"/>
      <c r="W473" s="957"/>
      <c r="X473" s="934"/>
      <c r="Y473" s="934"/>
      <c r="Z473" s="934"/>
      <c r="AA473" s="934"/>
      <c r="AB473" s="987"/>
      <c r="AC473" s="934"/>
      <c r="AD473" s="934"/>
      <c r="AE473" s="934"/>
      <c r="AF473" s="934"/>
      <c r="AG473" s="934"/>
      <c r="AH473" s="934"/>
      <c r="AI473" s="934"/>
      <c r="AJ473" s="934"/>
    </row>
    <row r="474" spans="2:36" ht="15" hidden="1" customHeight="1">
      <c r="B474" s="1437"/>
      <c r="C474" s="909">
        <v>644721</v>
      </c>
      <c r="D474" s="732" t="s">
        <v>1298</v>
      </c>
      <c r="E474" s="733"/>
      <c r="F474" s="733"/>
      <c r="G474" s="733"/>
      <c r="H474" s="733"/>
      <c r="I474" s="734" t="s">
        <v>112</v>
      </c>
      <c r="J474" s="736">
        <v>0</v>
      </c>
      <c r="K474" s="977">
        <f>IFERROR(_xlfn.CEILING.MATH(J474,INDEX('СВОДНАЯ СПЕЦИФИКАЦИЯ'!$C$10:$C$408,MATCH(D474,'СВОДНАЯ СПЕЦИФИКАЦИЯ'!$D$10:$D$408,0))),"Введите кол-во")</f>
        <v>0</v>
      </c>
      <c r="L474" s="978">
        <f>INDEX('СВОДНАЯ СПЕЦИФИКАЦИЯ'!$H$10:$H$408,MATCH(D474,Таблица2[Наименование материала],0))</f>
        <v>0</v>
      </c>
      <c r="M474" s="979">
        <f t="shared" si="17"/>
        <v>0</v>
      </c>
      <c r="O474" s="934">
        <f t="shared" si="18"/>
        <v>0</v>
      </c>
      <c r="Q474" s="984" t="s">
        <v>1157</v>
      </c>
      <c r="R474" s="999"/>
      <c r="S474" s="991"/>
      <c r="T474" s="986">
        <v>130</v>
      </c>
      <c r="U474" s="985" t="s">
        <v>150</v>
      </c>
      <c r="V474" s="957"/>
      <c r="W474" s="957"/>
      <c r="X474" s="934"/>
      <c r="Y474" s="934"/>
      <c r="Z474" s="934"/>
      <c r="AA474" s="934"/>
      <c r="AB474" s="987"/>
      <c r="AC474" s="934"/>
      <c r="AD474" s="934"/>
      <c r="AE474" s="934"/>
      <c r="AF474" s="934"/>
      <c r="AG474" s="934"/>
      <c r="AH474" s="934"/>
      <c r="AI474" s="934"/>
      <c r="AJ474" s="934"/>
    </row>
    <row r="475" spans="2:36" ht="15" hidden="1" customHeight="1">
      <c r="B475" s="1437"/>
      <c r="C475" s="909">
        <v>644722</v>
      </c>
      <c r="D475" s="732" t="s">
        <v>1299</v>
      </c>
      <c r="E475" s="733"/>
      <c r="F475" s="733"/>
      <c r="G475" s="733"/>
      <c r="H475" s="733"/>
      <c r="I475" s="734" t="s">
        <v>112</v>
      </c>
      <c r="J475" s="736">
        <v>0</v>
      </c>
      <c r="K475" s="977">
        <f>IFERROR(_xlfn.CEILING.MATH(J475,INDEX('СВОДНАЯ СПЕЦИФИКАЦИЯ'!$C$10:$C$408,MATCH(D475,'СВОДНАЯ СПЕЦИФИКАЦИЯ'!$D$10:$D$408,0))),"Введите кол-во")</f>
        <v>0</v>
      </c>
      <c r="L475" s="978">
        <f>INDEX('СВОДНАЯ СПЕЦИФИКАЦИЯ'!$H$10:$H$408,MATCH(D475,Таблица2[Наименование материала],0))</f>
        <v>0</v>
      </c>
      <c r="M475" s="979">
        <f t="shared" si="17"/>
        <v>0</v>
      </c>
      <c r="O475" s="934">
        <f t="shared" si="18"/>
        <v>0</v>
      </c>
      <c r="Q475" s="984" t="s">
        <v>1157</v>
      </c>
      <c r="R475" s="999"/>
      <c r="S475" s="991"/>
      <c r="T475" s="986">
        <v>140</v>
      </c>
      <c r="U475" s="985" t="s">
        <v>150</v>
      </c>
      <c r="V475" s="957"/>
      <c r="W475" s="957"/>
      <c r="X475" s="934"/>
      <c r="Y475" s="934"/>
      <c r="Z475" s="934"/>
      <c r="AA475" s="934"/>
      <c r="AB475" s="987"/>
      <c r="AC475" s="934"/>
      <c r="AD475" s="934"/>
      <c r="AE475" s="934"/>
      <c r="AF475" s="934"/>
      <c r="AG475" s="934"/>
      <c r="AH475" s="934"/>
      <c r="AI475" s="934"/>
      <c r="AJ475" s="934"/>
    </row>
    <row r="476" spans="2:36" ht="15" hidden="1" customHeight="1">
      <c r="B476" s="1437"/>
      <c r="C476" s="909">
        <v>644723</v>
      </c>
      <c r="D476" s="732" t="s">
        <v>1300</v>
      </c>
      <c r="E476" s="733"/>
      <c r="F476" s="733"/>
      <c r="G476" s="733"/>
      <c r="H476" s="733"/>
      <c r="I476" s="734" t="s">
        <v>112</v>
      </c>
      <c r="J476" s="736">
        <v>0</v>
      </c>
      <c r="K476" s="977">
        <f>IFERROR(_xlfn.CEILING.MATH(J476,INDEX('СВОДНАЯ СПЕЦИФИКАЦИЯ'!$C$10:$C$408,MATCH(D476,'СВОДНАЯ СПЕЦИФИКАЦИЯ'!$D$10:$D$408,0))),"Введите кол-во")</f>
        <v>0</v>
      </c>
      <c r="L476" s="978">
        <f>INDEX('СВОДНАЯ СПЕЦИФИКАЦИЯ'!$H$10:$H$408,MATCH(D476,Таблица2[Наименование материала],0))</f>
        <v>0</v>
      </c>
      <c r="M476" s="979">
        <f t="shared" si="17"/>
        <v>0</v>
      </c>
      <c r="O476" s="934">
        <f t="shared" si="18"/>
        <v>0</v>
      </c>
      <c r="Q476" s="984" t="s">
        <v>1157</v>
      </c>
      <c r="R476" s="999"/>
      <c r="S476" s="991"/>
      <c r="T476" s="986">
        <v>150</v>
      </c>
      <c r="U476" s="985" t="s">
        <v>150</v>
      </c>
      <c r="V476" s="957">
        <f>SUMIF(D1:D1010,'СВОДНАЯ СПЕЦИФИКАЦИЯ'!D10,J1:J1010)</f>
        <v>0</v>
      </c>
      <c r="W476" s="957"/>
      <c r="X476" s="934"/>
      <c r="Y476" s="934"/>
      <c r="Z476" s="934"/>
      <c r="AA476" s="934"/>
      <c r="AB476" s="987"/>
      <c r="AC476" s="934"/>
      <c r="AD476" s="934"/>
      <c r="AE476" s="934"/>
      <c r="AF476" s="934"/>
      <c r="AG476" s="934"/>
      <c r="AH476" s="934"/>
      <c r="AI476" s="934"/>
      <c r="AJ476" s="934"/>
    </row>
    <row r="477" spans="2:36" ht="15" hidden="1" customHeight="1">
      <c r="B477" s="1437"/>
      <c r="C477" s="909">
        <v>644856</v>
      </c>
      <c r="D477" s="732" t="s">
        <v>1301</v>
      </c>
      <c r="E477" s="733"/>
      <c r="F477" s="733"/>
      <c r="G477" s="733"/>
      <c r="H477" s="733"/>
      <c r="I477" s="734" t="s">
        <v>112</v>
      </c>
      <c r="J477" s="736">
        <v>0</v>
      </c>
      <c r="K477" s="977">
        <f>IFERROR(_xlfn.CEILING.MATH(J477,INDEX('СВОДНАЯ СПЕЦИФИКАЦИЯ'!$C$10:$C$408,MATCH(D477,'СВОДНАЯ СПЕЦИФИКАЦИЯ'!$D$10:$D$408,0))),"Введите кол-во")</f>
        <v>0</v>
      </c>
      <c r="L477" s="978">
        <f>INDEX('СВОДНАЯ СПЕЦИФИКАЦИЯ'!$H$10:$H$408,MATCH(D477,Таблица2[Наименование материала],0))</f>
        <v>0</v>
      </c>
      <c r="M477" s="979">
        <f t="shared" si="17"/>
        <v>0</v>
      </c>
      <c r="O477" s="934">
        <f t="shared" si="18"/>
        <v>0</v>
      </c>
      <c r="Q477" s="984" t="s">
        <v>1158</v>
      </c>
      <c r="R477" s="999"/>
      <c r="S477" s="991"/>
      <c r="T477" s="986">
        <v>30</v>
      </c>
      <c r="U477" s="985" t="s">
        <v>150</v>
      </c>
      <c r="V477" s="957"/>
      <c r="W477" s="957"/>
      <c r="X477" s="934"/>
      <c r="Y477" s="934"/>
      <c r="Z477" s="934"/>
      <c r="AA477" s="934"/>
      <c r="AB477" s="987"/>
      <c r="AC477" s="934"/>
      <c r="AD477" s="934"/>
      <c r="AE477" s="934"/>
      <c r="AF477" s="934"/>
      <c r="AG477" s="934"/>
      <c r="AH477" s="934"/>
      <c r="AI477" s="934"/>
      <c r="AJ477" s="934"/>
    </row>
    <row r="478" spans="2:36" ht="15" hidden="1" customHeight="1">
      <c r="B478" s="1437"/>
      <c r="C478" s="909">
        <v>644866</v>
      </c>
      <c r="D478" s="732" t="s">
        <v>1302</v>
      </c>
      <c r="E478" s="733"/>
      <c r="F478" s="733"/>
      <c r="G478" s="733"/>
      <c r="H478" s="733"/>
      <c r="I478" s="734" t="s">
        <v>112</v>
      </c>
      <c r="J478" s="736">
        <v>0</v>
      </c>
      <c r="K478" s="977">
        <f>IFERROR(_xlfn.CEILING.MATH(J478,INDEX('СВОДНАЯ СПЕЦИФИКАЦИЯ'!$C$10:$C$408,MATCH(D478,'СВОДНАЯ СПЕЦИФИКАЦИЯ'!$D$10:$D$408,0))),"Введите кол-во")</f>
        <v>0</v>
      </c>
      <c r="L478" s="978">
        <f>INDEX('СВОДНАЯ СПЕЦИФИКАЦИЯ'!$H$10:$H$408,MATCH(D478,Таблица2[Наименование материала],0))</f>
        <v>0</v>
      </c>
      <c r="M478" s="979">
        <f t="shared" si="17"/>
        <v>0</v>
      </c>
      <c r="O478" s="934">
        <f t="shared" si="18"/>
        <v>0</v>
      </c>
      <c r="Q478" s="984" t="s">
        <v>1158</v>
      </c>
      <c r="R478" s="999"/>
      <c r="S478" s="991"/>
      <c r="T478" s="986">
        <v>40</v>
      </c>
      <c r="U478" s="985" t="s">
        <v>150</v>
      </c>
      <c r="V478" s="957"/>
      <c r="W478" s="957"/>
      <c r="X478" s="934"/>
      <c r="Y478" s="934"/>
      <c r="Z478" s="934"/>
      <c r="AA478" s="934"/>
      <c r="AB478" s="987"/>
      <c r="AC478" s="934"/>
      <c r="AD478" s="934"/>
      <c r="AE478" s="934"/>
      <c r="AF478" s="934"/>
      <c r="AG478" s="934"/>
      <c r="AH478" s="934"/>
      <c r="AI478" s="934"/>
      <c r="AJ478" s="934"/>
    </row>
    <row r="479" spans="2:36" ht="15" hidden="1" customHeight="1">
      <c r="B479" s="1437"/>
      <c r="C479" s="909">
        <v>644869</v>
      </c>
      <c r="D479" s="732" t="s">
        <v>1304</v>
      </c>
      <c r="E479" s="733"/>
      <c r="F479" s="733"/>
      <c r="G479" s="733"/>
      <c r="H479" s="733"/>
      <c r="I479" s="734" t="s">
        <v>112</v>
      </c>
      <c r="J479" s="736">
        <v>0</v>
      </c>
      <c r="K479" s="977">
        <f>IFERROR(_xlfn.CEILING.MATH(J479,INDEX('СВОДНАЯ СПЕЦИФИКАЦИЯ'!$C$10:$C$408,MATCH(D479,'СВОДНАЯ СПЕЦИФИКАЦИЯ'!$D$10:$D$408,0))),"Введите кол-во")</f>
        <v>0</v>
      </c>
      <c r="L479" s="978">
        <f>INDEX('СВОДНАЯ СПЕЦИФИКАЦИЯ'!$H$10:$H$408,MATCH(D479,Таблица2[Наименование материала],0))</f>
        <v>0</v>
      </c>
      <c r="M479" s="979">
        <f t="shared" si="17"/>
        <v>0</v>
      </c>
      <c r="O479" s="934">
        <f t="shared" si="18"/>
        <v>0</v>
      </c>
      <c r="Q479" s="984" t="s">
        <v>1158</v>
      </c>
      <c r="R479" s="999"/>
      <c r="S479" s="991"/>
      <c r="T479" s="986">
        <v>50</v>
      </c>
      <c r="U479" s="985" t="s">
        <v>150</v>
      </c>
      <c r="V479" s="957"/>
      <c r="W479" s="957"/>
      <c r="X479" s="934"/>
      <c r="Y479" s="934"/>
      <c r="Z479" s="934"/>
      <c r="AA479" s="934"/>
      <c r="AB479" s="987"/>
      <c r="AC479" s="934"/>
      <c r="AD479" s="934"/>
      <c r="AE479" s="934"/>
      <c r="AF479" s="934"/>
      <c r="AG479" s="934"/>
      <c r="AH479" s="934"/>
      <c r="AI479" s="934"/>
      <c r="AJ479" s="934"/>
    </row>
    <row r="480" spans="2:36" ht="15" hidden="1" customHeight="1">
      <c r="B480" s="1437"/>
      <c r="C480" s="909">
        <v>644872</v>
      </c>
      <c r="D480" s="732" t="s">
        <v>1306</v>
      </c>
      <c r="E480" s="733"/>
      <c r="F480" s="733"/>
      <c r="G480" s="733"/>
      <c r="H480" s="733"/>
      <c r="I480" s="734" t="s">
        <v>112</v>
      </c>
      <c r="J480" s="736">
        <v>0</v>
      </c>
      <c r="K480" s="977">
        <f>IFERROR(_xlfn.CEILING.MATH(J480,INDEX('СВОДНАЯ СПЕЦИФИКАЦИЯ'!$C$10:$C$408,MATCH(D480,'СВОДНАЯ СПЕЦИФИКАЦИЯ'!$D$10:$D$408,0))),"Введите кол-во")</f>
        <v>0</v>
      </c>
      <c r="L480" s="978">
        <f>INDEX('СВОДНАЯ СПЕЦИФИКАЦИЯ'!$H$10:$H$408,MATCH(D480,Таблица2[Наименование материала],0))</f>
        <v>0</v>
      </c>
      <c r="M480" s="979">
        <f t="shared" si="17"/>
        <v>0</v>
      </c>
      <c r="O480" s="934">
        <f t="shared" si="18"/>
        <v>0</v>
      </c>
      <c r="Q480" s="984" t="s">
        <v>1158</v>
      </c>
      <c r="R480" s="999"/>
      <c r="S480" s="991"/>
      <c r="T480" s="986">
        <v>60</v>
      </c>
      <c r="U480" s="985" t="s">
        <v>150</v>
      </c>
      <c r="V480" s="957"/>
      <c r="W480" s="957"/>
      <c r="X480" s="934"/>
      <c r="Y480" s="934"/>
      <c r="Z480" s="934"/>
      <c r="AA480" s="934"/>
      <c r="AB480" s="987"/>
      <c r="AC480" s="934"/>
      <c r="AD480" s="934"/>
      <c r="AE480" s="934"/>
      <c r="AF480" s="934"/>
      <c r="AG480" s="934"/>
      <c r="AH480" s="934"/>
      <c r="AI480" s="934"/>
      <c r="AJ480" s="934"/>
    </row>
    <row r="481" spans="1:36" ht="15" hidden="1" customHeight="1">
      <c r="B481" s="1437"/>
      <c r="C481" s="909">
        <v>644875</v>
      </c>
      <c r="D481" s="732" t="s">
        <v>1308</v>
      </c>
      <c r="E481" s="733"/>
      <c r="F481" s="733"/>
      <c r="G481" s="733"/>
      <c r="H481" s="733"/>
      <c r="I481" s="734" t="s">
        <v>112</v>
      </c>
      <c r="J481" s="736">
        <v>0</v>
      </c>
      <c r="K481" s="977">
        <f>IFERROR(_xlfn.CEILING.MATH(J481,INDEX('СВОДНАЯ СПЕЦИФИКАЦИЯ'!$C$10:$C$408,MATCH(D481,'СВОДНАЯ СПЕЦИФИКАЦИЯ'!$D$10:$D$408,0))),"Введите кол-во")</f>
        <v>0</v>
      </c>
      <c r="L481" s="978">
        <f>INDEX('СВОДНАЯ СПЕЦИФИКАЦИЯ'!$H$10:$H$408,MATCH(D481,Таблица2[Наименование материала],0))</f>
        <v>0</v>
      </c>
      <c r="M481" s="979">
        <f t="shared" si="17"/>
        <v>0</v>
      </c>
      <c r="O481" s="934">
        <f t="shared" si="18"/>
        <v>0</v>
      </c>
      <c r="Q481" s="984" t="s">
        <v>1158</v>
      </c>
      <c r="R481" s="999"/>
      <c r="S481" s="991"/>
      <c r="T481" s="986">
        <v>70</v>
      </c>
      <c r="U481" s="985" t="s">
        <v>150</v>
      </c>
      <c r="V481" s="957"/>
      <c r="W481" s="957"/>
      <c r="X481" s="934"/>
      <c r="Y481" s="934"/>
      <c r="Z481" s="934"/>
      <c r="AA481" s="934"/>
      <c r="AB481" s="987"/>
      <c r="AC481" s="934"/>
      <c r="AD481" s="934"/>
      <c r="AE481" s="934"/>
      <c r="AF481" s="934"/>
      <c r="AG481" s="934"/>
      <c r="AH481" s="934"/>
      <c r="AI481" s="934"/>
      <c r="AJ481" s="934"/>
    </row>
    <row r="482" spans="1:36" ht="15" hidden="1" customHeight="1">
      <c r="B482" s="1437"/>
      <c r="C482" s="909">
        <v>644878</v>
      </c>
      <c r="D482" s="732" t="s">
        <v>1310</v>
      </c>
      <c r="E482" s="733"/>
      <c r="F482" s="733"/>
      <c r="G482" s="733"/>
      <c r="H482" s="733"/>
      <c r="I482" s="734" t="s">
        <v>112</v>
      </c>
      <c r="J482" s="736">
        <v>0</v>
      </c>
      <c r="K482" s="977">
        <f>IFERROR(_xlfn.CEILING.MATH(J482,INDEX('СВОДНАЯ СПЕЦИФИКАЦИЯ'!$C$10:$C$408,MATCH(D482,'СВОДНАЯ СПЕЦИФИКАЦИЯ'!$D$10:$D$408,0))),"Введите кол-во")</f>
        <v>0</v>
      </c>
      <c r="L482" s="978">
        <f>INDEX('СВОДНАЯ СПЕЦИФИКАЦИЯ'!$H$10:$H$408,MATCH(D482,Таблица2[Наименование материала],0))</f>
        <v>0</v>
      </c>
      <c r="M482" s="979">
        <f t="shared" si="17"/>
        <v>0</v>
      </c>
      <c r="O482" s="934">
        <f t="shared" si="18"/>
        <v>0</v>
      </c>
      <c r="Q482" s="984" t="s">
        <v>1158</v>
      </c>
      <c r="R482" s="999"/>
      <c r="S482" s="991"/>
      <c r="T482" s="986">
        <v>80</v>
      </c>
      <c r="U482" s="985" t="s">
        <v>150</v>
      </c>
      <c r="V482" s="957"/>
      <c r="W482" s="957"/>
      <c r="X482" s="934"/>
      <c r="Y482" s="934"/>
      <c r="Z482" s="934"/>
      <c r="AA482" s="934"/>
      <c r="AB482" s="987"/>
      <c r="AC482" s="934"/>
      <c r="AD482" s="934"/>
      <c r="AE482" s="934"/>
      <c r="AF482" s="934"/>
      <c r="AG482" s="934"/>
      <c r="AH482" s="934"/>
      <c r="AI482" s="934"/>
      <c r="AJ482" s="934"/>
    </row>
    <row r="483" spans="1:36" ht="15" hidden="1" customHeight="1">
      <c r="B483" s="1437"/>
      <c r="C483" s="909">
        <v>644882</v>
      </c>
      <c r="D483" s="732" t="s">
        <v>1312</v>
      </c>
      <c r="E483" s="733"/>
      <c r="F483" s="733"/>
      <c r="G483" s="733"/>
      <c r="H483" s="733"/>
      <c r="I483" s="734" t="s">
        <v>112</v>
      </c>
      <c r="J483" s="736">
        <v>0</v>
      </c>
      <c r="K483" s="977">
        <f>IFERROR(_xlfn.CEILING.MATH(J483,INDEX('СВОДНАЯ СПЕЦИФИКАЦИЯ'!$C$10:$C$408,MATCH(D483,'СВОДНАЯ СПЕЦИФИКАЦИЯ'!$D$10:$D$408,0))),"Введите кол-во")</f>
        <v>0</v>
      </c>
      <c r="L483" s="978">
        <f>INDEX('СВОДНАЯ СПЕЦИФИКАЦИЯ'!$H$10:$H$408,MATCH(D483,Таблица2[Наименование материала],0))</f>
        <v>0</v>
      </c>
      <c r="M483" s="979">
        <f t="shared" si="17"/>
        <v>0</v>
      </c>
      <c r="O483" s="934">
        <f t="shared" si="18"/>
        <v>0</v>
      </c>
      <c r="Q483" s="984" t="s">
        <v>1158</v>
      </c>
      <c r="R483" s="999"/>
      <c r="S483" s="991"/>
      <c r="T483" s="986">
        <v>90</v>
      </c>
      <c r="U483" s="985" t="s">
        <v>150</v>
      </c>
      <c r="V483" s="957"/>
      <c r="W483" s="957"/>
      <c r="X483" s="934"/>
      <c r="Y483" s="934"/>
      <c r="Z483" s="934"/>
      <c r="AA483" s="934"/>
      <c r="AB483" s="987"/>
      <c r="AC483" s="934"/>
      <c r="AD483" s="934"/>
      <c r="AE483" s="934"/>
      <c r="AF483" s="934"/>
      <c r="AG483" s="934"/>
      <c r="AH483" s="934"/>
      <c r="AI483" s="934"/>
      <c r="AJ483" s="934"/>
    </row>
    <row r="484" spans="1:36" ht="15" hidden="1" customHeight="1">
      <c r="B484" s="1437"/>
      <c r="C484" s="909">
        <v>695164</v>
      </c>
      <c r="D484" s="732" t="s">
        <v>1314</v>
      </c>
      <c r="E484" s="733"/>
      <c r="F484" s="733"/>
      <c r="G484" s="733"/>
      <c r="H484" s="733"/>
      <c r="I484" s="734" t="s">
        <v>112</v>
      </c>
      <c r="J484" s="736">
        <v>0</v>
      </c>
      <c r="K484" s="977">
        <f>IFERROR(_xlfn.CEILING.MATH(J484,INDEX('СВОДНАЯ СПЕЦИФИКАЦИЯ'!$C$10:$C$408,MATCH(D484,'СВОДНАЯ СПЕЦИФИКАЦИЯ'!$D$10:$D$408,0))),"Введите кол-во")</f>
        <v>0</v>
      </c>
      <c r="L484" s="978">
        <f>INDEX('СВОДНАЯ СПЕЦИФИКАЦИЯ'!$H$10:$H$408,MATCH(D484,Таблица2[Наименование материала],0))</f>
        <v>0</v>
      </c>
      <c r="M484" s="979">
        <f t="shared" ref="M484:M557" si="19">IFERROR(K484*L484,0)</f>
        <v>0</v>
      </c>
      <c r="O484" s="934">
        <f t="shared" si="18"/>
        <v>0</v>
      </c>
      <c r="Q484" s="984" t="s">
        <v>1158</v>
      </c>
      <c r="R484" s="999"/>
      <c r="S484" s="991"/>
      <c r="T484" s="986">
        <v>100</v>
      </c>
      <c r="U484" s="985" t="s">
        <v>150</v>
      </c>
      <c r="V484" s="957"/>
      <c r="W484" s="957"/>
      <c r="X484" s="934"/>
      <c r="Y484" s="934"/>
      <c r="Z484" s="934"/>
      <c r="AA484" s="934"/>
      <c r="AB484" s="987"/>
      <c r="AC484" s="934"/>
      <c r="AD484" s="934"/>
      <c r="AE484" s="934"/>
      <c r="AF484" s="934"/>
      <c r="AG484" s="934"/>
      <c r="AH484" s="934"/>
      <c r="AI484" s="934"/>
      <c r="AJ484" s="934"/>
    </row>
    <row r="485" spans="1:36" ht="15" hidden="1" customHeight="1">
      <c r="B485" s="1437"/>
      <c r="C485" s="898" t="s">
        <v>750</v>
      </c>
      <c r="D485" s="732" t="s">
        <v>1260</v>
      </c>
      <c r="E485" s="733"/>
      <c r="F485" s="733"/>
      <c r="G485" s="733"/>
      <c r="H485" s="733"/>
      <c r="I485" s="734" t="s">
        <v>178</v>
      </c>
      <c r="J485" s="736">
        <v>0</v>
      </c>
      <c r="K485" s="977" t="str">
        <f>IFERROR(_xlfn.CEILING.MATH(J485,INDEX('СВОДНАЯ СПЕЦИФИКАЦИЯ'!$C$10:$C$408,MATCH(D485,'СВОДНАЯ СПЕЦИФИКАЦИЯ'!$D$10:$D$408,0))),"Введите кол-во")</f>
        <v>Введите кол-во</v>
      </c>
      <c r="L485" s="978">
        <f>INDEX('СВОДНАЯ СПЕЦИФИКАЦИЯ'!$H$10:$H$408,MATCH(D485,Таблица2[Наименование материала],0))</f>
        <v>0</v>
      </c>
      <c r="M485" s="979">
        <f t="shared" ref="M485:M494" si="20">IFERROR(K485*L485,0)</f>
        <v>0</v>
      </c>
      <c r="O485" s="934">
        <f t="shared" si="18"/>
        <v>0</v>
      </c>
      <c r="Q485" s="984" t="s">
        <v>453</v>
      </c>
      <c r="R485" s="985"/>
      <c r="S485" s="985"/>
      <c r="T485" s="986">
        <v>20</v>
      </c>
      <c r="U485" s="985" t="s">
        <v>150</v>
      </c>
      <c r="V485" s="957"/>
      <c r="W485" s="957"/>
      <c r="X485" s="934"/>
      <c r="Y485" s="934"/>
      <c r="Z485" s="934"/>
      <c r="AA485" s="934"/>
      <c r="AB485" s="987"/>
      <c r="AC485" s="934"/>
      <c r="AD485" s="934"/>
      <c r="AE485" s="934"/>
      <c r="AF485" s="934"/>
      <c r="AG485" s="934"/>
      <c r="AH485" s="934"/>
      <c r="AI485" s="934"/>
      <c r="AJ485" s="934"/>
    </row>
    <row r="486" spans="1:36" ht="15" hidden="1" customHeight="1">
      <c r="B486" s="1437"/>
      <c r="C486" s="898" t="s">
        <v>751</v>
      </c>
      <c r="D486" s="732" t="s">
        <v>1261</v>
      </c>
      <c r="E486" s="733"/>
      <c r="F486" s="733"/>
      <c r="G486" s="733"/>
      <c r="H486" s="733"/>
      <c r="I486" s="734" t="s">
        <v>178</v>
      </c>
      <c r="J486" s="736">
        <v>0</v>
      </c>
      <c r="K486" s="977" t="str">
        <f>IFERROR(_xlfn.CEILING.MATH(J486,INDEX('СВОДНАЯ СПЕЦИФИКАЦИЯ'!$C$10:$C$408,MATCH(D486,'СВОДНАЯ СПЕЦИФИКАЦИЯ'!$D$10:$D$408,0))),"Введите кол-во")</f>
        <v>Введите кол-во</v>
      </c>
      <c r="L486" s="978">
        <f>INDEX('СВОДНАЯ СПЕЦИФИКАЦИЯ'!$H$10:$H$408,MATCH(D486,Таблица2[Наименование материала],0))</f>
        <v>0</v>
      </c>
      <c r="M486" s="979">
        <f t="shared" si="20"/>
        <v>0</v>
      </c>
      <c r="O486" s="934">
        <f t="shared" si="18"/>
        <v>0</v>
      </c>
      <c r="Q486" s="984" t="s">
        <v>453</v>
      </c>
      <c r="R486" s="985"/>
      <c r="S486" s="985"/>
      <c r="T486" s="986">
        <v>30</v>
      </c>
      <c r="U486" s="985" t="s">
        <v>150</v>
      </c>
      <c r="V486" s="957"/>
      <c r="W486" s="957"/>
      <c r="X486" s="934"/>
      <c r="Y486" s="934"/>
      <c r="Z486" s="934"/>
      <c r="AA486" s="934"/>
      <c r="AB486" s="987"/>
      <c r="AC486" s="934"/>
      <c r="AD486" s="934"/>
      <c r="AE486" s="934"/>
      <c r="AF486" s="934"/>
      <c r="AG486" s="934"/>
      <c r="AH486" s="934"/>
      <c r="AI486" s="934"/>
      <c r="AJ486" s="934"/>
    </row>
    <row r="487" spans="1:36" ht="15" hidden="1" customHeight="1">
      <c r="B487" s="1437"/>
      <c r="C487" s="898" t="s">
        <v>752</v>
      </c>
      <c r="D487" s="732" t="s">
        <v>1262</v>
      </c>
      <c r="E487" s="733"/>
      <c r="F487" s="733"/>
      <c r="G487" s="733"/>
      <c r="H487" s="733"/>
      <c r="I487" s="734" t="s">
        <v>178</v>
      </c>
      <c r="J487" s="736">
        <v>0</v>
      </c>
      <c r="K487" s="977" t="str">
        <f>IFERROR(_xlfn.CEILING.MATH(J487,INDEX('СВОДНАЯ СПЕЦИФИКАЦИЯ'!$C$10:$C$408,MATCH(D487,'СВОДНАЯ СПЕЦИФИКАЦИЯ'!$D$10:$D$408,0))),"Введите кол-во")</f>
        <v>Введите кол-во</v>
      </c>
      <c r="L487" s="978">
        <f>INDEX('СВОДНАЯ СПЕЦИФИКАЦИЯ'!$H$10:$H$408,MATCH(D487,Таблица2[Наименование материала],0))</f>
        <v>0</v>
      </c>
      <c r="M487" s="979">
        <f t="shared" si="20"/>
        <v>0</v>
      </c>
      <c r="O487" s="934">
        <f t="shared" si="18"/>
        <v>0</v>
      </c>
      <c r="Q487" s="984" t="s">
        <v>453</v>
      </c>
      <c r="R487" s="985"/>
      <c r="S487" s="985"/>
      <c r="T487" s="986">
        <v>40</v>
      </c>
      <c r="U487" s="985" t="s">
        <v>150</v>
      </c>
      <c r="V487" s="957"/>
      <c r="W487" s="957"/>
      <c r="X487" s="934"/>
      <c r="Y487" s="934"/>
      <c r="Z487" s="934"/>
      <c r="AA487" s="934"/>
      <c r="AB487" s="987"/>
      <c r="AC487" s="934"/>
      <c r="AD487" s="934"/>
      <c r="AE487" s="934"/>
      <c r="AF487" s="934"/>
      <c r="AG487" s="934"/>
      <c r="AH487" s="934"/>
      <c r="AI487" s="934"/>
      <c r="AJ487" s="934"/>
    </row>
    <row r="488" spans="1:36" ht="15" hidden="1" customHeight="1">
      <c r="B488" s="1437"/>
      <c r="C488" s="898" t="s">
        <v>753</v>
      </c>
      <c r="D488" s="732" t="s">
        <v>1263</v>
      </c>
      <c r="E488" s="733"/>
      <c r="F488" s="733"/>
      <c r="G488" s="733"/>
      <c r="H488" s="733"/>
      <c r="I488" s="734" t="s">
        <v>178</v>
      </c>
      <c r="J488" s="736">
        <v>0</v>
      </c>
      <c r="K488" s="977" t="str">
        <f>IFERROR(_xlfn.CEILING.MATH(J488,INDEX('СВОДНАЯ СПЕЦИФИКАЦИЯ'!$C$10:$C$408,MATCH(D488,'СВОДНАЯ СПЕЦИФИКАЦИЯ'!$D$10:$D$408,0))),"Введите кол-во")</f>
        <v>Введите кол-во</v>
      </c>
      <c r="L488" s="978">
        <f>INDEX('СВОДНАЯ СПЕЦИФИКАЦИЯ'!$H$10:$H$408,MATCH(D488,Таблица2[Наименование материала],0))</f>
        <v>0</v>
      </c>
      <c r="M488" s="979">
        <f t="shared" si="20"/>
        <v>0</v>
      </c>
      <c r="O488" s="934">
        <f t="shared" si="18"/>
        <v>0</v>
      </c>
      <c r="Q488" s="984" t="s">
        <v>453</v>
      </c>
      <c r="R488" s="985"/>
      <c r="S488" s="985"/>
      <c r="T488" s="986">
        <v>50</v>
      </c>
      <c r="U488" s="985" t="s">
        <v>150</v>
      </c>
      <c r="V488" s="957"/>
      <c r="W488" s="957"/>
      <c r="X488" s="934"/>
      <c r="Y488" s="934"/>
      <c r="Z488" s="934"/>
      <c r="AA488" s="934"/>
      <c r="AB488" s="987"/>
      <c r="AC488" s="934"/>
      <c r="AD488" s="934"/>
      <c r="AE488" s="934"/>
      <c r="AF488" s="934"/>
      <c r="AG488" s="934"/>
      <c r="AH488" s="934"/>
      <c r="AI488" s="934"/>
      <c r="AJ488" s="934"/>
    </row>
    <row r="489" spans="1:36" ht="15" hidden="1" customHeight="1">
      <c r="B489" s="1437"/>
      <c r="C489" s="898" t="s">
        <v>981</v>
      </c>
      <c r="D489" s="732" t="s">
        <v>1264</v>
      </c>
      <c r="E489" s="733"/>
      <c r="F489" s="733"/>
      <c r="G489" s="733"/>
      <c r="H489" s="733"/>
      <c r="I489" s="734" t="s">
        <v>178</v>
      </c>
      <c r="J489" s="736">
        <v>0</v>
      </c>
      <c r="K489" s="977" t="str">
        <f>IFERROR(_xlfn.CEILING.MATH(J489,INDEX('СВОДНАЯ СПЕЦИФИКАЦИЯ'!$C$10:$C$408,MATCH(D489,'СВОДНАЯ СПЕЦИФИКАЦИЯ'!$D$10:$D$408,0))),"Введите кол-во")</f>
        <v>Введите кол-во</v>
      </c>
      <c r="L489" s="978">
        <f>INDEX('СВОДНАЯ СПЕЦИФИКАЦИЯ'!$H$10:$H$408,MATCH(D489,Таблица2[Наименование материала],0))</f>
        <v>0</v>
      </c>
      <c r="M489" s="979">
        <f t="shared" si="20"/>
        <v>0</v>
      </c>
      <c r="O489" s="934">
        <f t="shared" si="18"/>
        <v>0</v>
      </c>
      <c r="Q489" s="984" t="s">
        <v>453</v>
      </c>
      <c r="R489" s="985"/>
      <c r="S489" s="985"/>
      <c r="T489" s="986">
        <v>100</v>
      </c>
      <c r="U489" s="985" t="s">
        <v>150</v>
      </c>
      <c r="V489" s="957"/>
      <c r="W489" s="957"/>
      <c r="X489" s="934"/>
      <c r="Y489" s="934"/>
      <c r="Z489" s="934"/>
      <c r="AA489" s="934"/>
      <c r="AB489" s="987"/>
      <c r="AC489" s="934"/>
      <c r="AD489" s="934"/>
      <c r="AE489" s="934"/>
      <c r="AF489" s="934"/>
      <c r="AG489" s="934"/>
      <c r="AH489" s="934"/>
      <c r="AI489" s="934"/>
      <c r="AJ489" s="934"/>
    </row>
    <row r="490" spans="1:36" ht="15" hidden="1" customHeight="1">
      <c r="B490" s="1437"/>
      <c r="C490" s="898" t="s">
        <v>746</v>
      </c>
      <c r="D490" s="732" t="s">
        <v>1265</v>
      </c>
      <c r="E490" s="733"/>
      <c r="F490" s="733"/>
      <c r="G490" s="733"/>
      <c r="H490" s="733"/>
      <c r="I490" s="734" t="s">
        <v>178</v>
      </c>
      <c r="J490" s="736">
        <v>0</v>
      </c>
      <c r="K490" s="977" t="str">
        <f>IFERROR(_xlfn.CEILING.MATH(J490,INDEX('СВОДНАЯ СПЕЦИФИКАЦИЯ'!$C$10:$C$408,MATCH(D490,'СВОДНАЯ СПЕЦИФИКАЦИЯ'!$D$10:$D$408,0))),"Введите кол-во")</f>
        <v>Введите кол-во</v>
      </c>
      <c r="L490" s="978">
        <f>INDEX('СВОДНАЯ СПЕЦИФИКАЦИЯ'!$H$10:$H$408,MATCH(D490,Таблица2[Наименование материала],0))</f>
        <v>0</v>
      </c>
      <c r="M490" s="979">
        <f t="shared" si="20"/>
        <v>0</v>
      </c>
      <c r="O490" s="934">
        <f t="shared" si="18"/>
        <v>0</v>
      </c>
      <c r="Q490" s="984" t="s">
        <v>452</v>
      </c>
      <c r="R490" s="985"/>
      <c r="S490" s="985"/>
      <c r="T490" s="986">
        <v>40</v>
      </c>
      <c r="U490" s="985" t="s">
        <v>150</v>
      </c>
      <c r="V490" s="957"/>
      <c r="W490" s="957"/>
      <c r="X490" s="934"/>
      <c r="Y490" s="934"/>
      <c r="Z490" s="934"/>
      <c r="AA490" s="934"/>
      <c r="AB490" s="987"/>
      <c r="AC490" s="934"/>
      <c r="AD490" s="934"/>
      <c r="AE490" s="934"/>
      <c r="AF490" s="934"/>
      <c r="AG490" s="934"/>
      <c r="AH490" s="934"/>
      <c r="AI490" s="934"/>
      <c r="AJ490" s="934"/>
    </row>
    <row r="491" spans="1:36" ht="15" hidden="1" customHeight="1">
      <c r="B491" s="1437"/>
      <c r="C491" s="898" t="s">
        <v>747</v>
      </c>
      <c r="D491" s="732" t="s">
        <v>1266</v>
      </c>
      <c r="E491" s="733"/>
      <c r="F491" s="733"/>
      <c r="G491" s="733"/>
      <c r="H491" s="733"/>
      <c r="I491" s="734" t="s">
        <v>178</v>
      </c>
      <c r="J491" s="736">
        <v>0</v>
      </c>
      <c r="K491" s="977" t="str">
        <f>IFERROR(_xlfn.CEILING.MATH(J491,INDEX('СВОДНАЯ СПЕЦИФИКАЦИЯ'!$C$10:$C$408,MATCH(D491,'СВОДНАЯ СПЕЦИФИКАЦИЯ'!$D$10:$D$408,0))),"Введите кол-во")</f>
        <v>Введите кол-во</v>
      </c>
      <c r="L491" s="978">
        <f>INDEX('СВОДНАЯ СПЕЦИФИКАЦИЯ'!$H$10:$H$408,MATCH(D491,Таблица2[Наименование материала],0))</f>
        <v>0</v>
      </c>
      <c r="M491" s="979">
        <f t="shared" si="20"/>
        <v>0</v>
      </c>
      <c r="O491" s="934">
        <f t="shared" si="18"/>
        <v>0</v>
      </c>
      <c r="Q491" s="984" t="s">
        <v>452</v>
      </c>
      <c r="R491" s="985"/>
      <c r="S491" s="985"/>
      <c r="T491" s="986">
        <v>50</v>
      </c>
      <c r="U491" s="985" t="s">
        <v>150</v>
      </c>
      <c r="V491" s="957"/>
      <c r="W491" s="957"/>
      <c r="X491" s="934"/>
      <c r="Y491" s="934"/>
      <c r="Z491" s="934"/>
      <c r="AA491" s="934"/>
      <c r="AB491" s="987"/>
      <c r="AC491" s="934"/>
      <c r="AD491" s="934"/>
      <c r="AE491" s="934"/>
      <c r="AF491" s="934"/>
      <c r="AG491" s="934"/>
      <c r="AH491" s="934"/>
      <c r="AI491" s="934"/>
      <c r="AJ491" s="934"/>
    </row>
    <row r="492" spans="1:36" ht="15" hidden="1" customHeight="1">
      <c r="B492" s="1437"/>
      <c r="C492" s="898" t="s">
        <v>748</v>
      </c>
      <c r="D492" s="732" t="s">
        <v>1267</v>
      </c>
      <c r="E492" s="733"/>
      <c r="F492" s="733"/>
      <c r="G492" s="733"/>
      <c r="H492" s="733"/>
      <c r="I492" s="734" t="s">
        <v>178</v>
      </c>
      <c r="J492" s="736">
        <v>0</v>
      </c>
      <c r="K492" s="977" t="str">
        <f>IFERROR(_xlfn.CEILING.MATH(J492,INDEX('СВОДНАЯ СПЕЦИФИКАЦИЯ'!$C$10:$C$408,MATCH(D492,'СВОДНАЯ СПЕЦИФИКАЦИЯ'!$D$10:$D$408,0))),"Введите кол-во")</f>
        <v>Введите кол-во</v>
      </c>
      <c r="L492" s="978">
        <f>INDEX('СВОДНАЯ СПЕЦИФИКАЦИЯ'!$H$10:$H$408,MATCH(D492,Таблица2[Наименование материала],0))</f>
        <v>0</v>
      </c>
      <c r="M492" s="979">
        <f t="shared" si="20"/>
        <v>0</v>
      </c>
      <c r="O492" s="934">
        <f t="shared" si="18"/>
        <v>0</v>
      </c>
      <c r="Q492" s="984" t="s">
        <v>452</v>
      </c>
      <c r="R492" s="985"/>
      <c r="S492" s="985"/>
      <c r="T492" s="986">
        <v>60</v>
      </c>
      <c r="U492" s="985" t="s">
        <v>150</v>
      </c>
      <c r="V492" s="957"/>
      <c r="W492" s="957"/>
      <c r="X492" s="934"/>
      <c r="Y492" s="934"/>
      <c r="Z492" s="934"/>
      <c r="AA492" s="934"/>
      <c r="AB492" s="987"/>
      <c r="AC492" s="934"/>
      <c r="AD492" s="934"/>
      <c r="AE492" s="934"/>
      <c r="AF492" s="934"/>
      <c r="AG492" s="934"/>
      <c r="AH492" s="934"/>
      <c r="AI492" s="934"/>
      <c r="AJ492" s="934"/>
    </row>
    <row r="493" spans="1:36" ht="15" hidden="1" customHeight="1">
      <c r="B493" s="1437"/>
      <c r="C493" s="898" t="s">
        <v>798</v>
      </c>
      <c r="D493" s="732" t="s">
        <v>1268</v>
      </c>
      <c r="E493" s="733"/>
      <c r="F493" s="733"/>
      <c r="G493" s="733"/>
      <c r="H493" s="733"/>
      <c r="I493" s="734" t="s">
        <v>178</v>
      </c>
      <c r="J493" s="736">
        <v>0</v>
      </c>
      <c r="K493" s="977" t="str">
        <f>IFERROR(_xlfn.CEILING.MATH(J493,INDEX('СВОДНАЯ СПЕЦИФИКАЦИЯ'!$C$10:$C$408,MATCH(D493,'СВОДНАЯ СПЕЦИФИКАЦИЯ'!$D$10:$D$408,0))),"Введите кол-во")</f>
        <v>Введите кол-во</v>
      </c>
      <c r="L493" s="978">
        <f>INDEX('СВОДНАЯ СПЕЦИФИКАЦИЯ'!$H$10:$H$408,MATCH(D493,Таблица2[Наименование материала],0))</f>
        <v>0</v>
      </c>
      <c r="M493" s="979">
        <f t="shared" si="20"/>
        <v>0</v>
      </c>
      <c r="O493" s="934">
        <f t="shared" si="18"/>
        <v>0</v>
      </c>
      <c r="Q493" s="984" t="s">
        <v>452</v>
      </c>
      <c r="R493" s="985"/>
      <c r="S493" s="985"/>
      <c r="T493" s="986">
        <v>80</v>
      </c>
      <c r="U493" s="985" t="s">
        <v>150</v>
      </c>
      <c r="V493" s="957"/>
      <c r="W493" s="957"/>
      <c r="X493" s="934"/>
      <c r="Y493" s="934"/>
      <c r="Z493" s="934"/>
      <c r="AA493" s="934"/>
      <c r="AB493" s="987"/>
      <c r="AC493" s="934"/>
      <c r="AD493" s="934"/>
      <c r="AE493" s="934"/>
      <c r="AF493" s="934"/>
      <c r="AG493" s="934"/>
      <c r="AH493" s="934"/>
      <c r="AI493" s="934"/>
      <c r="AJ493" s="934"/>
    </row>
    <row r="494" spans="1:36" ht="15" hidden="1" customHeight="1">
      <c r="B494" s="1437"/>
      <c r="C494" s="898" t="s">
        <v>749</v>
      </c>
      <c r="D494" s="732" t="s">
        <v>1269</v>
      </c>
      <c r="E494" s="733"/>
      <c r="F494" s="733"/>
      <c r="G494" s="733"/>
      <c r="H494" s="733"/>
      <c r="I494" s="734" t="s">
        <v>178</v>
      </c>
      <c r="J494" s="736">
        <v>0</v>
      </c>
      <c r="K494" s="977" t="str">
        <f>IFERROR(_xlfn.CEILING.MATH(J494,INDEX('СВОДНАЯ СПЕЦИФИКАЦИЯ'!$C$10:$C$408,MATCH(D494,'СВОДНАЯ СПЕЦИФИКАЦИЯ'!$D$10:$D$408,0))),"Введите кол-во")</f>
        <v>Введите кол-во</v>
      </c>
      <c r="L494" s="978">
        <f>INDEX('СВОДНАЯ СПЕЦИФИКАЦИЯ'!$H$10:$H$408,MATCH(D494,Таблица2[Наименование материала],0))</f>
        <v>0</v>
      </c>
      <c r="M494" s="979">
        <f t="shared" si="20"/>
        <v>0</v>
      </c>
      <c r="O494" s="934">
        <f t="shared" si="18"/>
        <v>0</v>
      </c>
      <c r="Q494" s="984" t="s">
        <v>452</v>
      </c>
      <c r="R494" s="985"/>
      <c r="S494" s="985"/>
      <c r="T494" s="986">
        <v>100</v>
      </c>
      <c r="U494" s="985" t="s">
        <v>150</v>
      </c>
      <c r="V494" s="957"/>
      <c r="W494" s="957"/>
      <c r="X494" s="934"/>
      <c r="Y494" s="934"/>
      <c r="Z494" s="934"/>
      <c r="AA494" s="934"/>
      <c r="AB494" s="987"/>
      <c r="AC494" s="934"/>
      <c r="AD494" s="934"/>
      <c r="AE494" s="934"/>
      <c r="AF494" s="934"/>
      <c r="AG494" s="934"/>
      <c r="AH494" s="934"/>
      <c r="AI494" s="934"/>
      <c r="AJ494" s="934"/>
    </row>
    <row r="495" spans="1:36" ht="15" hidden="1" customHeight="1">
      <c r="A495" s="940"/>
      <c r="B495" s="1437"/>
      <c r="C495" s="909" t="s">
        <v>1035</v>
      </c>
      <c r="D495" s="732" t="s">
        <v>434</v>
      </c>
      <c r="E495" s="733"/>
      <c r="F495" s="733"/>
      <c r="G495" s="733"/>
      <c r="H495" s="733"/>
      <c r="I495" s="739" t="s">
        <v>112</v>
      </c>
      <c r="J495" s="736">
        <v>0</v>
      </c>
      <c r="K495" s="977">
        <f>IFERROR(_xlfn.CEILING.MATH(J495,INDEX('СВОДНАЯ СПЕЦИФИКАЦИЯ'!$C$10:$C$408,MATCH(D495,'СВОДНАЯ СПЕЦИФИКАЦИЯ'!$D$10:$D$408,0))),"Введите кол-во")</f>
        <v>0</v>
      </c>
      <c r="L495" s="978">
        <f>INDEX('СВОДНАЯ СПЕЦИФИКАЦИЯ'!$H$10:$H$408,MATCH(D495,Таблица2[Наименование материала],0))</f>
        <v>0</v>
      </c>
      <c r="M495" s="979">
        <f t="shared" si="19"/>
        <v>0</v>
      </c>
      <c r="O495" s="934">
        <f t="shared" si="18"/>
        <v>0</v>
      </c>
      <c r="Q495" s="957"/>
      <c r="R495" s="957"/>
      <c r="S495" s="957"/>
      <c r="T495" s="957"/>
      <c r="U495" s="957"/>
      <c r="V495" s="957"/>
      <c r="W495" s="957"/>
      <c r="X495" s="934"/>
      <c r="Y495" s="934"/>
      <c r="Z495" s="934"/>
      <c r="AA495" s="934"/>
      <c r="AB495" s="987"/>
      <c r="AC495" s="934"/>
      <c r="AD495" s="934"/>
      <c r="AE495" s="934"/>
      <c r="AF495" s="934"/>
      <c r="AG495" s="934"/>
      <c r="AH495" s="934"/>
      <c r="AI495" s="934"/>
      <c r="AJ495" s="934"/>
    </row>
    <row r="496" spans="1:36" ht="15" hidden="1" customHeight="1">
      <c r="B496" s="1437"/>
      <c r="C496" s="909">
        <v>670878</v>
      </c>
      <c r="D496" s="732" t="s">
        <v>435</v>
      </c>
      <c r="E496" s="733"/>
      <c r="F496" s="733"/>
      <c r="G496" s="733"/>
      <c r="H496" s="733"/>
      <c r="I496" s="739" t="s">
        <v>112</v>
      </c>
      <c r="J496" s="736">
        <v>0</v>
      </c>
      <c r="K496" s="977">
        <f>IFERROR(_xlfn.CEILING.MATH(J496,INDEX('СВОДНАЯ СПЕЦИФИКАЦИЯ'!$C$10:$C$408,MATCH(D496,'СВОДНАЯ СПЕЦИФИКАЦИЯ'!$D$10:$D$408,0))),"Введите кол-во")</f>
        <v>0</v>
      </c>
      <c r="L496" s="978">
        <f>INDEX('СВОДНАЯ СПЕЦИФИКАЦИЯ'!$H$10:$H$408,MATCH(D496,Таблица2[Наименование материала],0))</f>
        <v>0</v>
      </c>
      <c r="M496" s="979">
        <f t="shared" si="19"/>
        <v>0</v>
      </c>
      <c r="O496" s="934">
        <f t="shared" si="18"/>
        <v>0</v>
      </c>
      <c r="Q496" s="957"/>
      <c r="R496" s="957"/>
      <c r="S496" s="957"/>
      <c r="T496" s="957"/>
      <c r="U496" s="957"/>
      <c r="V496" s="957"/>
      <c r="W496" s="957"/>
      <c r="X496" s="934"/>
      <c r="Y496" s="934"/>
      <c r="Z496" s="934"/>
      <c r="AA496" s="934"/>
      <c r="AB496" s="987"/>
      <c r="AC496" s="934"/>
      <c r="AD496" s="934"/>
      <c r="AE496" s="934"/>
      <c r="AF496" s="934"/>
      <c r="AG496" s="934"/>
      <c r="AH496" s="934"/>
      <c r="AI496" s="934"/>
      <c r="AJ496" s="934"/>
    </row>
    <row r="497" spans="1:36" ht="15" hidden="1" customHeight="1">
      <c r="B497" s="1437"/>
      <c r="C497" s="909">
        <v>670879</v>
      </c>
      <c r="D497" s="732" t="s">
        <v>436</v>
      </c>
      <c r="E497" s="733"/>
      <c r="F497" s="733"/>
      <c r="G497" s="733"/>
      <c r="H497" s="733"/>
      <c r="I497" s="739" t="s">
        <v>112</v>
      </c>
      <c r="J497" s="736">
        <v>0</v>
      </c>
      <c r="K497" s="977">
        <f>IFERROR(_xlfn.CEILING.MATH(J497,INDEX('СВОДНАЯ СПЕЦИФИКАЦИЯ'!$C$10:$C$408,MATCH(D497,'СВОДНАЯ СПЕЦИФИКАЦИЯ'!$D$10:$D$408,0))),"Введите кол-во")</f>
        <v>0</v>
      </c>
      <c r="L497" s="978">
        <f>INDEX('СВОДНАЯ СПЕЦИФИКАЦИЯ'!$H$10:$H$408,MATCH(D497,Таблица2[Наименование материала],0))</f>
        <v>0</v>
      </c>
      <c r="M497" s="979">
        <f t="shared" si="19"/>
        <v>0</v>
      </c>
      <c r="O497" s="934">
        <f t="shared" si="18"/>
        <v>0</v>
      </c>
      <c r="Q497" s="957"/>
      <c r="R497" s="957"/>
      <c r="S497" s="957"/>
      <c r="T497" s="957"/>
      <c r="U497" s="957"/>
      <c r="V497" s="957"/>
      <c r="W497" s="957"/>
      <c r="X497" s="934"/>
      <c r="Y497" s="934"/>
      <c r="Z497" s="934"/>
      <c r="AA497" s="934"/>
      <c r="AB497" s="987"/>
      <c r="AC497" s="934"/>
      <c r="AD497" s="934"/>
      <c r="AE497" s="934"/>
      <c r="AF497" s="934"/>
      <c r="AG497" s="934"/>
      <c r="AH497" s="934"/>
      <c r="AI497" s="934"/>
      <c r="AJ497" s="934"/>
    </row>
    <row r="498" spans="1:36" ht="15" customHeight="1">
      <c r="B498" s="1437"/>
      <c r="C498" s="909" t="s">
        <v>706</v>
      </c>
      <c r="D498" s="732" t="s">
        <v>477</v>
      </c>
      <c r="E498" s="733"/>
      <c r="F498" s="733"/>
      <c r="G498" s="733"/>
      <c r="H498" s="733"/>
      <c r="I498" s="739" t="s">
        <v>151</v>
      </c>
      <c r="J498" s="750">
        <v>6</v>
      </c>
      <c r="K498" s="977">
        <f>IFERROR(_xlfn.CEILING.MATH(J498,INDEX('СВОДНАЯ СПЕЦИФИКАЦИЯ'!$C$10:$C$408,MATCH(D498,'СВОДНАЯ СПЕЦИФИКАЦИЯ'!$D$10:$D$408,0))),"Введите кол-во")</f>
        <v>10</v>
      </c>
      <c r="L498" s="978">
        <f>INDEX('СВОДНАЯ СПЕЦИФИКАЦИЯ'!$H$10:$H$408,MATCH(D498,Таблица2[Наименование материала],0))</f>
        <v>0</v>
      </c>
      <c r="M498" s="979">
        <f t="shared" si="19"/>
        <v>0</v>
      </c>
      <c r="O498" s="934">
        <f t="shared" si="18"/>
        <v>1</v>
      </c>
      <c r="Q498" s="957"/>
      <c r="R498" s="957"/>
      <c r="S498" s="957"/>
      <c r="T498" s="957"/>
      <c r="U498" s="957"/>
      <c r="V498" s="957"/>
      <c r="W498" s="957"/>
      <c r="X498" s="934"/>
      <c r="Y498" s="934"/>
      <c r="Z498" s="934"/>
      <c r="AA498" s="934"/>
      <c r="AB498" s="987"/>
      <c r="AC498" s="934"/>
      <c r="AD498" s="934"/>
      <c r="AE498" s="934"/>
      <c r="AF498" s="934"/>
      <c r="AG498" s="934"/>
      <c r="AH498" s="934"/>
      <c r="AI498" s="934"/>
      <c r="AJ498" s="934"/>
    </row>
    <row r="499" spans="1:36" ht="15" customHeight="1">
      <c r="B499" s="1437"/>
      <c r="C499" s="909" t="s">
        <v>707</v>
      </c>
      <c r="D499" s="732" t="s">
        <v>478</v>
      </c>
      <c r="E499" s="733"/>
      <c r="F499" s="733"/>
      <c r="G499" s="733"/>
      <c r="H499" s="733"/>
      <c r="I499" s="739" t="s">
        <v>151</v>
      </c>
      <c r="J499" s="750">
        <v>22</v>
      </c>
      <c r="K499" s="977">
        <f>IFERROR(_xlfn.CEILING.MATH(J499,INDEX('СВОДНАЯ СПЕЦИФИКАЦИЯ'!$C$10:$C$408,MATCH(D499,'СВОДНАЯ СПЕЦИФИКАЦИЯ'!$D$10:$D$408,0))),"Введите кол-во")</f>
        <v>30</v>
      </c>
      <c r="L499" s="978">
        <f>INDEX('СВОДНАЯ СПЕЦИФИКАЦИЯ'!$H$10:$H$408,MATCH(D499,Таблица2[Наименование материала],0))</f>
        <v>0</v>
      </c>
      <c r="M499" s="979">
        <f t="shared" si="19"/>
        <v>0</v>
      </c>
      <c r="O499" s="934">
        <f t="shared" si="18"/>
        <v>1</v>
      </c>
      <c r="Q499" s="957"/>
      <c r="R499" s="957"/>
      <c r="S499" s="957"/>
      <c r="T499" s="957"/>
      <c r="U499" s="957"/>
      <c r="V499" s="957"/>
      <c r="W499" s="957"/>
      <c r="X499" s="934"/>
      <c r="Y499" s="934"/>
      <c r="Z499" s="934"/>
      <c r="AA499" s="934"/>
      <c r="AB499" s="987"/>
      <c r="AC499" s="934"/>
      <c r="AD499" s="934"/>
      <c r="AE499" s="934"/>
      <c r="AF499" s="934"/>
      <c r="AG499" s="934"/>
      <c r="AH499" s="934"/>
      <c r="AI499" s="934"/>
      <c r="AJ499" s="934"/>
    </row>
    <row r="500" spans="1:36" ht="15" hidden="1" customHeight="1">
      <c r="B500" s="1437"/>
      <c r="C500" s="909" t="s">
        <v>1129</v>
      </c>
      <c r="D500" s="732" t="s">
        <v>1128</v>
      </c>
      <c r="E500" s="733"/>
      <c r="F500" s="733"/>
      <c r="G500" s="733"/>
      <c r="H500" s="733"/>
      <c r="I500" s="739" t="s">
        <v>151</v>
      </c>
      <c r="J500" s="750">
        <v>0</v>
      </c>
      <c r="K500" s="977">
        <f>IFERROR(_xlfn.CEILING.MATH(J500,INDEX('СВОДНАЯ СПЕЦИФИКАЦИЯ'!$C$10:$C$408,MATCH(D500,'СВОДНАЯ СПЕЦИФИКАЦИЯ'!$D$10:$D$408,0))),"Введите кол-во")</f>
        <v>0</v>
      </c>
      <c r="L500" s="978">
        <f>INDEX('СВОДНАЯ СПЕЦИФИКАЦИЯ'!$H$10:$H$408,MATCH(D500,Таблица2[Наименование материала],0))</f>
        <v>0</v>
      </c>
      <c r="M500" s="979">
        <f t="shared" si="19"/>
        <v>0</v>
      </c>
      <c r="O500" s="934">
        <f t="shared" si="18"/>
        <v>0</v>
      </c>
      <c r="Q500" s="957"/>
      <c r="R500" s="957"/>
      <c r="S500" s="957"/>
      <c r="T500" s="957"/>
      <c r="U500" s="957"/>
      <c r="V500" s="957"/>
      <c r="W500" s="957"/>
      <c r="X500" s="934"/>
      <c r="Y500" s="934"/>
      <c r="Z500" s="934"/>
      <c r="AA500" s="934"/>
      <c r="AB500" s="987"/>
      <c r="AC500" s="934"/>
      <c r="AD500" s="934"/>
      <c r="AE500" s="934"/>
      <c r="AF500" s="934"/>
      <c r="AG500" s="934"/>
      <c r="AH500" s="934"/>
      <c r="AI500" s="934"/>
      <c r="AJ500" s="934"/>
    </row>
    <row r="501" spans="1:36" ht="15" hidden="1" customHeight="1">
      <c r="B501" s="1437"/>
      <c r="C501" s="909">
        <v>405797</v>
      </c>
      <c r="D501" s="732" t="s">
        <v>180</v>
      </c>
      <c r="E501" s="733"/>
      <c r="F501" s="733"/>
      <c r="G501" s="733" t="s">
        <v>296</v>
      </c>
      <c r="H501" s="733" t="s">
        <v>296</v>
      </c>
      <c r="I501" s="734" t="s">
        <v>178</v>
      </c>
      <c r="J501" s="756">
        <v>0</v>
      </c>
      <c r="K501" s="977">
        <f>IFERROR(_xlfn.CEILING.MATH(J501,INDEX('СВОДНАЯ СПЕЦИФИКАЦИЯ'!$C$10:$C$408,MATCH(D501,'СВОДНАЯ СПЕЦИФИКАЦИЯ'!$D$10:$D$408,0))),"Введите кол-во")</f>
        <v>0</v>
      </c>
      <c r="L501" s="978">
        <f>INDEX('СВОДНАЯ СПЕЦИФИКАЦИЯ'!$H$10:$H$408,MATCH(D501,Таблица2[Наименование материала],0))</f>
        <v>0</v>
      </c>
      <c r="M501" s="979">
        <f t="shared" si="19"/>
        <v>0</v>
      </c>
      <c r="O501" s="934">
        <f t="shared" si="18"/>
        <v>0</v>
      </c>
      <c r="Q501" s="957"/>
      <c r="R501" s="957"/>
      <c r="S501" s="957"/>
      <c r="T501" s="957"/>
      <c r="U501" s="957"/>
      <c r="V501" s="957"/>
      <c r="W501" s="957"/>
      <c r="X501" s="934"/>
      <c r="Y501" s="934"/>
      <c r="Z501" s="934"/>
      <c r="AA501" s="934"/>
      <c r="AB501" s="987"/>
      <c r="AC501" s="934"/>
      <c r="AD501" s="934"/>
      <c r="AE501" s="934"/>
      <c r="AF501" s="934"/>
      <c r="AG501" s="934"/>
      <c r="AH501" s="934"/>
      <c r="AI501" s="934"/>
      <c r="AJ501" s="934"/>
    </row>
    <row r="502" spans="1:36" ht="15" customHeight="1">
      <c r="A502" s="994"/>
      <c r="B502" s="1437"/>
      <c r="C502" s="911" t="s">
        <v>296</v>
      </c>
      <c r="D502" s="732" t="s">
        <v>198</v>
      </c>
      <c r="E502" s="733"/>
      <c r="F502" s="733"/>
      <c r="G502" s="733"/>
      <c r="H502" s="733"/>
      <c r="I502" s="734" t="s">
        <v>151</v>
      </c>
      <c r="J502" s="750">
        <v>513</v>
      </c>
      <c r="K502" s="977">
        <f>IFERROR(_xlfn.CEILING.MATH(J502,INDEX('СВОДНАЯ СПЕЦИФИКАЦИЯ'!$C$10:$C$408,MATCH(D502,'СВОДНАЯ СПЕЦИФИКАЦИЯ'!$D$10:$D$408,0))),"Введите кол-во")</f>
        <v>550</v>
      </c>
      <c r="L502" s="978">
        <f>INDEX('СВОДНАЯ СПЕЦИФИКАЦИЯ'!$H$10:$H$408,MATCH(D502,Таблица2[Наименование материала],0))</f>
        <v>0</v>
      </c>
      <c r="M502" s="979">
        <f t="shared" si="19"/>
        <v>0</v>
      </c>
      <c r="O502" s="934">
        <f t="shared" si="18"/>
        <v>1</v>
      </c>
      <c r="Q502" s="957"/>
      <c r="R502" s="957"/>
      <c r="S502" s="957"/>
      <c r="T502" s="957"/>
      <c r="U502" s="957"/>
      <c r="V502" s="957"/>
      <c r="W502" s="957"/>
      <c r="X502" s="934"/>
      <c r="Y502" s="934"/>
      <c r="Z502" s="934" t="s">
        <v>1044</v>
      </c>
      <c r="AA502" s="934"/>
      <c r="AB502" s="987"/>
      <c r="AC502" s="934"/>
      <c r="AD502" s="934"/>
      <c r="AE502" s="934"/>
      <c r="AF502" s="934"/>
      <c r="AG502" s="934"/>
      <c r="AH502" s="934"/>
      <c r="AI502" s="934"/>
      <c r="AJ502" s="934"/>
    </row>
    <row r="503" spans="1:36" ht="15" hidden="1" customHeight="1">
      <c r="B503" s="1437"/>
      <c r="C503" s="909">
        <v>524809</v>
      </c>
      <c r="D503" s="732" t="s">
        <v>1199</v>
      </c>
      <c r="E503" s="733"/>
      <c r="F503" s="733"/>
      <c r="G503" s="733" t="s">
        <v>1437</v>
      </c>
      <c r="H503" s="733"/>
      <c r="I503" s="734" t="s">
        <v>178</v>
      </c>
      <c r="J503" s="838">
        <v>0</v>
      </c>
      <c r="K503" s="977">
        <f>IFERROR(_xlfn.CEILING.MATH(J503,INDEX('СВОДНАЯ СПЕЦИФИКАЦИЯ'!$C$10:$C$408,MATCH(D503,'СВОДНАЯ СПЕЦИФИКАЦИЯ'!$D$10:$D$408,0))),"Введите кол-во")</f>
        <v>0</v>
      </c>
      <c r="L503" s="978">
        <f>INDEX('СВОДНАЯ СПЕЦИФИКАЦИЯ'!$H$10:$H$408,MATCH(D503,Таблица2[Наименование материала],0))</f>
        <v>0</v>
      </c>
      <c r="M503" s="979">
        <f t="shared" si="19"/>
        <v>0</v>
      </c>
      <c r="O503" s="934">
        <f t="shared" si="18"/>
        <v>0</v>
      </c>
      <c r="Q503" s="984" t="s">
        <v>321</v>
      </c>
      <c r="R503" s="985"/>
      <c r="S503" s="985" t="s">
        <v>1437</v>
      </c>
      <c r="T503" s="986">
        <v>50</v>
      </c>
      <c r="U503" s="985" t="s">
        <v>150</v>
      </c>
      <c r="V503" s="957"/>
      <c r="W503" s="957"/>
      <c r="X503" s="934"/>
      <c r="Y503" s="934"/>
      <c r="Z503" s="934"/>
      <c r="AA503" s="934"/>
      <c r="AB503" s="987"/>
      <c r="AC503" s="934"/>
      <c r="AD503" s="934"/>
      <c r="AE503" s="934"/>
      <c r="AF503" s="934"/>
      <c r="AG503" s="934"/>
      <c r="AH503" s="934"/>
      <c r="AI503" s="934"/>
      <c r="AJ503" s="934"/>
    </row>
    <row r="504" spans="1:36" ht="15" hidden="1" customHeight="1">
      <c r="B504" s="1437"/>
      <c r="C504" s="909">
        <v>524890</v>
      </c>
      <c r="D504" s="732" t="s">
        <v>1200</v>
      </c>
      <c r="E504" s="733"/>
      <c r="F504" s="733"/>
      <c r="G504" s="733" t="s">
        <v>1437</v>
      </c>
      <c r="H504" s="733"/>
      <c r="I504" s="734" t="s">
        <v>178</v>
      </c>
      <c r="J504" s="838">
        <v>0</v>
      </c>
      <c r="K504" s="977">
        <f>IFERROR(_xlfn.CEILING.MATH(J504,INDEX('СВОДНАЯ СПЕЦИФИКАЦИЯ'!$C$10:$C$408,MATCH(D504,'СВОДНАЯ СПЕЦИФИКАЦИЯ'!$D$10:$D$408,0))),"Введите кол-во")</f>
        <v>0</v>
      </c>
      <c r="L504" s="978">
        <f>INDEX('СВОДНАЯ СПЕЦИФИКАЦИЯ'!$H$10:$H$408,MATCH(D504,Таблица2[Наименование материала],0))</f>
        <v>0</v>
      </c>
      <c r="M504" s="979">
        <f t="shared" si="19"/>
        <v>0</v>
      </c>
      <c r="O504" s="934">
        <f t="shared" si="18"/>
        <v>0</v>
      </c>
      <c r="Q504" s="984" t="s">
        <v>321</v>
      </c>
      <c r="R504" s="985"/>
      <c r="S504" s="985" t="s">
        <v>1437</v>
      </c>
      <c r="T504" s="986">
        <v>60</v>
      </c>
      <c r="U504" s="985" t="s">
        <v>150</v>
      </c>
      <c r="V504" s="957"/>
      <c r="W504" s="957"/>
      <c r="X504" s="934"/>
      <c r="Y504" s="934"/>
      <c r="Z504" s="934"/>
      <c r="AA504" s="934"/>
      <c r="AB504" s="987"/>
      <c r="AC504" s="934"/>
      <c r="AD504" s="934"/>
      <c r="AE504" s="934"/>
      <c r="AF504" s="934"/>
      <c r="AG504" s="934"/>
      <c r="AH504" s="934"/>
      <c r="AI504" s="934"/>
      <c r="AJ504" s="934"/>
    </row>
    <row r="505" spans="1:36" ht="15" hidden="1" customHeight="1">
      <c r="B505" s="1437"/>
      <c r="C505" s="909">
        <v>524891</v>
      </c>
      <c r="D505" s="732" t="s">
        <v>1201</v>
      </c>
      <c r="E505" s="733"/>
      <c r="F505" s="733"/>
      <c r="G505" s="733" t="s">
        <v>1437</v>
      </c>
      <c r="H505" s="733"/>
      <c r="I505" s="734" t="s">
        <v>178</v>
      </c>
      <c r="J505" s="838">
        <v>0</v>
      </c>
      <c r="K505" s="977">
        <f>IFERROR(_xlfn.CEILING.MATH(J505,INDEX('СВОДНАЯ СПЕЦИФИКАЦИЯ'!$C$10:$C$408,MATCH(D505,'СВОДНАЯ СПЕЦИФИКАЦИЯ'!$D$10:$D$408,0))),"Введите кол-во")</f>
        <v>0</v>
      </c>
      <c r="L505" s="978">
        <f>INDEX('СВОДНАЯ СПЕЦИФИКАЦИЯ'!$H$10:$H$408,MATCH(D505,Таблица2[Наименование материала],0))</f>
        <v>0</v>
      </c>
      <c r="M505" s="979">
        <f t="shared" si="19"/>
        <v>0</v>
      </c>
      <c r="O505" s="934">
        <f t="shared" si="18"/>
        <v>0</v>
      </c>
      <c r="Q505" s="984" t="s">
        <v>321</v>
      </c>
      <c r="R505" s="985"/>
      <c r="S505" s="985" t="s">
        <v>1437</v>
      </c>
      <c r="T505" s="986">
        <v>70</v>
      </c>
      <c r="U505" s="985" t="s">
        <v>150</v>
      </c>
      <c r="V505" s="957"/>
      <c r="W505" s="957"/>
      <c r="X505" s="934"/>
      <c r="Y505" s="934"/>
      <c r="Z505" s="934"/>
      <c r="AA505" s="934"/>
      <c r="AB505" s="987"/>
      <c r="AC505" s="934"/>
      <c r="AD505" s="934"/>
      <c r="AE505" s="934"/>
      <c r="AF505" s="934"/>
      <c r="AG505" s="934"/>
      <c r="AH505" s="934"/>
      <c r="AI505" s="934"/>
      <c r="AJ505" s="934"/>
    </row>
    <row r="506" spans="1:36" ht="15" hidden="1" customHeight="1">
      <c r="B506" s="1437"/>
      <c r="C506" s="909">
        <v>524892</v>
      </c>
      <c r="D506" s="732" t="s">
        <v>1202</v>
      </c>
      <c r="E506" s="733"/>
      <c r="F506" s="733"/>
      <c r="G506" s="733" t="s">
        <v>1437</v>
      </c>
      <c r="H506" s="733"/>
      <c r="I506" s="734" t="s">
        <v>178</v>
      </c>
      <c r="J506" s="838">
        <v>0</v>
      </c>
      <c r="K506" s="977">
        <f>IFERROR(_xlfn.CEILING.MATH(J506,INDEX('СВОДНАЯ СПЕЦИФИКАЦИЯ'!$C$10:$C$408,MATCH(D506,'СВОДНАЯ СПЕЦИФИКАЦИЯ'!$D$10:$D$408,0))),"Введите кол-во")</f>
        <v>0</v>
      </c>
      <c r="L506" s="978">
        <f>INDEX('СВОДНАЯ СПЕЦИФИКАЦИЯ'!$H$10:$H$408,MATCH(D506,Таблица2[Наименование материала],0))</f>
        <v>0</v>
      </c>
      <c r="M506" s="979">
        <f t="shared" si="19"/>
        <v>0</v>
      </c>
      <c r="O506" s="934">
        <f t="shared" si="18"/>
        <v>0</v>
      </c>
      <c r="Q506" s="984" t="s">
        <v>321</v>
      </c>
      <c r="R506" s="985"/>
      <c r="S506" s="985" t="s">
        <v>1437</v>
      </c>
      <c r="T506" s="986">
        <v>80</v>
      </c>
      <c r="U506" s="985" t="s">
        <v>150</v>
      </c>
      <c r="V506" s="957"/>
      <c r="W506" s="957"/>
      <c r="X506" s="934"/>
      <c r="Y506" s="934"/>
      <c r="Z506" s="934"/>
      <c r="AA506" s="934"/>
      <c r="AB506" s="987"/>
      <c r="AC506" s="934"/>
      <c r="AD506" s="934"/>
      <c r="AE506" s="934"/>
      <c r="AF506" s="934"/>
      <c r="AG506" s="934"/>
      <c r="AH506" s="934"/>
      <c r="AI506" s="934"/>
      <c r="AJ506" s="934"/>
    </row>
    <row r="507" spans="1:36" ht="15" hidden="1" customHeight="1">
      <c r="B507" s="1437"/>
      <c r="C507" s="909">
        <v>524893</v>
      </c>
      <c r="D507" s="732" t="s">
        <v>1203</v>
      </c>
      <c r="E507" s="733"/>
      <c r="F507" s="733"/>
      <c r="G507" s="733" t="s">
        <v>1437</v>
      </c>
      <c r="H507" s="733"/>
      <c r="I507" s="734" t="s">
        <v>178</v>
      </c>
      <c r="J507" s="838">
        <v>0</v>
      </c>
      <c r="K507" s="977">
        <f>IFERROR(_xlfn.CEILING.MATH(J507,INDEX('СВОДНАЯ СПЕЦИФИКАЦИЯ'!$C$10:$C$408,MATCH(D507,'СВОДНАЯ СПЕЦИФИКАЦИЯ'!$D$10:$D$408,0))),"Введите кол-во")</f>
        <v>0</v>
      </c>
      <c r="L507" s="978">
        <f>INDEX('СВОДНАЯ СПЕЦИФИКАЦИЯ'!$H$10:$H$408,MATCH(D507,Таблица2[Наименование материала],0))</f>
        <v>0</v>
      </c>
      <c r="M507" s="979">
        <f t="shared" si="19"/>
        <v>0</v>
      </c>
      <c r="O507" s="934">
        <f t="shared" ref="O507:O570" si="21">IF(J507=0,0,1)</f>
        <v>0</v>
      </c>
      <c r="Q507" s="984" t="s">
        <v>321</v>
      </c>
      <c r="R507" s="985"/>
      <c r="S507" s="985" t="s">
        <v>1437</v>
      </c>
      <c r="T507" s="986">
        <v>90</v>
      </c>
      <c r="U507" s="985" t="s">
        <v>150</v>
      </c>
      <c r="V507" s="957"/>
      <c r="W507" s="957"/>
      <c r="X507" s="934"/>
      <c r="Y507" s="934"/>
      <c r="Z507" s="934"/>
      <c r="AA507" s="934"/>
      <c r="AB507" s="987"/>
      <c r="AC507" s="934"/>
      <c r="AD507" s="934"/>
      <c r="AE507" s="934"/>
      <c r="AF507" s="934"/>
      <c r="AG507" s="934"/>
      <c r="AH507" s="934"/>
      <c r="AI507" s="934"/>
      <c r="AJ507" s="934"/>
    </row>
    <row r="508" spans="1:36" ht="15" hidden="1" customHeight="1">
      <c r="B508" s="1437"/>
      <c r="C508" s="909">
        <v>524894</v>
      </c>
      <c r="D508" s="732" t="s">
        <v>1204</v>
      </c>
      <c r="E508" s="733"/>
      <c r="F508" s="733"/>
      <c r="G508" s="733" t="s">
        <v>1437</v>
      </c>
      <c r="H508" s="733"/>
      <c r="I508" s="734" t="s">
        <v>178</v>
      </c>
      <c r="J508" s="838">
        <v>0</v>
      </c>
      <c r="K508" s="977">
        <f>IFERROR(_xlfn.CEILING.MATH(J508,INDEX('СВОДНАЯ СПЕЦИФИКАЦИЯ'!$C$10:$C$408,MATCH(D508,'СВОДНАЯ СПЕЦИФИКАЦИЯ'!$D$10:$D$408,0))),"Введите кол-во")</f>
        <v>0</v>
      </c>
      <c r="L508" s="978">
        <f>INDEX('СВОДНАЯ СПЕЦИФИКАЦИЯ'!$H$10:$H$408,MATCH(D508,Таблица2[Наименование материала],0))</f>
        <v>0</v>
      </c>
      <c r="M508" s="979">
        <f t="shared" si="19"/>
        <v>0</v>
      </c>
      <c r="O508" s="934">
        <f t="shared" si="21"/>
        <v>0</v>
      </c>
      <c r="Q508" s="984" t="s">
        <v>321</v>
      </c>
      <c r="R508" s="985"/>
      <c r="S508" s="985" t="s">
        <v>1437</v>
      </c>
      <c r="T508" s="986">
        <v>100</v>
      </c>
      <c r="U508" s="985" t="s">
        <v>150</v>
      </c>
      <c r="V508" s="957"/>
      <c r="W508" s="957"/>
      <c r="X508" s="934"/>
      <c r="Y508" s="934"/>
      <c r="Z508" s="934"/>
      <c r="AA508" s="934"/>
      <c r="AB508" s="987"/>
      <c r="AC508" s="934"/>
      <c r="AD508" s="934"/>
      <c r="AE508" s="934"/>
      <c r="AF508" s="934"/>
      <c r="AG508" s="934"/>
      <c r="AH508" s="934"/>
      <c r="AI508" s="934"/>
      <c r="AJ508" s="934"/>
    </row>
    <row r="509" spans="1:36" ht="15" hidden="1" customHeight="1">
      <c r="B509" s="1437"/>
      <c r="C509" s="909">
        <v>524895</v>
      </c>
      <c r="D509" s="732" t="s">
        <v>1205</v>
      </c>
      <c r="E509" s="733"/>
      <c r="F509" s="733"/>
      <c r="G509" s="733" t="s">
        <v>1437</v>
      </c>
      <c r="H509" s="733"/>
      <c r="I509" s="734" t="s">
        <v>178</v>
      </c>
      <c r="J509" s="838">
        <v>0</v>
      </c>
      <c r="K509" s="977">
        <f>IFERROR(_xlfn.CEILING.MATH(J509,INDEX('СВОДНАЯ СПЕЦИФИКАЦИЯ'!$C$10:$C$408,MATCH(D509,'СВОДНАЯ СПЕЦИФИКАЦИЯ'!$D$10:$D$408,0))),"Введите кол-во")</f>
        <v>0</v>
      </c>
      <c r="L509" s="978">
        <f>INDEX('СВОДНАЯ СПЕЦИФИКАЦИЯ'!$H$10:$H$408,MATCH(D509,Таблица2[Наименование материала],0))</f>
        <v>0</v>
      </c>
      <c r="M509" s="979">
        <f t="shared" si="19"/>
        <v>0</v>
      </c>
      <c r="O509" s="934">
        <f t="shared" si="21"/>
        <v>0</v>
      </c>
      <c r="Q509" s="984" t="s">
        <v>321</v>
      </c>
      <c r="R509" s="985"/>
      <c r="S509" s="985" t="s">
        <v>1437</v>
      </c>
      <c r="T509" s="986">
        <v>110</v>
      </c>
      <c r="U509" s="985" t="s">
        <v>150</v>
      </c>
      <c r="V509" s="957"/>
      <c r="W509" s="957"/>
      <c r="X509" s="934"/>
      <c r="Y509" s="934"/>
      <c r="Z509" s="934"/>
      <c r="AA509" s="934"/>
      <c r="AB509" s="987"/>
      <c r="AC509" s="934"/>
      <c r="AD509" s="934"/>
      <c r="AE509" s="934"/>
      <c r="AF509" s="934"/>
      <c r="AG509" s="934"/>
      <c r="AH509" s="934"/>
      <c r="AI509" s="934"/>
      <c r="AJ509" s="934"/>
    </row>
    <row r="510" spans="1:36" ht="15" hidden="1" customHeight="1">
      <c r="B510" s="1437"/>
      <c r="C510" s="909">
        <v>524896</v>
      </c>
      <c r="D510" s="732" t="s">
        <v>1206</v>
      </c>
      <c r="E510" s="733"/>
      <c r="F510" s="733"/>
      <c r="G510" s="733" t="s">
        <v>1437</v>
      </c>
      <c r="H510" s="733"/>
      <c r="I510" s="734" t="s">
        <v>178</v>
      </c>
      <c r="J510" s="838">
        <v>0</v>
      </c>
      <c r="K510" s="977">
        <f>IFERROR(_xlfn.CEILING.MATH(J510,INDEX('СВОДНАЯ СПЕЦИФИКАЦИЯ'!$C$10:$C$408,MATCH(D510,'СВОДНАЯ СПЕЦИФИКАЦИЯ'!$D$10:$D$408,0))),"Введите кол-во")</f>
        <v>0</v>
      </c>
      <c r="L510" s="978">
        <f>INDEX('СВОДНАЯ СПЕЦИФИКАЦИЯ'!$H$10:$H$408,MATCH(D510,Таблица2[Наименование материала],0))</f>
        <v>0</v>
      </c>
      <c r="M510" s="979">
        <f t="shared" si="19"/>
        <v>0</v>
      </c>
      <c r="O510" s="934">
        <f t="shared" si="21"/>
        <v>0</v>
      </c>
      <c r="Q510" s="984" t="s">
        <v>321</v>
      </c>
      <c r="R510" s="985"/>
      <c r="S510" s="985" t="s">
        <v>1437</v>
      </c>
      <c r="T510" s="986">
        <v>120</v>
      </c>
      <c r="U510" s="985" t="s">
        <v>150</v>
      </c>
      <c r="V510" s="957"/>
      <c r="W510" s="957"/>
      <c r="X510" s="934"/>
      <c r="Y510" s="934"/>
      <c r="Z510" s="934"/>
      <c r="AA510" s="934"/>
      <c r="AB510" s="987"/>
      <c r="AC510" s="934"/>
      <c r="AD510" s="934"/>
      <c r="AE510" s="934"/>
      <c r="AF510" s="934"/>
      <c r="AG510" s="934"/>
      <c r="AH510" s="934"/>
      <c r="AI510" s="934"/>
      <c r="AJ510" s="934"/>
    </row>
    <row r="511" spans="1:36" ht="15" hidden="1" customHeight="1">
      <c r="B511" s="1437"/>
      <c r="C511" s="909">
        <v>524918</v>
      </c>
      <c r="D511" s="732" t="s">
        <v>1207</v>
      </c>
      <c r="E511" s="733"/>
      <c r="F511" s="733"/>
      <c r="G511" s="733" t="s">
        <v>1437</v>
      </c>
      <c r="H511" s="733"/>
      <c r="I511" s="734" t="s">
        <v>178</v>
      </c>
      <c r="J511" s="838">
        <v>0</v>
      </c>
      <c r="K511" s="977">
        <f>IFERROR(_xlfn.CEILING.MATH(J511,INDEX('СВОДНАЯ СПЕЦИФИКАЦИЯ'!$C$10:$C$408,MATCH(D511,'СВОДНАЯ СПЕЦИФИКАЦИЯ'!$D$10:$D$408,0))),"Введите кол-во")</f>
        <v>0</v>
      </c>
      <c r="L511" s="978">
        <f>INDEX('СВОДНАЯ СПЕЦИФИКАЦИЯ'!$H$10:$H$408,MATCH(D511,Таблица2[Наименование материала],0))</f>
        <v>0</v>
      </c>
      <c r="M511" s="979">
        <f t="shared" si="19"/>
        <v>0</v>
      </c>
      <c r="O511" s="934">
        <f t="shared" si="21"/>
        <v>0</v>
      </c>
      <c r="Q511" s="984" t="s">
        <v>321</v>
      </c>
      <c r="R511" s="985"/>
      <c r="S511" s="985" t="s">
        <v>1437</v>
      </c>
      <c r="T511" s="986">
        <v>130</v>
      </c>
      <c r="U511" s="985" t="s">
        <v>150</v>
      </c>
      <c r="V511" s="957"/>
      <c r="W511" s="957"/>
      <c r="X511" s="934"/>
      <c r="Y511" s="934"/>
      <c r="Z511" s="934"/>
      <c r="AA511" s="934"/>
      <c r="AB511" s="987"/>
      <c r="AC511" s="934"/>
      <c r="AD511" s="934"/>
      <c r="AE511" s="934"/>
      <c r="AF511" s="934"/>
      <c r="AG511" s="934"/>
      <c r="AH511" s="934"/>
      <c r="AI511" s="934"/>
      <c r="AJ511" s="934"/>
    </row>
    <row r="512" spans="1:36" ht="15" hidden="1" customHeight="1">
      <c r="B512" s="1437"/>
      <c r="C512" s="909">
        <v>524919</v>
      </c>
      <c r="D512" s="732" t="s">
        <v>1208</v>
      </c>
      <c r="E512" s="733"/>
      <c r="F512" s="733"/>
      <c r="G512" s="733" t="s">
        <v>1437</v>
      </c>
      <c r="H512" s="733"/>
      <c r="I512" s="734" t="s">
        <v>178</v>
      </c>
      <c r="J512" s="838">
        <v>0</v>
      </c>
      <c r="K512" s="977">
        <f>IFERROR(_xlfn.CEILING.MATH(J512,INDEX('СВОДНАЯ СПЕЦИФИКАЦИЯ'!$C$10:$C$408,MATCH(D512,'СВОДНАЯ СПЕЦИФИКАЦИЯ'!$D$10:$D$408,0))),"Введите кол-во")</f>
        <v>0</v>
      </c>
      <c r="L512" s="978">
        <f>INDEX('СВОДНАЯ СПЕЦИФИКАЦИЯ'!$H$10:$H$408,MATCH(D512,Таблица2[Наименование материала],0))</f>
        <v>0</v>
      </c>
      <c r="M512" s="979">
        <f t="shared" si="19"/>
        <v>0</v>
      </c>
      <c r="O512" s="934">
        <f t="shared" si="21"/>
        <v>0</v>
      </c>
      <c r="Q512" s="984" t="s">
        <v>321</v>
      </c>
      <c r="R512" s="985"/>
      <c r="S512" s="985" t="s">
        <v>1437</v>
      </c>
      <c r="T512" s="986">
        <v>140</v>
      </c>
      <c r="U512" s="985" t="s">
        <v>150</v>
      </c>
      <c r="V512" s="957"/>
      <c r="W512" s="957"/>
      <c r="X512" s="934"/>
      <c r="Y512" s="934"/>
      <c r="Z512" s="934"/>
      <c r="AA512" s="934"/>
      <c r="AB512" s="987"/>
      <c r="AC512" s="934"/>
      <c r="AD512" s="934"/>
      <c r="AE512" s="934"/>
      <c r="AF512" s="934"/>
      <c r="AG512" s="934"/>
      <c r="AH512" s="934"/>
      <c r="AI512" s="934"/>
      <c r="AJ512" s="934"/>
    </row>
    <row r="513" spans="2:36" ht="15" hidden="1" customHeight="1">
      <c r="B513" s="1437"/>
      <c r="C513" s="909">
        <v>524879</v>
      </c>
      <c r="D513" s="732" t="s">
        <v>1209</v>
      </c>
      <c r="E513" s="733"/>
      <c r="F513" s="733"/>
      <c r="G513" s="733" t="s">
        <v>1437</v>
      </c>
      <c r="H513" s="733"/>
      <c r="I513" s="734" t="s">
        <v>178</v>
      </c>
      <c r="J513" s="838">
        <v>0</v>
      </c>
      <c r="K513" s="977">
        <f>IFERROR(_xlfn.CEILING.MATH(J513,INDEX('СВОДНАЯ СПЕЦИФИКАЦИЯ'!$C$10:$C$408,MATCH(D513,'СВОДНАЯ СПЕЦИФИКАЦИЯ'!$D$10:$D$408,0))),"Введите кол-во")</f>
        <v>0</v>
      </c>
      <c r="L513" s="978">
        <f>INDEX('СВОДНАЯ СПЕЦИФИКАЦИЯ'!$H$10:$H$408,MATCH(D513,Таблица2[Наименование материала],0))</f>
        <v>0</v>
      </c>
      <c r="M513" s="979">
        <f t="shared" si="19"/>
        <v>0</v>
      </c>
      <c r="O513" s="934">
        <f t="shared" si="21"/>
        <v>0</v>
      </c>
      <c r="Q513" s="984" t="s">
        <v>321</v>
      </c>
      <c r="R513" s="985"/>
      <c r="S513" s="985" t="s">
        <v>1437</v>
      </c>
      <c r="T513" s="986">
        <v>150</v>
      </c>
      <c r="U513" s="985" t="s">
        <v>150</v>
      </c>
      <c r="V513" s="957"/>
      <c r="W513" s="957"/>
      <c r="X513" s="934"/>
      <c r="Y513" s="934"/>
      <c r="Z513" s="934"/>
      <c r="AA513" s="934"/>
      <c r="AB513" s="987"/>
      <c r="AC513" s="934"/>
      <c r="AD513" s="934"/>
      <c r="AE513" s="934"/>
      <c r="AF513" s="934"/>
      <c r="AG513" s="934"/>
      <c r="AH513" s="934"/>
      <c r="AI513" s="934"/>
      <c r="AJ513" s="934"/>
    </row>
    <row r="514" spans="2:36" ht="15" hidden="1" customHeight="1">
      <c r="B514" s="1437"/>
      <c r="C514" s="909">
        <v>524920</v>
      </c>
      <c r="D514" s="732" t="s">
        <v>1210</v>
      </c>
      <c r="E514" s="733"/>
      <c r="F514" s="733"/>
      <c r="G514" s="733" t="s">
        <v>1437</v>
      </c>
      <c r="H514" s="733"/>
      <c r="I514" s="734" t="s">
        <v>178</v>
      </c>
      <c r="J514" s="838">
        <v>0</v>
      </c>
      <c r="K514" s="977">
        <f>IFERROR(_xlfn.CEILING.MATH(J514,INDEX('СВОДНАЯ СПЕЦИФИКАЦИЯ'!$C$10:$C$408,MATCH(D514,'СВОДНАЯ СПЕЦИФИКАЦИЯ'!$D$10:$D$408,0))),"Введите кол-во")</f>
        <v>0</v>
      </c>
      <c r="L514" s="978">
        <f>INDEX('СВОДНАЯ СПЕЦИФИКАЦИЯ'!$H$10:$H$408,MATCH(D514,Таблица2[Наименование материала],0))</f>
        <v>0</v>
      </c>
      <c r="M514" s="979">
        <f t="shared" si="19"/>
        <v>0</v>
      </c>
      <c r="O514" s="934">
        <f t="shared" si="21"/>
        <v>0</v>
      </c>
      <c r="Q514" s="984" t="s">
        <v>321</v>
      </c>
      <c r="R514" s="985"/>
      <c r="S514" s="985" t="s">
        <v>1437</v>
      </c>
      <c r="T514" s="986">
        <v>160</v>
      </c>
      <c r="U514" s="985" t="s">
        <v>150</v>
      </c>
      <c r="V514" s="957"/>
      <c r="W514" s="957"/>
      <c r="X514" s="934"/>
      <c r="Y514" s="934"/>
      <c r="Z514" s="934"/>
      <c r="AA514" s="934"/>
      <c r="AB514" s="987"/>
      <c r="AC514" s="934"/>
      <c r="AD514" s="934"/>
      <c r="AE514" s="934"/>
      <c r="AF514" s="934"/>
      <c r="AG514" s="934"/>
      <c r="AH514" s="934"/>
      <c r="AI514" s="934"/>
      <c r="AJ514" s="934"/>
    </row>
    <row r="515" spans="2:36" ht="15" hidden="1" customHeight="1">
      <c r="B515" s="1437"/>
      <c r="C515" s="909">
        <v>524921</v>
      </c>
      <c r="D515" s="732" t="s">
        <v>1211</v>
      </c>
      <c r="E515" s="733"/>
      <c r="F515" s="733"/>
      <c r="G515" s="733" t="s">
        <v>1437</v>
      </c>
      <c r="H515" s="733"/>
      <c r="I515" s="734" t="s">
        <v>178</v>
      </c>
      <c r="J515" s="838">
        <v>0</v>
      </c>
      <c r="K515" s="977">
        <f>IFERROR(_xlfn.CEILING.MATH(J515,INDEX('СВОДНАЯ СПЕЦИФИКАЦИЯ'!$C$10:$C$408,MATCH(D515,'СВОДНАЯ СПЕЦИФИКАЦИЯ'!$D$10:$D$408,0))),"Введите кол-во")</f>
        <v>0</v>
      </c>
      <c r="L515" s="978">
        <f>INDEX('СВОДНАЯ СПЕЦИФИКАЦИЯ'!$H$10:$H$408,MATCH(D515,Таблица2[Наименование материала],0))</f>
        <v>0</v>
      </c>
      <c r="M515" s="979">
        <f t="shared" si="19"/>
        <v>0</v>
      </c>
      <c r="O515" s="934">
        <f t="shared" si="21"/>
        <v>0</v>
      </c>
      <c r="Q515" s="984" t="s">
        <v>321</v>
      </c>
      <c r="R515" s="985"/>
      <c r="S515" s="985" t="s">
        <v>1437</v>
      </c>
      <c r="T515" s="986">
        <v>170</v>
      </c>
      <c r="U515" s="985" t="s">
        <v>150</v>
      </c>
      <c r="V515" s="957"/>
      <c r="W515" s="957"/>
      <c r="X515" s="934"/>
      <c r="Y515" s="934"/>
      <c r="Z515" s="934"/>
      <c r="AA515" s="934"/>
      <c r="AB515" s="987"/>
      <c r="AC515" s="934"/>
      <c r="AD515" s="934"/>
      <c r="AE515" s="934"/>
      <c r="AF515" s="934"/>
      <c r="AG515" s="934"/>
      <c r="AH515" s="934"/>
      <c r="AI515" s="934"/>
      <c r="AJ515" s="934"/>
    </row>
    <row r="516" spans="2:36" ht="15" hidden="1" customHeight="1">
      <c r="B516" s="1437"/>
      <c r="C516" s="909">
        <v>523815</v>
      </c>
      <c r="D516" s="732" t="s">
        <v>1212</v>
      </c>
      <c r="E516" s="733"/>
      <c r="F516" s="733"/>
      <c r="G516" s="733" t="s">
        <v>1437</v>
      </c>
      <c r="H516" s="733"/>
      <c r="I516" s="734" t="s">
        <v>178</v>
      </c>
      <c r="J516" s="838">
        <v>0</v>
      </c>
      <c r="K516" s="977">
        <f>IFERROR(_xlfn.CEILING.MATH(J516,INDEX('СВОДНАЯ СПЕЦИФИКАЦИЯ'!$C$10:$C$408,MATCH(D516,'СВОДНАЯ СПЕЦИФИКАЦИЯ'!$D$10:$D$408,0))),"Введите кол-во")</f>
        <v>0</v>
      </c>
      <c r="L516" s="978">
        <f>INDEX('СВОДНАЯ СПЕЦИФИКАЦИЯ'!$H$10:$H$408,MATCH(D516,Таблица2[Наименование материала],0))</f>
        <v>0</v>
      </c>
      <c r="M516" s="979">
        <f t="shared" si="19"/>
        <v>0</v>
      </c>
      <c r="O516" s="934">
        <f t="shared" si="21"/>
        <v>0</v>
      </c>
      <c r="Q516" s="984" t="s">
        <v>321</v>
      </c>
      <c r="R516" s="985"/>
      <c r="S516" s="985" t="s">
        <v>1437</v>
      </c>
      <c r="T516" s="986">
        <v>180</v>
      </c>
      <c r="U516" s="985" t="s">
        <v>150</v>
      </c>
      <c r="V516" s="957"/>
      <c r="W516" s="957"/>
      <c r="X516" s="934"/>
      <c r="Y516" s="934"/>
      <c r="Z516" s="934"/>
      <c r="AA516" s="934"/>
      <c r="AB516" s="987"/>
      <c r="AC516" s="934"/>
      <c r="AD516" s="934"/>
      <c r="AE516" s="934"/>
      <c r="AF516" s="934"/>
      <c r="AG516" s="934"/>
      <c r="AH516" s="934"/>
      <c r="AI516" s="934"/>
      <c r="AJ516" s="934"/>
    </row>
    <row r="517" spans="2:36" ht="15" hidden="1" customHeight="1">
      <c r="B517" s="1437"/>
      <c r="C517" s="909">
        <v>524930</v>
      </c>
      <c r="D517" s="732" t="s">
        <v>1213</v>
      </c>
      <c r="E517" s="733"/>
      <c r="F517" s="733"/>
      <c r="G517" s="733" t="s">
        <v>1437</v>
      </c>
      <c r="H517" s="733"/>
      <c r="I517" s="734" t="s">
        <v>178</v>
      </c>
      <c r="J517" s="838">
        <v>0</v>
      </c>
      <c r="K517" s="977">
        <f>IFERROR(_xlfn.CEILING.MATH(J517,INDEX('СВОДНАЯ СПЕЦИФИКАЦИЯ'!$C$10:$C$408,MATCH(D517,'СВОДНАЯ СПЕЦИФИКАЦИЯ'!$D$10:$D$408,0))),"Введите кол-во")</f>
        <v>0</v>
      </c>
      <c r="L517" s="978">
        <f>INDEX('СВОДНАЯ СПЕЦИФИКАЦИЯ'!$H$10:$H$408,MATCH(D517,Таблица2[Наименование материала],0))</f>
        <v>0</v>
      </c>
      <c r="M517" s="979">
        <f t="shared" si="19"/>
        <v>0</v>
      </c>
      <c r="O517" s="934">
        <f t="shared" si="21"/>
        <v>0</v>
      </c>
      <c r="Q517" s="984" t="s">
        <v>321</v>
      </c>
      <c r="R517" s="985"/>
      <c r="S517" s="985" t="s">
        <v>1437</v>
      </c>
      <c r="T517" s="986">
        <v>190</v>
      </c>
      <c r="U517" s="985" t="s">
        <v>150</v>
      </c>
      <c r="V517" s="957"/>
      <c r="W517" s="957"/>
      <c r="X517" s="934"/>
      <c r="Y517" s="934"/>
      <c r="Z517" s="934"/>
      <c r="AA517" s="934"/>
      <c r="AB517" s="987"/>
      <c r="AC517" s="934"/>
      <c r="AD517" s="934"/>
      <c r="AE517" s="934"/>
      <c r="AF517" s="934"/>
      <c r="AG517" s="934"/>
      <c r="AH517" s="934"/>
      <c r="AI517" s="934"/>
      <c r="AJ517" s="934"/>
    </row>
    <row r="518" spans="2:36" ht="15" hidden="1" customHeight="1">
      <c r="B518" s="1437"/>
      <c r="C518" s="909">
        <v>524932</v>
      </c>
      <c r="D518" s="732" t="s">
        <v>1214</v>
      </c>
      <c r="E518" s="733"/>
      <c r="F518" s="733"/>
      <c r="G518" s="733" t="s">
        <v>1437</v>
      </c>
      <c r="H518" s="733"/>
      <c r="I518" s="734" t="s">
        <v>178</v>
      </c>
      <c r="J518" s="838">
        <v>0</v>
      </c>
      <c r="K518" s="977">
        <f>IFERROR(_xlfn.CEILING.MATH(J518,INDEX('СВОДНАЯ СПЕЦИФИКАЦИЯ'!$C$10:$C$408,MATCH(D518,'СВОДНАЯ СПЕЦИФИКАЦИЯ'!$D$10:$D$408,0))),"Введите кол-во")</f>
        <v>0</v>
      </c>
      <c r="L518" s="978">
        <f>INDEX('СВОДНАЯ СПЕЦИФИКАЦИЯ'!$H$10:$H$408,MATCH(D518,Таблица2[Наименование материала],0))</f>
        <v>0</v>
      </c>
      <c r="M518" s="979">
        <f t="shared" si="19"/>
        <v>0</v>
      </c>
      <c r="O518" s="934">
        <f t="shared" si="21"/>
        <v>0</v>
      </c>
      <c r="Q518" s="984" t="s">
        <v>321</v>
      </c>
      <c r="R518" s="985"/>
      <c r="S518" s="985" t="s">
        <v>1437</v>
      </c>
      <c r="T518" s="986">
        <v>200</v>
      </c>
      <c r="U518" s="985" t="s">
        <v>150</v>
      </c>
      <c r="V518" s="957"/>
      <c r="W518" s="957"/>
      <c r="X518" s="934"/>
      <c r="Y518" s="934"/>
      <c r="Z518" s="934"/>
      <c r="AA518" s="934"/>
      <c r="AB518" s="987"/>
      <c r="AC518" s="934"/>
      <c r="AD518" s="934"/>
      <c r="AE518" s="934"/>
      <c r="AF518" s="934"/>
      <c r="AG518" s="934"/>
      <c r="AH518" s="934"/>
      <c r="AI518" s="934"/>
      <c r="AJ518" s="934"/>
    </row>
    <row r="519" spans="2:36" ht="15" hidden="1" customHeight="1">
      <c r="B519" s="1437"/>
      <c r="C519" s="909" t="s">
        <v>992</v>
      </c>
      <c r="D519" s="732" t="s">
        <v>1350</v>
      </c>
      <c r="E519" s="733"/>
      <c r="F519" s="733"/>
      <c r="G519" s="733" t="s">
        <v>1437</v>
      </c>
      <c r="H519" s="733"/>
      <c r="I519" s="739" t="s">
        <v>178</v>
      </c>
      <c r="J519" s="838">
        <v>0</v>
      </c>
      <c r="K519" s="977">
        <f>IFERROR(_xlfn.CEILING.MATH(J519,INDEX('СВОДНАЯ СПЕЦИФИКАЦИЯ'!$C$10:$C$408,MATCH(D519,'СВОДНАЯ СПЕЦИФИКАЦИЯ'!$D$10:$D$408,0))),"Введите кол-во")</f>
        <v>0</v>
      </c>
      <c r="L519" s="978">
        <f>INDEX('СВОДНАЯ СПЕЦИФИКАЦИЯ'!$H$10:$H$408,MATCH(D519,Таблица2[Наименование материала],0))</f>
        <v>0</v>
      </c>
      <c r="M519" s="979">
        <f t="shared" si="19"/>
        <v>0</v>
      </c>
      <c r="O519" s="934">
        <f t="shared" si="21"/>
        <v>0</v>
      </c>
      <c r="Q519" s="984" t="s">
        <v>991</v>
      </c>
      <c r="R519" s="985"/>
      <c r="S519" s="985" t="s">
        <v>1437</v>
      </c>
      <c r="T519" s="986">
        <v>50</v>
      </c>
      <c r="U519" s="985" t="s">
        <v>150</v>
      </c>
      <c r="V519" s="957"/>
      <c r="W519" s="957"/>
      <c r="X519" s="934"/>
      <c r="Y519" s="934"/>
      <c r="Z519" s="934"/>
      <c r="AA519" s="934"/>
      <c r="AB519" s="987"/>
      <c r="AC519" s="934"/>
      <c r="AD519" s="934"/>
      <c r="AE519" s="934"/>
      <c r="AF519" s="934"/>
      <c r="AG519" s="934"/>
      <c r="AH519" s="934"/>
      <c r="AI519" s="934"/>
      <c r="AJ519" s="934"/>
    </row>
    <row r="520" spans="2:36" ht="15" hidden="1" customHeight="1">
      <c r="B520" s="1437"/>
      <c r="C520" s="909" t="s">
        <v>993</v>
      </c>
      <c r="D520" s="732" t="s">
        <v>1351</v>
      </c>
      <c r="E520" s="733"/>
      <c r="F520" s="733"/>
      <c r="G520" s="733" t="s">
        <v>1437</v>
      </c>
      <c r="H520" s="733"/>
      <c r="I520" s="739" t="s">
        <v>178</v>
      </c>
      <c r="J520" s="838">
        <v>0</v>
      </c>
      <c r="K520" s="977">
        <f>IFERROR(_xlfn.CEILING.MATH(J520,INDEX('СВОДНАЯ СПЕЦИФИКАЦИЯ'!$C$10:$C$408,MATCH(D520,'СВОДНАЯ СПЕЦИФИКАЦИЯ'!$D$10:$D$408,0))),"Введите кол-во")</f>
        <v>0</v>
      </c>
      <c r="L520" s="978">
        <f>INDEX('СВОДНАЯ СПЕЦИФИКАЦИЯ'!$H$10:$H$408,MATCH(D520,Таблица2[Наименование материала],0))</f>
        <v>0</v>
      </c>
      <c r="M520" s="979">
        <f t="shared" si="19"/>
        <v>0</v>
      </c>
      <c r="O520" s="934">
        <f t="shared" si="21"/>
        <v>0</v>
      </c>
      <c r="Q520" s="984" t="s">
        <v>991</v>
      </c>
      <c r="R520" s="985"/>
      <c r="S520" s="985" t="s">
        <v>1437</v>
      </c>
      <c r="T520" s="986">
        <v>60</v>
      </c>
      <c r="U520" s="985" t="s">
        <v>150</v>
      </c>
      <c r="V520" s="957"/>
      <c r="W520" s="957"/>
      <c r="X520" s="934"/>
      <c r="Y520" s="934"/>
      <c r="Z520" s="934"/>
      <c r="AA520" s="934"/>
      <c r="AB520" s="987"/>
      <c r="AC520" s="934"/>
      <c r="AD520" s="934"/>
      <c r="AE520" s="934"/>
      <c r="AF520" s="934"/>
      <c r="AG520" s="934"/>
      <c r="AH520" s="934"/>
      <c r="AI520" s="934"/>
      <c r="AJ520" s="934"/>
    </row>
    <row r="521" spans="2:36" ht="15" hidden="1" customHeight="1">
      <c r="B521" s="1437"/>
      <c r="C521" s="909" t="s">
        <v>994</v>
      </c>
      <c r="D521" s="732" t="s">
        <v>1352</v>
      </c>
      <c r="E521" s="733"/>
      <c r="F521" s="733"/>
      <c r="G521" s="733" t="s">
        <v>1437</v>
      </c>
      <c r="H521" s="733"/>
      <c r="I521" s="739" t="s">
        <v>178</v>
      </c>
      <c r="J521" s="838">
        <v>0</v>
      </c>
      <c r="K521" s="977">
        <f>IFERROR(_xlfn.CEILING.MATH(J521,INDEX('СВОДНАЯ СПЕЦИФИКАЦИЯ'!$C$10:$C$408,MATCH(D521,'СВОДНАЯ СПЕЦИФИКАЦИЯ'!$D$10:$D$408,0))),"Введите кол-во")</f>
        <v>0</v>
      </c>
      <c r="L521" s="978">
        <f>INDEX('СВОДНАЯ СПЕЦИФИКАЦИЯ'!$H$10:$H$408,MATCH(D521,Таблица2[Наименование материала],0))</f>
        <v>0</v>
      </c>
      <c r="M521" s="979">
        <f t="shared" si="19"/>
        <v>0</v>
      </c>
      <c r="O521" s="934">
        <f t="shared" si="21"/>
        <v>0</v>
      </c>
      <c r="Q521" s="984" t="s">
        <v>991</v>
      </c>
      <c r="R521" s="985"/>
      <c r="S521" s="985" t="s">
        <v>1437</v>
      </c>
      <c r="T521" s="986">
        <v>70</v>
      </c>
      <c r="U521" s="985" t="s">
        <v>150</v>
      </c>
      <c r="V521" s="957"/>
      <c r="W521" s="957"/>
      <c r="X521" s="934"/>
      <c r="Y521" s="934"/>
      <c r="Z521" s="934"/>
      <c r="AA521" s="934"/>
      <c r="AB521" s="987"/>
      <c r="AC521" s="934"/>
      <c r="AD521" s="934"/>
      <c r="AE521" s="934"/>
      <c r="AF521" s="934"/>
      <c r="AG521" s="934"/>
      <c r="AH521" s="934"/>
      <c r="AI521" s="934"/>
      <c r="AJ521" s="934"/>
    </row>
    <row r="522" spans="2:36" ht="15" hidden="1" customHeight="1">
      <c r="B522" s="1437"/>
      <c r="C522" s="909">
        <v>18408</v>
      </c>
      <c r="D522" s="732" t="s">
        <v>1353</v>
      </c>
      <c r="E522" s="733"/>
      <c r="F522" s="733"/>
      <c r="G522" s="733" t="s">
        <v>1437</v>
      </c>
      <c r="H522" s="733"/>
      <c r="I522" s="739" t="s">
        <v>178</v>
      </c>
      <c r="J522" s="838">
        <v>0</v>
      </c>
      <c r="K522" s="977">
        <f>IFERROR(_xlfn.CEILING.MATH(J522,INDEX('СВОДНАЯ СПЕЦИФИКАЦИЯ'!$C$10:$C$408,MATCH(D522,'СВОДНАЯ СПЕЦИФИКАЦИЯ'!$D$10:$D$408,0))),"Введите кол-во")</f>
        <v>0</v>
      </c>
      <c r="L522" s="978">
        <f>INDEX('СВОДНАЯ СПЕЦИФИКАЦИЯ'!$H$10:$H$408,MATCH(D522,Таблица2[Наименование материала],0))</f>
        <v>0</v>
      </c>
      <c r="M522" s="979">
        <f t="shared" si="19"/>
        <v>0</v>
      </c>
      <c r="O522" s="934">
        <f t="shared" si="21"/>
        <v>0</v>
      </c>
      <c r="Q522" s="984" t="s">
        <v>991</v>
      </c>
      <c r="R522" s="985"/>
      <c r="S522" s="985" t="s">
        <v>1437</v>
      </c>
      <c r="T522" s="986">
        <v>80</v>
      </c>
      <c r="U522" s="985" t="s">
        <v>150</v>
      </c>
      <c r="V522" s="957"/>
      <c r="W522" s="957"/>
      <c r="X522" s="934"/>
      <c r="Y522" s="934"/>
      <c r="Z522" s="934"/>
      <c r="AA522" s="934"/>
      <c r="AB522" s="987"/>
      <c r="AC522" s="934"/>
      <c r="AD522" s="934"/>
      <c r="AE522" s="934"/>
      <c r="AF522" s="934"/>
      <c r="AG522" s="934"/>
      <c r="AH522" s="934"/>
      <c r="AI522" s="934"/>
      <c r="AJ522" s="934"/>
    </row>
    <row r="523" spans="2:36" ht="15" hidden="1" customHeight="1">
      <c r="B523" s="1437"/>
      <c r="C523" s="909">
        <v>34705</v>
      </c>
      <c r="D523" s="732" t="s">
        <v>1354</v>
      </c>
      <c r="E523" s="733"/>
      <c r="F523" s="733"/>
      <c r="G523" s="733" t="s">
        <v>1437</v>
      </c>
      <c r="H523" s="733"/>
      <c r="I523" s="739" t="s">
        <v>178</v>
      </c>
      <c r="J523" s="838">
        <v>0</v>
      </c>
      <c r="K523" s="977">
        <f>IFERROR(_xlfn.CEILING.MATH(J523,INDEX('СВОДНАЯ СПЕЦИФИКАЦИЯ'!$C$10:$C$408,MATCH(D523,'СВОДНАЯ СПЕЦИФИКАЦИЯ'!$D$10:$D$408,0))),"Введите кол-во")</f>
        <v>0</v>
      </c>
      <c r="L523" s="978">
        <f>INDEX('СВОДНАЯ СПЕЦИФИКАЦИЯ'!$H$10:$H$408,MATCH(D523,Таблица2[Наименование материала],0))</f>
        <v>0</v>
      </c>
      <c r="M523" s="979">
        <f t="shared" si="19"/>
        <v>0</v>
      </c>
      <c r="O523" s="934">
        <f t="shared" si="21"/>
        <v>0</v>
      </c>
      <c r="Q523" s="984" t="s">
        <v>991</v>
      </c>
      <c r="R523" s="985"/>
      <c r="S523" s="985" t="s">
        <v>1437</v>
      </c>
      <c r="T523" s="986">
        <v>90</v>
      </c>
      <c r="U523" s="985" t="s">
        <v>150</v>
      </c>
      <c r="V523" s="957"/>
      <c r="W523" s="957"/>
      <c r="X523" s="934"/>
      <c r="Y523" s="934"/>
      <c r="Z523" s="934"/>
      <c r="AA523" s="934"/>
      <c r="AB523" s="987"/>
      <c r="AC523" s="934"/>
      <c r="AD523" s="934"/>
      <c r="AE523" s="934"/>
      <c r="AF523" s="934"/>
      <c r="AG523" s="934"/>
      <c r="AH523" s="934"/>
      <c r="AI523" s="934"/>
      <c r="AJ523" s="934"/>
    </row>
    <row r="524" spans="2:36" ht="15" hidden="1" customHeight="1">
      <c r="B524" s="1437"/>
      <c r="C524" s="909" t="s">
        <v>995</v>
      </c>
      <c r="D524" s="732" t="s">
        <v>1355</v>
      </c>
      <c r="E524" s="733"/>
      <c r="F524" s="733"/>
      <c r="G524" s="733" t="s">
        <v>1437</v>
      </c>
      <c r="H524" s="733"/>
      <c r="I524" s="739" t="s">
        <v>178</v>
      </c>
      <c r="J524" s="838">
        <v>0</v>
      </c>
      <c r="K524" s="977">
        <f>IFERROR(_xlfn.CEILING.MATH(J524,INDEX('СВОДНАЯ СПЕЦИФИКАЦИЯ'!$C$10:$C$408,MATCH(D524,'СВОДНАЯ СПЕЦИФИКАЦИЯ'!$D$10:$D$408,0))),"Введите кол-во")</f>
        <v>0</v>
      </c>
      <c r="L524" s="978">
        <f>INDEX('СВОДНАЯ СПЕЦИФИКАЦИЯ'!$H$10:$H$408,MATCH(D524,Таблица2[Наименование материала],0))</f>
        <v>0</v>
      </c>
      <c r="M524" s="979">
        <f t="shared" si="19"/>
        <v>0</v>
      </c>
      <c r="O524" s="934">
        <f t="shared" si="21"/>
        <v>0</v>
      </c>
      <c r="Q524" s="984" t="s">
        <v>991</v>
      </c>
      <c r="R524" s="985"/>
      <c r="S524" s="985" t="s">
        <v>1437</v>
      </c>
      <c r="T524" s="986">
        <v>100</v>
      </c>
      <c r="U524" s="985" t="s">
        <v>150</v>
      </c>
      <c r="V524" s="957"/>
      <c r="W524" s="957"/>
      <c r="X524" s="934"/>
      <c r="Y524" s="934"/>
      <c r="Z524" s="934"/>
      <c r="AA524" s="934"/>
      <c r="AB524" s="987"/>
      <c r="AC524" s="934"/>
      <c r="AD524" s="934"/>
      <c r="AE524" s="934"/>
      <c r="AF524" s="934"/>
      <c r="AG524" s="934"/>
      <c r="AH524" s="934"/>
      <c r="AI524" s="934"/>
      <c r="AJ524" s="934"/>
    </row>
    <row r="525" spans="2:36" ht="15" hidden="1" customHeight="1">
      <c r="B525" s="1437"/>
      <c r="C525" s="909">
        <v>36541</v>
      </c>
      <c r="D525" s="732" t="s">
        <v>1356</v>
      </c>
      <c r="E525" s="733"/>
      <c r="F525" s="733"/>
      <c r="G525" s="733" t="s">
        <v>1437</v>
      </c>
      <c r="H525" s="733"/>
      <c r="I525" s="739" t="s">
        <v>178</v>
      </c>
      <c r="J525" s="838">
        <v>0</v>
      </c>
      <c r="K525" s="977">
        <f>IFERROR(_xlfn.CEILING.MATH(J525,INDEX('СВОДНАЯ СПЕЦИФИКАЦИЯ'!$C$10:$C$408,MATCH(D525,'СВОДНАЯ СПЕЦИФИКАЦИЯ'!$D$10:$D$408,0))),"Введите кол-во")</f>
        <v>0</v>
      </c>
      <c r="L525" s="978">
        <f>INDEX('СВОДНАЯ СПЕЦИФИКАЦИЯ'!$H$10:$H$408,MATCH(D525,Таблица2[Наименование материала],0))</f>
        <v>0</v>
      </c>
      <c r="M525" s="979">
        <f t="shared" si="19"/>
        <v>0</v>
      </c>
      <c r="O525" s="934">
        <f t="shared" si="21"/>
        <v>0</v>
      </c>
      <c r="Q525" s="984" t="s">
        <v>991</v>
      </c>
      <c r="R525" s="985"/>
      <c r="S525" s="985" t="s">
        <v>1437</v>
      </c>
      <c r="T525" s="986">
        <v>110</v>
      </c>
      <c r="U525" s="985" t="s">
        <v>150</v>
      </c>
      <c r="V525" s="957"/>
      <c r="W525" s="957"/>
      <c r="X525" s="934"/>
      <c r="Y525" s="934"/>
      <c r="Z525" s="934"/>
      <c r="AA525" s="934"/>
      <c r="AB525" s="987"/>
      <c r="AC525" s="934"/>
      <c r="AD525" s="934"/>
      <c r="AE525" s="934"/>
      <c r="AF525" s="934"/>
      <c r="AG525" s="934"/>
      <c r="AH525" s="934"/>
      <c r="AI525" s="934"/>
      <c r="AJ525" s="934"/>
    </row>
    <row r="526" spans="2:36" ht="15" hidden="1" customHeight="1">
      <c r="B526" s="1437"/>
      <c r="C526" s="909">
        <v>37585</v>
      </c>
      <c r="D526" s="732" t="s">
        <v>1357</v>
      </c>
      <c r="E526" s="733"/>
      <c r="F526" s="733"/>
      <c r="G526" s="733" t="s">
        <v>1437</v>
      </c>
      <c r="H526" s="733"/>
      <c r="I526" s="739" t="s">
        <v>178</v>
      </c>
      <c r="J526" s="838">
        <v>0</v>
      </c>
      <c r="K526" s="977">
        <f>IFERROR(_xlfn.CEILING.MATH(J526,INDEX('СВОДНАЯ СПЕЦИФИКАЦИЯ'!$C$10:$C$408,MATCH(D526,'СВОДНАЯ СПЕЦИФИКАЦИЯ'!$D$10:$D$408,0))),"Введите кол-во")</f>
        <v>0</v>
      </c>
      <c r="L526" s="978">
        <f>INDEX('СВОДНАЯ СПЕЦИФИКАЦИЯ'!$H$10:$H$408,MATCH(D526,Таблица2[Наименование материала],0))</f>
        <v>0</v>
      </c>
      <c r="M526" s="979">
        <f t="shared" si="19"/>
        <v>0</v>
      </c>
      <c r="O526" s="934">
        <f t="shared" si="21"/>
        <v>0</v>
      </c>
      <c r="Q526" s="984" t="s">
        <v>991</v>
      </c>
      <c r="R526" s="985"/>
      <c r="S526" s="985" t="s">
        <v>1437</v>
      </c>
      <c r="T526" s="986">
        <v>120</v>
      </c>
      <c r="U526" s="985" t="s">
        <v>150</v>
      </c>
      <c r="V526" s="957"/>
      <c r="W526" s="957"/>
      <c r="X526" s="934"/>
      <c r="Y526" s="934"/>
      <c r="Z526" s="934"/>
      <c r="AA526" s="934"/>
      <c r="AB526" s="987"/>
      <c r="AC526" s="934"/>
      <c r="AD526" s="934"/>
      <c r="AE526" s="934"/>
      <c r="AF526" s="934"/>
      <c r="AG526" s="934"/>
      <c r="AH526" s="934"/>
      <c r="AI526" s="934"/>
      <c r="AJ526" s="934"/>
    </row>
    <row r="527" spans="2:36" ht="15" hidden="1" customHeight="1">
      <c r="B527" s="1437"/>
      <c r="C527" s="909">
        <v>377725</v>
      </c>
      <c r="D527" s="732" t="s">
        <v>1358</v>
      </c>
      <c r="E527" s="733"/>
      <c r="F527" s="733"/>
      <c r="G527" s="733" t="s">
        <v>1437</v>
      </c>
      <c r="H527" s="733"/>
      <c r="I527" s="739" t="s">
        <v>178</v>
      </c>
      <c r="J527" s="838">
        <v>0</v>
      </c>
      <c r="K527" s="977">
        <f>IFERROR(_xlfn.CEILING.MATH(J527,INDEX('СВОДНАЯ СПЕЦИФИКАЦИЯ'!$C$10:$C$408,MATCH(D527,'СВОДНАЯ СПЕЦИФИКАЦИЯ'!$D$10:$D$408,0))),"Введите кол-во")</f>
        <v>0</v>
      </c>
      <c r="L527" s="978">
        <f>INDEX('СВОДНАЯ СПЕЦИФИКАЦИЯ'!$H$10:$H$408,MATCH(D527,Таблица2[Наименование материала],0))</f>
        <v>0</v>
      </c>
      <c r="M527" s="979">
        <f t="shared" si="19"/>
        <v>0</v>
      </c>
      <c r="O527" s="934">
        <f t="shared" si="21"/>
        <v>0</v>
      </c>
      <c r="Q527" s="984" t="s">
        <v>991</v>
      </c>
      <c r="R527" s="985"/>
      <c r="S527" s="985" t="s">
        <v>1437</v>
      </c>
      <c r="T527" s="986">
        <v>130</v>
      </c>
      <c r="U527" s="985" t="s">
        <v>150</v>
      </c>
      <c r="V527" s="957"/>
      <c r="W527" s="957"/>
      <c r="X527" s="934"/>
      <c r="Y527" s="934"/>
      <c r="Z527" s="934"/>
      <c r="AA527" s="934"/>
      <c r="AB527" s="987"/>
      <c r="AC527" s="934"/>
      <c r="AD527" s="934"/>
      <c r="AE527" s="934"/>
      <c r="AF527" s="934"/>
      <c r="AG527" s="934"/>
      <c r="AH527" s="934"/>
      <c r="AI527" s="934"/>
      <c r="AJ527" s="934"/>
    </row>
    <row r="528" spans="2:36" ht="15" hidden="1" customHeight="1">
      <c r="B528" s="1437"/>
      <c r="C528" s="909">
        <v>210246</v>
      </c>
      <c r="D528" s="732" t="s">
        <v>1359</v>
      </c>
      <c r="E528" s="733"/>
      <c r="F528" s="733"/>
      <c r="G528" s="733" t="s">
        <v>1437</v>
      </c>
      <c r="H528" s="733"/>
      <c r="I528" s="739" t="s">
        <v>178</v>
      </c>
      <c r="J528" s="838">
        <v>0</v>
      </c>
      <c r="K528" s="977">
        <f>IFERROR(_xlfn.CEILING.MATH(J528,INDEX('СВОДНАЯ СПЕЦИФИКАЦИЯ'!$C$10:$C$408,MATCH(D528,'СВОДНАЯ СПЕЦИФИКАЦИЯ'!$D$10:$D$408,0))),"Введите кол-во")</f>
        <v>0</v>
      </c>
      <c r="L528" s="978">
        <f>INDEX('СВОДНАЯ СПЕЦИФИКАЦИЯ'!$H$10:$H$408,MATCH(D528,Таблица2[Наименование материала],0))</f>
        <v>0</v>
      </c>
      <c r="M528" s="979">
        <f t="shared" si="19"/>
        <v>0</v>
      </c>
      <c r="O528" s="934">
        <f t="shared" si="21"/>
        <v>0</v>
      </c>
      <c r="Q528" s="984" t="s">
        <v>991</v>
      </c>
      <c r="R528" s="985"/>
      <c r="S528" s="985" t="s">
        <v>1437</v>
      </c>
      <c r="T528" s="986">
        <v>140</v>
      </c>
      <c r="U528" s="985" t="s">
        <v>150</v>
      </c>
      <c r="V528" s="957"/>
      <c r="W528" s="957"/>
      <c r="X528" s="934"/>
      <c r="Y528" s="934"/>
      <c r="Z528" s="934"/>
      <c r="AA528" s="934"/>
      <c r="AB528" s="987"/>
      <c r="AC528" s="934"/>
      <c r="AD528" s="934"/>
      <c r="AE528" s="934"/>
      <c r="AF528" s="934"/>
      <c r="AG528" s="934"/>
      <c r="AH528" s="934"/>
      <c r="AI528" s="934"/>
      <c r="AJ528" s="934"/>
    </row>
    <row r="529" spans="1:36" ht="15" hidden="1" customHeight="1">
      <c r="B529" s="1437"/>
      <c r="C529" s="909">
        <v>28928</v>
      </c>
      <c r="D529" s="732" t="s">
        <v>1360</v>
      </c>
      <c r="E529" s="733"/>
      <c r="F529" s="733"/>
      <c r="G529" s="733" t="s">
        <v>1437</v>
      </c>
      <c r="H529" s="733"/>
      <c r="I529" s="739" t="s">
        <v>178</v>
      </c>
      <c r="J529" s="838">
        <v>0</v>
      </c>
      <c r="K529" s="977">
        <f>IFERROR(_xlfn.CEILING.MATH(J529,INDEX('СВОДНАЯ СПЕЦИФИКАЦИЯ'!$C$10:$C$408,MATCH(D529,'СВОДНАЯ СПЕЦИФИКАЦИЯ'!$D$10:$D$408,0))),"Введите кол-во")</f>
        <v>0</v>
      </c>
      <c r="L529" s="978">
        <f>INDEX('СВОДНАЯ СПЕЦИФИКАЦИЯ'!$H$10:$H$408,MATCH(D529,Таблица2[Наименование материала],0))</f>
        <v>0</v>
      </c>
      <c r="M529" s="979">
        <f t="shared" si="19"/>
        <v>0</v>
      </c>
      <c r="O529" s="934">
        <f t="shared" si="21"/>
        <v>0</v>
      </c>
      <c r="Q529" s="984" t="s">
        <v>991</v>
      </c>
      <c r="R529" s="985"/>
      <c r="S529" s="985" t="s">
        <v>1437</v>
      </c>
      <c r="T529" s="986">
        <v>150</v>
      </c>
      <c r="U529" s="985" t="s">
        <v>150</v>
      </c>
      <c r="V529" s="957"/>
      <c r="W529" s="957"/>
      <c r="X529" s="934"/>
      <c r="Y529" s="934"/>
      <c r="Z529" s="934"/>
      <c r="AA529" s="934"/>
      <c r="AB529" s="987"/>
      <c r="AC529" s="934"/>
      <c r="AD529" s="934"/>
      <c r="AE529" s="934"/>
      <c r="AF529" s="934"/>
      <c r="AG529" s="934"/>
      <c r="AH529" s="934"/>
      <c r="AI529" s="934"/>
      <c r="AJ529" s="934"/>
    </row>
    <row r="530" spans="1:36" ht="15" hidden="1" customHeight="1">
      <c r="B530" s="1437"/>
      <c r="C530" s="909">
        <v>210247</v>
      </c>
      <c r="D530" s="732" t="s">
        <v>1361</v>
      </c>
      <c r="E530" s="733"/>
      <c r="F530" s="733"/>
      <c r="G530" s="733" t="s">
        <v>1437</v>
      </c>
      <c r="H530" s="733"/>
      <c r="I530" s="739" t="s">
        <v>178</v>
      </c>
      <c r="J530" s="838">
        <v>0</v>
      </c>
      <c r="K530" s="977">
        <f>IFERROR(_xlfn.CEILING.MATH(J530,INDEX('СВОДНАЯ СПЕЦИФИКАЦИЯ'!$C$10:$C$408,MATCH(D530,'СВОДНАЯ СПЕЦИФИКАЦИЯ'!$D$10:$D$408,0))),"Введите кол-во")</f>
        <v>0</v>
      </c>
      <c r="L530" s="978">
        <f>INDEX('СВОДНАЯ СПЕЦИФИКАЦИЯ'!$H$10:$H$408,MATCH(D530,Таблица2[Наименование материала],0))</f>
        <v>0</v>
      </c>
      <c r="M530" s="979">
        <f t="shared" si="19"/>
        <v>0</v>
      </c>
      <c r="O530" s="934">
        <f t="shared" si="21"/>
        <v>0</v>
      </c>
      <c r="Q530" s="984" t="s">
        <v>991</v>
      </c>
      <c r="R530" s="985"/>
      <c r="S530" s="985" t="s">
        <v>1437</v>
      </c>
      <c r="T530" s="986">
        <v>160</v>
      </c>
      <c r="U530" s="985" t="s">
        <v>150</v>
      </c>
      <c r="V530" s="957"/>
      <c r="W530" s="957"/>
      <c r="X530" s="934"/>
      <c r="Y530" s="934"/>
      <c r="Z530" s="934"/>
      <c r="AA530" s="934"/>
      <c r="AB530" s="987"/>
      <c r="AC530" s="934"/>
      <c r="AD530" s="934"/>
      <c r="AE530" s="934"/>
      <c r="AF530" s="934"/>
      <c r="AG530" s="934"/>
      <c r="AH530" s="934"/>
      <c r="AI530" s="934"/>
      <c r="AJ530" s="934"/>
    </row>
    <row r="531" spans="1:36" ht="15" hidden="1" customHeight="1">
      <c r="B531" s="1437"/>
      <c r="C531" s="909">
        <v>210248</v>
      </c>
      <c r="D531" s="732" t="s">
        <v>1362</v>
      </c>
      <c r="E531" s="733"/>
      <c r="F531" s="733"/>
      <c r="G531" s="733" t="s">
        <v>1437</v>
      </c>
      <c r="H531" s="733"/>
      <c r="I531" s="739" t="s">
        <v>178</v>
      </c>
      <c r="J531" s="838">
        <v>0</v>
      </c>
      <c r="K531" s="977">
        <f>IFERROR(_xlfn.CEILING.MATH(J531,INDEX('СВОДНАЯ СПЕЦИФИКАЦИЯ'!$C$10:$C$408,MATCH(D531,'СВОДНАЯ СПЕЦИФИКАЦИЯ'!$D$10:$D$408,0))),"Введите кол-во")</f>
        <v>0</v>
      </c>
      <c r="L531" s="978">
        <f>INDEX('СВОДНАЯ СПЕЦИФИКАЦИЯ'!$H$10:$H$408,MATCH(D531,Таблица2[Наименование материала],0))</f>
        <v>0</v>
      </c>
      <c r="M531" s="979">
        <f t="shared" si="19"/>
        <v>0</v>
      </c>
      <c r="O531" s="934">
        <f t="shared" si="21"/>
        <v>0</v>
      </c>
      <c r="Q531" s="984" t="s">
        <v>991</v>
      </c>
      <c r="R531" s="985"/>
      <c r="S531" s="985" t="s">
        <v>1437</v>
      </c>
      <c r="T531" s="986">
        <v>170</v>
      </c>
      <c r="U531" s="985" t="s">
        <v>150</v>
      </c>
      <c r="V531" s="957"/>
      <c r="W531" s="957"/>
      <c r="X531" s="934"/>
      <c r="Y531" s="934"/>
      <c r="Z531" s="934"/>
      <c r="AA531" s="934"/>
      <c r="AB531" s="987"/>
      <c r="AC531" s="934"/>
      <c r="AD531" s="934"/>
      <c r="AE531" s="934"/>
      <c r="AF531" s="934"/>
      <c r="AG531" s="934"/>
      <c r="AH531" s="934"/>
      <c r="AI531" s="934"/>
      <c r="AJ531" s="934"/>
    </row>
    <row r="532" spans="1:36" ht="15" hidden="1" customHeight="1">
      <c r="B532" s="1437"/>
      <c r="C532" s="909">
        <v>210249</v>
      </c>
      <c r="D532" s="732" t="s">
        <v>1363</v>
      </c>
      <c r="E532" s="733"/>
      <c r="F532" s="733"/>
      <c r="G532" s="733" t="s">
        <v>1437</v>
      </c>
      <c r="H532" s="733"/>
      <c r="I532" s="739" t="s">
        <v>178</v>
      </c>
      <c r="J532" s="838">
        <v>0</v>
      </c>
      <c r="K532" s="977">
        <f>IFERROR(_xlfn.CEILING.MATH(J532,INDEX('СВОДНАЯ СПЕЦИФИКАЦИЯ'!$C$10:$C$408,MATCH(D532,'СВОДНАЯ СПЕЦИФИКАЦИЯ'!$D$10:$D$408,0))),"Введите кол-во")</f>
        <v>0</v>
      </c>
      <c r="L532" s="978">
        <f>INDEX('СВОДНАЯ СПЕЦИФИКАЦИЯ'!$H$10:$H$408,MATCH(D532,Таблица2[Наименование материала],0))</f>
        <v>0</v>
      </c>
      <c r="M532" s="979">
        <f t="shared" si="19"/>
        <v>0</v>
      </c>
      <c r="O532" s="934">
        <f t="shared" si="21"/>
        <v>0</v>
      </c>
      <c r="Q532" s="984" t="s">
        <v>991</v>
      </c>
      <c r="R532" s="985"/>
      <c r="S532" s="985" t="s">
        <v>1437</v>
      </c>
      <c r="T532" s="986">
        <v>180</v>
      </c>
      <c r="U532" s="985" t="s">
        <v>150</v>
      </c>
      <c r="V532" s="957"/>
      <c r="W532" s="957"/>
      <c r="X532" s="934"/>
      <c r="Y532" s="934"/>
      <c r="Z532" s="934"/>
      <c r="AA532" s="934"/>
      <c r="AB532" s="987"/>
      <c r="AC532" s="934"/>
      <c r="AD532" s="934"/>
      <c r="AE532" s="934"/>
      <c r="AF532" s="934"/>
      <c r="AG532" s="934"/>
      <c r="AH532" s="934"/>
      <c r="AI532" s="934"/>
      <c r="AJ532" s="934"/>
    </row>
    <row r="533" spans="1:36" ht="15" hidden="1" customHeight="1">
      <c r="B533" s="1437"/>
      <c r="C533" s="909">
        <v>210250</v>
      </c>
      <c r="D533" s="732" t="s">
        <v>1364</v>
      </c>
      <c r="E533" s="733"/>
      <c r="F533" s="733"/>
      <c r="G533" s="733" t="s">
        <v>1437</v>
      </c>
      <c r="H533" s="733"/>
      <c r="I533" s="739" t="s">
        <v>178</v>
      </c>
      <c r="J533" s="838">
        <v>0</v>
      </c>
      <c r="K533" s="977">
        <f>IFERROR(_xlfn.CEILING.MATH(J533,INDEX('СВОДНАЯ СПЕЦИФИКАЦИЯ'!$C$10:$C$408,MATCH(D533,'СВОДНАЯ СПЕЦИФИКАЦИЯ'!$D$10:$D$408,0))),"Введите кол-во")</f>
        <v>0</v>
      </c>
      <c r="L533" s="978">
        <f>INDEX('СВОДНАЯ СПЕЦИФИКАЦИЯ'!$H$10:$H$408,MATCH(D533,Таблица2[Наименование материала],0))</f>
        <v>0</v>
      </c>
      <c r="M533" s="979">
        <f t="shared" si="19"/>
        <v>0</v>
      </c>
      <c r="O533" s="934">
        <f t="shared" si="21"/>
        <v>0</v>
      </c>
      <c r="Q533" s="984" t="s">
        <v>991</v>
      </c>
      <c r="R533" s="985"/>
      <c r="S533" s="985" t="s">
        <v>1437</v>
      </c>
      <c r="T533" s="986">
        <v>190</v>
      </c>
      <c r="U533" s="985" t="s">
        <v>150</v>
      </c>
      <c r="V533" s="957"/>
      <c r="W533" s="957"/>
      <c r="X533" s="934"/>
      <c r="Y533" s="934"/>
      <c r="Z533" s="934"/>
      <c r="AA533" s="934"/>
      <c r="AB533" s="987"/>
      <c r="AC533" s="934"/>
      <c r="AD533" s="934"/>
      <c r="AE533" s="934"/>
      <c r="AF533" s="934"/>
      <c r="AG533" s="934"/>
      <c r="AH533" s="934"/>
      <c r="AI533" s="934"/>
      <c r="AJ533" s="934"/>
    </row>
    <row r="534" spans="1:36" ht="15" hidden="1" customHeight="1">
      <c r="B534" s="1437"/>
      <c r="C534" s="909">
        <v>73992</v>
      </c>
      <c r="D534" s="732" t="s">
        <v>1365</v>
      </c>
      <c r="E534" s="733"/>
      <c r="F534" s="733"/>
      <c r="G534" s="733" t="s">
        <v>1437</v>
      </c>
      <c r="H534" s="733"/>
      <c r="I534" s="739" t="s">
        <v>178</v>
      </c>
      <c r="J534" s="838">
        <v>0</v>
      </c>
      <c r="K534" s="977">
        <f>IFERROR(_xlfn.CEILING.MATH(J534,INDEX('СВОДНАЯ СПЕЦИФИКАЦИЯ'!$C$10:$C$408,MATCH(D534,'СВОДНАЯ СПЕЦИФИКАЦИЯ'!$D$10:$D$408,0))),"Введите кол-во")</f>
        <v>0</v>
      </c>
      <c r="L534" s="978">
        <f>INDEX('СВОДНАЯ СПЕЦИФИКАЦИЯ'!$H$10:$H$408,MATCH(D534,Таблица2[Наименование материала],0))</f>
        <v>0</v>
      </c>
      <c r="M534" s="979">
        <f t="shared" si="19"/>
        <v>0</v>
      </c>
      <c r="O534" s="934">
        <f t="shared" si="21"/>
        <v>0</v>
      </c>
      <c r="Q534" s="984" t="s">
        <v>991</v>
      </c>
      <c r="R534" s="957"/>
      <c r="S534" s="985" t="s">
        <v>1437</v>
      </c>
      <c r="T534" s="986">
        <v>200</v>
      </c>
      <c r="U534" s="985" t="s">
        <v>150</v>
      </c>
      <c r="V534" s="957"/>
      <c r="W534" s="957"/>
      <c r="X534" s="934"/>
      <c r="Y534" s="934"/>
      <c r="Z534" s="934"/>
      <c r="AA534" s="934"/>
      <c r="AB534" s="987"/>
      <c r="AC534" s="934"/>
      <c r="AD534" s="934"/>
      <c r="AE534" s="934"/>
      <c r="AF534" s="934"/>
      <c r="AG534" s="934"/>
      <c r="AH534" s="934"/>
      <c r="AI534" s="934"/>
      <c r="AJ534" s="934"/>
    </row>
    <row r="535" spans="1:36" ht="15" hidden="1" customHeight="1">
      <c r="B535" s="1437"/>
      <c r="C535" s="909" t="s">
        <v>790</v>
      </c>
      <c r="D535" s="732" t="s">
        <v>1280</v>
      </c>
      <c r="E535" s="733"/>
      <c r="F535" s="733"/>
      <c r="G535" s="733"/>
      <c r="H535" s="733"/>
      <c r="I535" s="739" t="s">
        <v>112</v>
      </c>
      <c r="J535" s="838">
        <v>0</v>
      </c>
      <c r="K535" s="977" t="str">
        <f>IFERROR(_xlfn.CEILING.MATH(J535,INDEX('СВОДНАЯ СПЕЦИФИКАЦИЯ'!$C$10:$C$408,MATCH(D535,'СВОДНАЯ СПЕЦИФИКАЦИЯ'!$D$10:$D$408,0))),"Введите кол-во")</f>
        <v>Введите кол-во</v>
      </c>
      <c r="L535" s="978">
        <f>INDEX('СВОДНАЯ СПЕЦИФИКАЦИЯ'!$H$10:$H$408,MATCH(D535,Таблица2[Наименование материала],0))</f>
        <v>0</v>
      </c>
      <c r="M535" s="979">
        <f t="shared" si="19"/>
        <v>0</v>
      </c>
      <c r="O535" s="934">
        <f t="shared" si="21"/>
        <v>0</v>
      </c>
      <c r="Q535" s="984" t="s">
        <v>792</v>
      </c>
      <c r="R535" s="957"/>
      <c r="S535" s="957"/>
      <c r="T535" s="986">
        <v>60</v>
      </c>
      <c r="U535" s="985" t="s">
        <v>150</v>
      </c>
      <c r="V535" s="957"/>
      <c r="W535" s="957"/>
      <c r="X535" s="934"/>
      <c r="Y535" s="934"/>
      <c r="Z535" s="934"/>
      <c r="AA535" s="934"/>
      <c r="AB535" s="987"/>
      <c r="AC535" s="934"/>
      <c r="AD535" s="934"/>
      <c r="AE535" s="934"/>
      <c r="AF535" s="934"/>
      <c r="AG535" s="934"/>
      <c r="AH535" s="934"/>
      <c r="AI535" s="934"/>
      <c r="AJ535" s="934"/>
    </row>
    <row r="536" spans="1:36" ht="15" hidden="1" customHeight="1">
      <c r="B536" s="1437"/>
      <c r="C536" s="909" t="s">
        <v>791</v>
      </c>
      <c r="D536" s="732" t="s">
        <v>1281</v>
      </c>
      <c r="E536" s="733"/>
      <c r="F536" s="733"/>
      <c r="G536" s="733"/>
      <c r="H536" s="733"/>
      <c r="I536" s="739" t="s">
        <v>112</v>
      </c>
      <c r="J536" s="838">
        <v>0</v>
      </c>
      <c r="K536" s="977" t="str">
        <f>IFERROR(_xlfn.CEILING.MATH(J536,INDEX('СВОДНАЯ СПЕЦИФИКАЦИЯ'!$C$10:$C$408,MATCH(D536,'СВОДНАЯ СПЕЦИФИКАЦИЯ'!$D$10:$D$408,0))),"Введите кол-во")</f>
        <v>Введите кол-во</v>
      </c>
      <c r="L536" s="978">
        <f>INDEX('СВОДНАЯ СПЕЦИФИКАЦИЯ'!$H$10:$H$408,MATCH(D536,Таблица2[Наименование материала],0))</f>
        <v>0</v>
      </c>
      <c r="M536" s="979">
        <f t="shared" si="19"/>
        <v>0</v>
      </c>
      <c r="O536" s="934">
        <f t="shared" si="21"/>
        <v>0</v>
      </c>
      <c r="Q536" s="984" t="s">
        <v>792</v>
      </c>
      <c r="R536" s="957"/>
      <c r="S536" s="957"/>
      <c r="T536" s="986">
        <v>110</v>
      </c>
      <c r="U536" s="985" t="s">
        <v>150</v>
      </c>
      <c r="V536" s="957"/>
      <c r="W536" s="957"/>
      <c r="X536" s="934"/>
      <c r="Y536" s="934"/>
      <c r="Z536" s="934"/>
      <c r="AA536" s="934"/>
      <c r="AB536" s="987"/>
      <c r="AC536" s="934"/>
      <c r="AD536" s="934"/>
      <c r="AE536" s="934"/>
      <c r="AF536" s="934"/>
      <c r="AG536" s="934"/>
      <c r="AH536" s="934"/>
      <c r="AI536" s="934"/>
      <c r="AJ536" s="934"/>
    </row>
    <row r="537" spans="1:36" ht="15" hidden="1" customHeight="1">
      <c r="A537" s="940"/>
      <c r="B537" s="1437"/>
      <c r="C537" s="909" t="s">
        <v>1096</v>
      </c>
      <c r="D537" s="732" t="s">
        <v>911</v>
      </c>
      <c r="E537" s="733"/>
      <c r="F537" s="733"/>
      <c r="G537" s="733"/>
      <c r="H537" s="733"/>
      <c r="I537" s="739" t="s">
        <v>151</v>
      </c>
      <c r="J537" s="736">
        <v>0</v>
      </c>
      <c r="K537" s="977">
        <f>IFERROR(_xlfn.CEILING.MATH(J537,INDEX('СВОДНАЯ СПЕЦИФИКАЦИЯ'!$C$10:$C$408,MATCH(D537,'СВОДНАЯ СПЕЦИФИКАЦИЯ'!$D$10:$D$408,0))),"Введите кол-во")</f>
        <v>0</v>
      </c>
      <c r="L537" s="978">
        <f>INDEX('СВОДНАЯ СПЕЦИФИКАЦИЯ'!$H$10:$H$408,MATCH(D537,Таблица2[Наименование материала],0))</f>
        <v>0</v>
      </c>
      <c r="M537" s="979">
        <f t="shared" si="19"/>
        <v>0</v>
      </c>
      <c r="O537" s="934">
        <f t="shared" si="21"/>
        <v>0</v>
      </c>
      <c r="Q537" s="957"/>
      <c r="R537" s="957"/>
      <c r="S537" s="957"/>
      <c r="T537" s="957"/>
      <c r="U537" s="957"/>
      <c r="V537" s="957"/>
      <c r="W537" s="957"/>
      <c r="X537" s="934"/>
      <c r="Y537" s="934"/>
      <c r="Z537" s="934"/>
      <c r="AA537" s="934"/>
      <c r="AB537" s="987"/>
      <c r="AC537" s="934"/>
      <c r="AD537" s="934"/>
      <c r="AE537" s="934"/>
      <c r="AF537" s="934"/>
      <c r="AG537" s="934"/>
      <c r="AH537" s="934"/>
      <c r="AI537" s="934"/>
      <c r="AJ537" s="934"/>
    </row>
    <row r="538" spans="1:36" ht="15" hidden="1" customHeight="1">
      <c r="B538" s="1437"/>
      <c r="C538" s="909">
        <v>228667</v>
      </c>
      <c r="D538" s="732" t="s">
        <v>1419</v>
      </c>
      <c r="E538" s="733"/>
      <c r="F538" s="733"/>
      <c r="G538" s="733"/>
      <c r="H538" s="733"/>
      <c r="I538" s="739" t="s">
        <v>151</v>
      </c>
      <c r="J538" s="750">
        <v>0</v>
      </c>
      <c r="K538" s="977">
        <f>IFERROR(_xlfn.CEILING.MATH(J538,INDEX('СВОДНАЯ СПЕЦИФИКАЦИЯ'!$C$10:$C$408,MATCH(D538,'СВОДНАЯ СПЕЦИФИКАЦИЯ'!$D$10:$D$408,0))),"Введите кол-во")</f>
        <v>0</v>
      </c>
      <c r="L538" s="978">
        <f>INDEX('СВОДНАЯ СПЕЦИФИКАЦИЯ'!$H$10:$H$408,MATCH(D538,Таблица2[Наименование материала],0))</f>
        <v>0</v>
      </c>
      <c r="M538" s="979">
        <f t="shared" si="19"/>
        <v>0</v>
      </c>
      <c r="O538" s="934">
        <f t="shared" si="21"/>
        <v>0</v>
      </c>
      <c r="Q538" s="984" t="s">
        <v>1460</v>
      </c>
      <c r="R538" s="985"/>
      <c r="S538" s="985"/>
      <c r="T538" s="986">
        <v>100</v>
      </c>
      <c r="U538" s="985" t="s">
        <v>150</v>
      </c>
      <c r="V538" s="990" t="str">
        <f t="shared" ref="V538" si="22">TRIM(Q538)</f>
        <v>Саморез остроконечный ТехноНИКОЛЬ 4,8х</v>
      </c>
      <c r="W538" s="957"/>
      <c r="X538" s="934"/>
      <c r="Y538" s="934"/>
      <c r="Z538" s="934"/>
      <c r="AA538" s="934"/>
      <c r="AB538" s="987"/>
      <c r="AC538" s="934"/>
      <c r="AD538" s="934"/>
      <c r="AE538" s="934"/>
      <c r="AF538" s="934"/>
      <c r="AG538" s="934"/>
      <c r="AH538" s="934"/>
      <c r="AI538" s="934"/>
      <c r="AJ538" s="934"/>
    </row>
    <row r="539" spans="1:36" ht="15" hidden="1" customHeight="1">
      <c r="B539" s="1437"/>
      <c r="C539" s="909" t="s">
        <v>710</v>
      </c>
      <c r="D539" s="732" t="s">
        <v>678</v>
      </c>
      <c r="E539" s="733"/>
      <c r="F539" s="733"/>
      <c r="G539" s="733"/>
      <c r="H539" s="733"/>
      <c r="I539" s="739" t="s">
        <v>151</v>
      </c>
      <c r="J539" s="736">
        <v>0</v>
      </c>
      <c r="K539" s="977">
        <f>IFERROR(_xlfn.CEILING.MATH(J539,INDEX('СВОДНАЯ СПЕЦИФИКАЦИЯ'!$C$10:$C$408,MATCH(D539,'СВОДНАЯ СПЕЦИФИКАЦИЯ'!$D$10:$D$408,0))),"Введите кол-во")</f>
        <v>0</v>
      </c>
      <c r="L539" s="978">
        <f>INDEX('СВОДНАЯ СПЕЦИФИКАЦИЯ'!$H$10:$H$408,MATCH(D539,Таблица2[Наименование материала],0))</f>
        <v>0</v>
      </c>
      <c r="M539" s="979">
        <f t="shared" si="19"/>
        <v>0</v>
      </c>
      <c r="O539" s="934">
        <f t="shared" si="21"/>
        <v>0</v>
      </c>
      <c r="Q539" s="957"/>
      <c r="R539" s="957"/>
      <c r="S539" s="957"/>
      <c r="T539" s="957"/>
      <c r="U539" s="957"/>
      <c r="V539" s="957"/>
      <c r="W539" s="957"/>
      <c r="X539" s="934"/>
      <c r="Y539" s="934"/>
      <c r="Z539" s="934"/>
      <c r="AA539" s="934"/>
      <c r="AB539" s="987"/>
      <c r="AC539" s="934"/>
      <c r="AD539" s="934"/>
      <c r="AE539" s="934"/>
      <c r="AF539" s="934"/>
      <c r="AG539" s="934"/>
      <c r="AH539" s="934"/>
      <c r="AI539" s="934"/>
      <c r="AJ539" s="934"/>
    </row>
    <row r="540" spans="1:36" ht="15" customHeight="1">
      <c r="B540" s="1437"/>
      <c r="C540" s="909">
        <v>685734</v>
      </c>
      <c r="D540" s="732" t="s">
        <v>1535</v>
      </c>
      <c r="E540" s="733"/>
      <c r="F540" s="733"/>
      <c r="G540" s="733"/>
      <c r="H540" s="733"/>
      <c r="I540" s="739" t="s">
        <v>151</v>
      </c>
      <c r="J540" s="736">
        <v>87</v>
      </c>
      <c r="K540" s="977">
        <f>IFERROR(_xlfn.CEILING.MATH(J540,INDEX('СВОДНАЯ СПЕЦИФИКАЦИЯ'!$C$10:$C$408,MATCH(D540,'СВОДНАЯ СПЕЦИФИКАЦИЯ'!$D$10:$D$408,0))),"Введите кол-во")</f>
        <v>87</v>
      </c>
      <c r="L540" s="978">
        <f>INDEX('СВОДНАЯ СПЕЦИФИКАЦИЯ'!$H$10:$H$408,MATCH(D540,Таблица2[Наименование материала],0))</f>
        <v>0</v>
      </c>
      <c r="M540" s="979">
        <f t="shared" si="19"/>
        <v>0</v>
      </c>
      <c r="O540" s="934">
        <f t="shared" si="21"/>
        <v>1</v>
      </c>
      <c r="Q540" s="957"/>
      <c r="R540" s="957"/>
      <c r="S540" s="957"/>
      <c r="T540" s="957"/>
      <c r="U540" s="957"/>
      <c r="V540" s="957"/>
      <c r="W540" s="957"/>
      <c r="X540" s="934"/>
      <c r="Y540" s="934"/>
      <c r="Z540" s="934"/>
      <c r="AA540" s="934"/>
      <c r="AB540" s="987"/>
      <c r="AC540" s="934"/>
      <c r="AD540" s="934"/>
      <c r="AE540" s="934"/>
      <c r="AF540" s="934"/>
      <c r="AG540" s="934"/>
      <c r="AH540" s="934"/>
      <c r="AI540" s="934"/>
      <c r="AJ540" s="934"/>
    </row>
    <row r="541" spans="1:36" ht="15" hidden="1" customHeight="1">
      <c r="B541" s="1437"/>
      <c r="C541" s="909" t="s">
        <v>711</v>
      </c>
      <c r="D541" s="732" t="s">
        <v>681</v>
      </c>
      <c r="E541" s="733"/>
      <c r="F541" s="733"/>
      <c r="G541" s="733"/>
      <c r="H541" s="733"/>
      <c r="I541" s="739" t="s">
        <v>151</v>
      </c>
      <c r="J541" s="736">
        <v>0</v>
      </c>
      <c r="K541" s="977">
        <f>IFERROR(_xlfn.CEILING.MATH(J541,INDEX('СВОДНАЯ СПЕЦИФИКАЦИЯ'!$C$10:$C$408,MATCH(D541,'СВОДНАЯ СПЕЦИФИКАЦИЯ'!$D$10:$D$408,0))),"Введите кол-во")</f>
        <v>0</v>
      </c>
      <c r="L541" s="978">
        <f>INDEX('СВОДНАЯ СПЕЦИФИКАЦИЯ'!$H$10:$H$408,MATCH(D541,Таблица2[Наименование материала],0))</f>
        <v>0</v>
      </c>
      <c r="M541" s="979">
        <f t="shared" si="19"/>
        <v>0</v>
      </c>
      <c r="O541" s="934">
        <f t="shared" si="21"/>
        <v>0</v>
      </c>
      <c r="Q541" s="957"/>
      <c r="R541" s="957"/>
      <c r="S541" s="957"/>
      <c r="T541" s="957"/>
      <c r="U541" s="957"/>
      <c r="V541" s="957"/>
      <c r="W541" s="957"/>
      <c r="X541" s="934"/>
      <c r="Y541" s="934"/>
      <c r="Z541" s="934"/>
      <c r="AA541" s="934"/>
      <c r="AB541" s="987"/>
      <c r="AC541" s="934"/>
      <c r="AD541" s="934"/>
      <c r="AE541" s="934"/>
      <c r="AF541" s="934"/>
      <c r="AG541" s="934"/>
      <c r="AH541" s="934"/>
      <c r="AI541" s="934"/>
      <c r="AJ541" s="934"/>
    </row>
    <row r="542" spans="1:36" ht="15" hidden="1" customHeight="1">
      <c r="B542" s="1437"/>
      <c r="C542" s="909" t="s">
        <v>712</v>
      </c>
      <c r="D542" s="732" t="s">
        <v>680</v>
      </c>
      <c r="E542" s="733"/>
      <c r="F542" s="733"/>
      <c r="G542" s="733"/>
      <c r="H542" s="733"/>
      <c r="I542" s="739" t="s">
        <v>151</v>
      </c>
      <c r="J542" s="736">
        <v>0</v>
      </c>
      <c r="K542" s="977">
        <f>IFERROR(_xlfn.CEILING.MATH(J542,INDEX('СВОДНАЯ СПЕЦИФИКАЦИЯ'!$C$10:$C$408,MATCH(D542,'СВОДНАЯ СПЕЦИФИКАЦИЯ'!$D$10:$D$408,0))),"Введите кол-во")</f>
        <v>0</v>
      </c>
      <c r="L542" s="978">
        <f>INDEX('СВОДНАЯ СПЕЦИФИКАЦИЯ'!$H$10:$H$408,MATCH(D542,Таблица2[Наименование материала],0))</f>
        <v>0</v>
      </c>
      <c r="M542" s="979">
        <f t="shared" si="19"/>
        <v>0</v>
      </c>
      <c r="O542" s="934">
        <f t="shared" si="21"/>
        <v>0</v>
      </c>
      <c r="Q542" s="957"/>
      <c r="R542" s="957"/>
      <c r="S542" s="957"/>
      <c r="T542" s="957"/>
      <c r="U542" s="957"/>
      <c r="V542" s="957"/>
      <c r="W542" s="957"/>
      <c r="X542" s="934"/>
      <c r="Y542" s="934"/>
      <c r="Z542" s="934"/>
      <c r="AA542" s="934"/>
      <c r="AB542" s="987"/>
      <c r="AC542" s="934"/>
      <c r="AD542" s="934"/>
      <c r="AE542" s="934"/>
      <c r="AF542" s="934"/>
      <c r="AG542" s="934"/>
      <c r="AH542" s="934"/>
      <c r="AI542" s="934"/>
      <c r="AJ542" s="934"/>
    </row>
    <row r="543" spans="1:36" ht="15" customHeight="1">
      <c r="B543" s="1437"/>
      <c r="C543" s="909" t="s">
        <v>713</v>
      </c>
      <c r="D543" s="732" t="s">
        <v>561</v>
      </c>
      <c r="E543" s="733"/>
      <c r="F543" s="733"/>
      <c r="G543" s="733"/>
      <c r="H543" s="733"/>
      <c r="I543" s="739" t="s">
        <v>467</v>
      </c>
      <c r="J543" s="736">
        <v>1</v>
      </c>
      <c r="K543" s="977">
        <f>IFERROR(_xlfn.CEILING.MATH(J543,INDEX('СВОДНАЯ СПЕЦИФИКАЦИЯ'!$C$10:$C$408,MATCH(D543,'СВОДНАЯ СПЕЦИФИКАЦИЯ'!$D$10:$D$408,0))),"Введите кол-во")</f>
        <v>1</v>
      </c>
      <c r="L543" s="978">
        <f>INDEX('СВОДНАЯ СПЕЦИФИКАЦИЯ'!$H$10:$H$408,MATCH(D543,Таблица2[Наименование материала],0))</f>
        <v>0</v>
      </c>
      <c r="M543" s="979">
        <f t="shared" si="19"/>
        <v>0</v>
      </c>
      <c r="O543" s="934">
        <f t="shared" si="21"/>
        <v>1</v>
      </c>
      <c r="Q543" s="957"/>
      <c r="R543" s="957"/>
      <c r="S543" s="957"/>
      <c r="T543" s="957"/>
      <c r="U543" s="957"/>
      <c r="V543" s="957"/>
      <c r="W543" s="957"/>
      <c r="X543" s="934"/>
      <c r="Y543" s="934"/>
      <c r="Z543" s="934"/>
      <c r="AA543" s="934"/>
      <c r="AB543" s="987"/>
      <c r="AC543" s="934"/>
      <c r="AD543" s="934"/>
      <c r="AE543" s="934"/>
      <c r="AF543" s="934"/>
      <c r="AG543" s="934"/>
      <c r="AH543" s="934"/>
      <c r="AI543" s="934"/>
      <c r="AJ543" s="934"/>
    </row>
    <row r="544" spans="1:36" ht="15" customHeight="1" thickBot="1">
      <c r="B544" s="1437"/>
      <c r="C544" s="909" t="s">
        <v>714</v>
      </c>
      <c r="D544" s="732" t="s">
        <v>560</v>
      </c>
      <c r="E544" s="733"/>
      <c r="F544" s="733"/>
      <c r="G544" s="733"/>
      <c r="H544" s="733"/>
      <c r="I544" s="739" t="s">
        <v>151</v>
      </c>
      <c r="J544" s="736">
        <v>1</v>
      </c>
      <c r="K544" s="977">
        <f>IFERROR(_xlfn.CEILING.MATH(J544,INDEX('СВОДНАЯ СПЕЦИФИКАЦИЯ'!$C$10:$C$408,MATCH(D544,'СВОДНАЯ СПЕЦИФИКАЦИЯ'!$D$10:$D$408,0))),"Введите кол-во")</f>
        <v>1</v>
      </c>
      <c r="L544" s="978">
        <f>INDEX('СВОДНАЯ СПЕЦИФИКАЦИЯ'!$H$10:$H$408,MATCH(D544,Таблица2[Наименование материала],0))</f>
        <v>0</v>
      </c>
      <c r="M544" s="979">
        <f t="shared" si="19"/>
        <v>0</v>
      </c>
      <c r="O544" s="934">
        <f t="shared" si="21"/>
        <v>1</v>
      </c>
      <c r="Q544" s="957"/>
      <c r="R544" s="957"/>
      <c r="S544" s="957"/>
      <c r="T544" s="957"/>
      <c r="U544" s="957"/>
      <c r="V544" s="957"/>
      <c r="W544" s="957"/>
      <c r="X544" s="934"/>
      <c r="Y544" s="934"/>
      <c r="Z544" s="934"/>
      <c r="AA544" s="934"/>
      <c r="AB544" s="987"/>
      <c r="AC544" s="934"/>
      <c r="AD544" s="934"/>
      <c r="AE544" s="934"/>
      <c r="AF544" s="934"/>
      <c r="AG544" s="934"/>
      <c r="AH544" s="934"/>
      <c r="AI544" s="934"/>
      <c r="AJ544" s="934"/>
    </row>
    <row r="545" spans="1:36" ht="15" hidden="1" customHeight="1" thickBot="1">
      <c r="B545" s="1438"/>
      <c r="C545" s="909" t="s">
        <v>1049</v>
      </c>
      <c r="D545" s="741" t="s">
        <v>1048</v>
      </c>
      <c r="E545" s="742"/>
      <c r="F545" s="742"/>
      <c r="G545" s="742"/>
      <c r="H545" s="742"/>
      <c r="I545" s="743" t="s">
        <v>151</v>
      </c>
      <c r="J545" s="744">
        <v>0</v>
      </c>
      <c r="K545" s="977">
        <f>IFERROR(_xlfn.CEILING.MATH(J545,INDEX('СВОДНАЯ СПЕЦИФИКАЦИЯ'!$C$10:$C$408,MATCH(D545,'СВОДНАЯ СПЕЦИФИКАЦИЯ'!$D$10:$D$408,0))),"Введите кол-во")</f>
        <v>0</v>
      </c>
      <c r="L545" s="978">
        <f>INDEX('СВОДНАЯ СПЕЦИФИКАЦИЯ'!$H$10:$H$408,MATCH(D545,Таблица2[Наименование материала],0))</f>
        <v>0</v>
      </c>
      <c r="M545" s="979">
        <f t="shared" si="19"/>
        <v>0</v>
      </c>
      <c r="O545" s="934">
        <f t="shared" si="21"/>
        <v>0</v>
      </c>
      <c r="Q545" s="957"/>
      <c r="R545" s="957"/>
      <c r="S545" s="957"/>
      <c r="T545" s="957"/>
      <c r="U545" s="957"/>
      <c r="V545" s="957"/>
      <c r="W545" s="957"/>
      <c r="X545" s="934"/>
      <c r="Y545" s="934"/>
      <c r="Z545" s="934"/>
      <c r="AA545" s="934"/>
      <c r="AB545" s="987"/>
      <c r="AC545" s="934"/>
      <c r="AD545" s="934"/>
      <c r="AE545" s="934"/>
      <c r="AF545" s="934"/>
      <c r="AG545" s="934"/>
      <c r="AH545" s="934"/>
      <c r="AI545" s="934"/>
      <c r="AJ545" s="934"/>
    </row>
    <row r="546" spans="1:36" ht="20.100000000000001" customHeight="1">
      <c r="A546" s="934">
        <v>5</v>
      </c>
      <c r="B546" s="1431">
        <v>5</v>
      </c>
      <c r="C546" s="747"/>
      <c r="D546" s="728" t="s">
        <v>1537</v>
      </c>
      <c r="E546" s="729"/>
      <c r="F546" s="729"/>
      <c r="G546" s="729"/>
      <c r="H546" s="729"/>
      <c r="I546" s="730"/>
      <c r="J546" s="731"/>
      <c r="K546" s="731"/>
      <c r="L546" s="974"/>
      <c r="M546" s="975">
        <f>SUM(M547:M617)</f>
        <v>0</v>
      </c>
      <c r="O546" s="934">
        <f>IF(SUM(J547:J617)=0,0,1)</f>
        <v>1</v>
      </c>
      <c r="P546" s="993" t="s">
        <v>370</v>
      </c>
      <c r="Q546" s="990"/>
      <c r="R546" s="957"/>
      <c r="S546" s="957"/>
      <c r="T546" s="957"/>
      <c r="U546" s="957"/>
      <c r="V546" s="957"/>
      <c r="W546" s="957"/>
      <c r="X546" s="934"/>
      <c r="Y546" s="934"/>
      <c r="Z546" s="934"/>
      <c r="AA546" s="934"/>
      <c r="AB546" s="987"/>
      <c r="AC546" s="934"/>
      <c r="AD546" s="934"/>
      <c r="AE546" s="934"/>
      <c r="AF546" s="934"/>
      <c r="AG546" s="934"/>
      <c r="AH546" s="934"/>
      <c r="AI546" s="934"/>
      <c r="AJ546" s="934"/>
    </row>
    <row r="547" spans="1:36" ht="15" customHeight="1">
      <c r="B547" s="1432"/>
      <c r="C547" s="909">
        <v>602201</v>
      </c>
      <c r="D547" s="732" t="s">
        <v>754</v>
      </c>
      <c r="E547" s="733"/>
      <c r="F547" s="733"/>
      <c r="G547" s="733"/>
      <c r="H547" s="733"/>
      <c r="I547" s="734" t="s">
        <v>178</v>
      </c>
      <c r="J547" s="838">
        <v>0.86399999999999999</v>
      </c>
      <c r="K547" s="977">
        <f>IFERROR(_xlfn.CEILING.MATH(J547,INDEX('СВОДНАЯ СПЕЦИФИКАЦИЯ'!$C$10:$C$408,MATCH(D547,'СВОДНАЯ СПЕЦИФИКАЦИЯ'!$D$10:$D$408,0))),"Введите кол-во")</f>
        <v>2.9952000000000001</v>
      </c>
      <c r="L547" s="978">
        <f>INDEX('СВОДНАЯ СПЕЦИФИКАЦИЯ'!$H$10:$H$408,MATCH(D547,Таблица2[Наименование материала],0))</f>
        <v>0</v>
      </c>
      <c r="M547" s="979">
        <f t="shared" si="19"/>
        <v>0</v>
      </c>
      <c r="O547" s="934">
        <f t="shared" si="21"/>
        <v>1</v>
      </c>
      <c r="P547" s="1000"/>
      <c r="Q547" s="957"/>
      <c r="R547" s="957"/>
      <c r="S547" s="957"/>
      <c r="T547" s="957"/>
      <c r="U547" s="957"/>
      <c r="V547" s="957"/>
      <c r="W547" s="957"/>
      <c r="X547" s="934"/>
      <c r="Y547" s="934"/>
      <c r="Z547" s="934"/>
      <c r="AA547" s="934"/>
      <c r="AB547" s="987"/>
      <c r="AC547" s="934"/>
      <c r="AD547" s="934"/>
      <c r="AE547" s="934"/>
      <c r="AF547" s="934"/>
      <c r="AG547" s="934"/>
      <c r="AH547" s="934"/>
      <c r="AI547" s="934"/>
      <c r="AJ547" s="934"/>
    </row>
    <row r="548" spans="1:36" ht="15" customHeight="1">
      <c r="B548" s="1432"/>
      <c r="C548" s="909">
        <v>602202</v>
      </c>
      <c r="D548" s="732" t="s">
        <v>755</v>
      </c>
      <c r="E548" s="733"/>
      <c r="F548" s="733"/>
      <c r="G548" s="733"/>
      <c r="H548" s="733"/>
      <c r="I548" s="734" t="s">
        <v>178</v>
      </c>
      <c r="J548" s="838">
        <v>1.296</v>
      </c>
      <c r="K548" s="977">
        <f>IFERROR(_xlfn.CEILING.MATH(J548,INDEX('СВОДНАЯ СПЕЦИФИКАЦИЯ'!$C$10:$C$408,MATCH(D548,'СВОДНАЯ СПЕЦИФИКАЦИЯ'!$D$10:$D$408,0))),"Введите кол-во")</f>
        <v>3.1103999999999998</v>
      </c>
      <c r="L548" s="978">
        <f>INDEX('СВОДНАЯ СПЕЦИФИКАЦИЯ'!$H$10:$H$408,MATCH(D548,Таблица2[Наименование материала],0))</f>
        <v>0</v>
      </c>
      <c r="M548" s="979">
        <f t="shared" si="19"/>
        <v>0</v>
      </c>
      <c r="O548" s="934">
        <f t="shared" si="21"/>
        <v>1</v>
      </c>
      <c r="P548" s="1001"/>
      <c r="Q548" s="957"/>
      <c r="R548" s="957"/>
      <c r="S548" s="957"/>
      <c r="T548" s="957"/>
      <c r="U548" s="957"/>
      <c r="V548" s="957"/>
      <c r="W548" s="957"/>
      <c r="X548" s="934"/>
      <c r="Y548" s="934"/>
      <c r="Z548" s="934"/>
      <c r="AA548" s="934"/>
      <c r="AB548" s="987"/>
      <c r="AC548" s="934"/>
      <c r="AD548" s="934"/>
      <c r="AE548" s="934"/>
      <c r="AF548" s="934"/>
      <c r="AG548" s="934"/>
      <c r="AH548" s="934"/>
      <c r="AI548" s="934"/>
      <c r="AJ548" s="934"/>
    </row>
    <row r="549" spans="1:36" ht="15" customHeight="1">
      <c r="B549" s="1432"/>
      <c r="C549" s="911" t="s">
        <v>296</v>
      </c>
      <c r="D549" s="732" t="s">
        <v>756</v>
      </c>
      <c r="E549" s="733"/>
      <c r="F549" s="733"/>
      <c r="G549" s="733"/>
      <c r="H549" s="733"/>
      <c r="I549" s="734" t="s">
        <v>178</v>
      </c>
      <c r="J549" s="838">
        <v>1.6419999999999999</v>
      </c>
      <c r="K549" s="977" t="str">
        <f>IFERROR(_xlfn.CEILING.MATH(J549,INDEX('СВОДНАЯ СПЕЦИФИКАЦИЯ'!$C$10:$C$408,MATCH(D549,'СВОДНАЯ СПЕЦИФИКАЦИЯ'!$D$10:$D$408,0))),"Введите кол-во")</f>
        <v>Введите кол-во</v>
      </c>
      <c r="L549" s="978">
        <f>INDEX('СВОДНАЯ СПЕЦИФИКАЦИЯ'!$H$10:$H$408,MATCH(D549,Таблица2[Наименование материала],0))</f>
        <v>0</v>
      </c>
      <c r="M549" s="979">
        <f t="shared" si="19"/>
        <v>0</v>
      </c>
      <c r="O549" s="934">
        <f t="shared" si="21"/>
        <v>1</v>
      </c>
      <c r="P549" s="996"/>
      <c r="Q549" s="957"/>
      <c r="R549" s="957"/>
      <c r="S549" s="957"/>
      <c r="T549" s="957"/>
      <c r="U549" s="957"/>
      <c r="V549" s="957"/>
      <c r="W549" s="957"/>
      <c r="X549" s="934"/>
      <c r="Y549" s="934"/>
      <c r="Z549" s="934"/>
      <c r="AA549" s="934"/>
      <c r="AB549" s="987"/>
      <c r="AC549" s="934"/>
      <c r="AD549" s="934"/>
      <c r="AE549" s="934"/>
      <c r="AF549" s="934"/>
      <c r="AG549" s="934"/>
      <c r="AH549" s="934"/>
      <c r="AI549" s="934"/>
      <c r="AJ549" s="934"/>
    </row>
    <row r="550" spans="1:36" ht="15" hidden="1" customHeight="1">
      <c r="B550" s="1432"/>
      <c r="C550" s="909">
        <v>602515</v>
      </c>
      <c r="D550" s="732" t="s">
        <v>758</v>
      </c>
      <c r="E550" s="733"/>
      <c r="F550" s="733"/>
      <c r="G550" s="733"/>
      <c r="H550" s="733"/>
      <c r="I550" s="734" t="s">
        <v>178</v>
      </c>
      <c r="J550" s="838">
        <v>0</v>
      </c>
      <c r="K550" s="977">
        <f>IFERROR(_xlfn.CEILING.MATH(J550,INDEX('СВОДНАЯ СПЕЦИФИКАЦИЯ'!$C$10:$C$408,MATCH(D550,'СВОДНАЯ СПЕЦИФИКАЦИЯ'!$D$10:$D$408,0))),"Введите кол-во")</f>
        <v>0</v>
      </c>
      <c r="L550" s="978">
        <f>INDEX('СВОДНАЯ СПЕЦИФИКАЦИЯ'!$H$10:$H$408,MATCH(D550,Таблица2[Наименование материала],0))</f>
        <v>0</v>
      </c>
      <c r="M550" s="979">
        <f t="shared" si="19"/>
        <v>0</v>
      </c>
      <c r="O550" s="934">
        <f t="shared" si="21"/>
        <v>0</v>
      </c>
      <c r="Q550" s="957"/>
      <c r="R550" s="957"/>
      <c r="S550" s="957"/>
      <c r="T550" s="957"/>
      <c r="U550" s="957"/>
      <c r="V550" s="957"/>
      <c r="W550" s="957"/>
      <c r="X550" s="934"/>
      <c r="Y550" s="934"/>
      <c r="Z550" s="934"/>
      <c r="AA550" s="934"/>
      <c r="AB550" s="987"/>
      <c r="AC550" s="934"/>
      <c r="AD550" s="934"/>
      <c r="AE550" s="934"/>
      <c r="AF550" s="934"/>
      <c r="AG550" s="934"/>
      <c r="AH550" s="934"/>
      <c r="AI550" s="934"/>
      <c r="AJ550" s="934"/>
    </row>
    <row r="551" spans="1:36" ht="15" hidden="1" customHeight="1">
      <c r="B551" s="1432"/>
      <c r="C551" s="909">
        <v>601852</v>
      </c>
      <c r="D551" s="732" t="s">
        <v>759</v>
      </c>
      <c r="E551" s="733"/>
      <c r="F551" s="733"/>
      <c r="G551" s="733"/>
      <c r="H551" s="733"/>
      <c r="I551" s="734" t="s">
        <v>178</v>
      </c>
      <c r="J551" s="838">
        <v>0</v>
      </c>
      <c r="K551" s="977">
        <f>IFERROR(_xlfn.CEILING.MATH(J551,INDEX('СВОДНАЯ СПЕЦИФИКАЦИЯ'!$C$10:$C$408,MATCH(D551,'СВОДНАЯ СПЕЦИФИКАЦИЯ'!$D$10:$D$408,0))),"Введите кол-во")</f>
        <v>0</v>
      </c>
      <c r="L551" s="978">
        <f>INDEX('СВОДНАЯ СПЕЦИФИКАЦИЯ'!$H$10:$H$408,MATCH(D551,Таблица2[Наименование материала],0))</f>
        <v>0</v>
      </c>
      <c r="M551" s="979">
        <f t="shared" si="19"/>
        <v>0</v>
      </c>
      <c r="O551" s="934">
        <f t="shared" si="21"/>
        <v>0</v>
      </c>
      <c r="Q551" s="957"/>
      <c r="R551" s="957"/>
      <c r="S551" s="957"/>
      <c r="T551" s="957"/>
      <c r="U551" s="957"/>
      <c r="V551" s="957"/>
      <c r="W551" s="957"/>
      <c r="X551" s="934"/>
      <c r="Y551" s="934"/>
      <c r="Z551" s="934"/>
      <c r="AA551" s="934"/>
      <c r="AB551" s="987"/>
      <c r="AC551" s="934"/>
      <c r="AD551" s="934"/>
      <c r="AE551" s="934"/>
      <c r="AF551" s="934"/>
      <c r="AG551" s="934"/>
      <c r="AH551" s="934"/>
      <c r="AI551" s="934"/>
      <c r="AJ551" s="934"/>
    </row>
    <row r="552" spans="1:36" ht="15" hidden="1" customHeight="1">
      <c r="B552" s="1432"/>
      <c r="C552" s="909">
        <v>601853</v>
      </c>
      <c r="D552" s="732" t="s">
        <v>760</v>
      </c>
      <c r="E552" s="733"/>
      <c r="F552" s="733"/>
      <c r="G552" s="733"/>
      <c r="H552" s="733"/>
      <c r="I552" s="734" t="s">
        <v>178</v>
      </c>
      <c r="J552" s="838">
        <v>0</v>
      </c>
      <c r="K552" s="977">
        <f>IFERROR(_xlfn.CEILING.MATH(J552,INDEX('СВОДНАЯ СПЕЦИФИКАЦИЯ'!$C$10:$C$408,MATCH(D552,'СВОДНАЯ СПЕЦИФИКАЦИЯ'!$D$10:$D$408,0))),"Введите кол-во")</f>
        <v>0</v>
      </c>
      <c r="L552" s="978">
        <f>INDEX('СВОДНАЯ СПЕЦИФИКАЦИЯ'!$H$10:$H$408,MATCH(D552,Таблица2[Наименование материала],0))</f>
        <v>0</v>
      </c>
      <c r="M552" s="979">
        <f t="shared" si="19"/>
        <v>0</v>
      </c>
      <c r="O552" s="934">
        <f t="shared" si="21"/>
        <v>0</v>
      </c>
      <c r="Q552" s="957"/>
      <c r="R552" s="957"/>
      <c r="S552" s="957"/>
      <c r="T552" s="957"/>
      <c r="U552" s="957"/>
      <c r="V552" s="957"/>
      <c r="W552" s="957"/>
      <c r="X552" s="934"/>
      <c r="Y552" s="934"/>
      <c r="Z552" s="934"/>
      <c r="AA552" s="934"/>
      <c r="AB552" s="987"/>
      <c r="AC552" s="934"/>
      <c r="AD552" s="934"/>
      <c r="AE552" s="934"/>
      <c r="AF552" s="934"/>
      <c r="AG552" s="934"/>
      <c r="AH552" s="934"/>
      <c r="AI552" s="934"/>
      <c r="AJ552" s="934"/>
    </row>
    <row r="553" spans="1:36" ht="15" hidden="1" customHeight="1">
      <c r="B553" s="1432"/>
      <c r="C553" s="909" t="s">
        <v>785</v>
      </c>
      <c r="D553" s="732" t="s">
        <v>1444</v>
      </c>
      <c r="E553" s="733"/>
      <c r="F553" s="733"/>
      <c r="G553" s="733"/>
      <c r="H553" s="733"/>
      <c r="I553" s="734" t="s">
        <v>178</v>
      </c>
      <c r="J553" s="838">
        <v>0</v>
      </c>
      <c r="K553" s="977">
        <f>IFERROR(_xlfn.CEILING.MATH(J553,INDEX('СВОДНАЯ СПЕЦИФИКАЦИЯ'!$C$10:$C$408,MATCH(D553,'СВОДНАЯ СПЕЦИФИКАЦИЯ'!$D$10:$D$408,0))),"Введите кол-во")</f>
        <v>0</v>
      </c>
      <c r="L553" s="978">
        <f>INDEX('СВОДНАЯ СПЕЦИФИКАЦИЯ'!$H$10:$H$408,MATCH(D553,Таблица2[Наименование материала],0))</f>
        <v>0</v>
      </c>
      <c r="M553" s="979">
        <f t="shared" si="19"/>
        <v>0</v>
      </c>
      <c r="O553" s="934">
        <f t="shared" si="21"/>
        <v>0</v>
      </c>
      <c r="Q553" s="957"/>
      <c r="R553" s="957"/>
      <c r="S553" s="957"/>
      <c r="T553" s="957"/>
      <c r="U553" s="957"/>
      <c r="V553" s="957"/>
      <c r="W553" s="957"/>
      <c r="X553" s="934"/>
      <c r="Y553" s="934"/>
      <c r="Z553" s="934"/>
      <c r="AA553" s="934"/>
      <c r="AB553" s="987"/>
      <c r="AC553" s="934"/>
      <c r="AD553" s="934"/>
      <c r="AE553" s="934"/>
      <c r="AF553" s="934"/>
      <c r="AG553" s="934"/>
      <c r="AH553" s="934"/>
      <c r="AI553" s="934"/>
      <c r="AJ553" s="934"/>
    </row>
    <row r="554" spans="1:36" ht="15" hidden="1" customHeight="1">
      <c r="B554" s="1432"/>
      <c r="C554" s="909" t="s">
        <v>786</v>
      </c>
      <c r="D554" s="732" t="s">
        <v>1445</v>
      </c>
      <c r="E554" s="733"/>
      <c r="F554" s="733"/>
      <c r="G554" s="733"/>
      <c r="H554" s="733"/>
      <c r="I554" s="734" t="s">
        <v>178</v>
      </c>
      <c r="J554" s="838">
        <v>0</v>
      </c>
      <c r="K554" s="977">
        <f>IFERROR(_xlfn.CEILING.MATH(J554,INDEX('СВОДНАЯ СПЕЦИФИКАЦИЯ'!$C$10:$C$408,MATCH(D554,'СВОДНАЯ СПЕЦИФИКАЦИЯ'!$D$10:$D$408,0))),"Введите кол-во")</f>
        <v>0</v>
      </c>
      <c r="L554" s="978">
        <f>INDEX('СВОДНАЯ СПЕЦИФИКАЦИЯ'!$H$10:$H$408,MATCH(D554,Таблица2[Наименование материала],0))</f>
        <v>0</v>
      </c>
      <c r="M554" s="979">
        <f t="shared" si="19"/>
        <v>0</v>
      </c>
      <c r="O554" s="934">
        <f t="shared" si="21"/>
        <v>0</v>
      </c>
      <c r="Q554" s="957"/>
      <c r="R554" s="957"/>
      <c r="S554" s="957"/>
      <c r="T554" s="957"/>
      <c r="U554" s="957"/>
      <c r="V554" s="957"/>
      <c r="W554" s="957"/>
      <c r="X554" s="934"/>
      <c r="Y554" s="934"/>
      <c r="Z554" s="934"/>
      <c r="AA554" s="934"/>
      <c r="AB554" s="987"/>
      <c r="AC554" s="934"/>
      <c r="AD554" s="934"/>
      <c r="AE554" s="934"/>
      <c r="AF554" s="934"/>
      <c r="AG554" s="934"/>
      <c r="AH554" s="934"/>
      <c r="AI554" s="934"/>
      <c r="AJ554" s="934"/>
    </row>
    <row r="555" spans="1:36" ht="15" hidden="1" customHeight="1">
      <c r="B555" s="1432"/>
      <c r="C555" s="909" t="s">
        <v>1073</v>
      </c>
      <c r="D555" s="732" t="s">
        <v>1446</v>
      </c>
      <c r="E555" s="733"/>
      <c r="F555" s="733"/>
      <c r="G555" s="733"/>
      <c r="H555" s="733"/>
      <c r="I555" s="734" t="s">
        <v>178</v>
      </c>
      <c r="J555" s="838">
        <v>0</v>
      </c>
      <c r="K555" s="977">
        <f>IFERROR(_xlfn.CEILING.MATH(J555,INDEX('СВОДНАЯ СПЕЦИФИКАЦИЯ'!$C$10:$C$408,MATCH(D555,'СВОДНАЯ СПЕЦИФИКАЦИЯ'!$D$10:$D$408,0))),"Введите кол-во")</f>
        <v>0</v>
      </c>
      <c r="L555" s="978">
        <f>INDEX('СВОДНАЯ СПЕЦИФИКАЦИЯ'!$H$10:$H$408,MATCH(D555,Таблица2[Наименование материала],0))</f>
        <v>0</v>
      </c>
      <c r="M555" s="979">
        <f t="shared" si="19"/>
        <v>0</v>
      </c>
      <c r="O555" s="934">
        <f t="shared" si="21"/>
        <v>0</v>
      </c>
      <c r="Q555" s="957"/>
      <c r="R555" s="957"/>
      <c r="S555" s="957"/>
      <c r="T555" s="957"/>
      <c r="U555" s="957"/>
      <c r="V555" s="957"/>
      <c r="W555" s="957"/>
      <c r="X555" s="934"/>
      <c r="Y555" s="934"/>
      <c r="Z555" s="934"/>
      <c r="AA555" s="934"/>
      <c r="AB555" s="987"/>
      <c r="AC555" s="934"/>
      <c r="AD555" s="934"/>
      <c r="AE555" s="934"/>
      <c r="AF555" s="934"/>
      <c r="AG555" s="934"/>
      <c r="AH555" s="934"/>
      <c r="AI555" s="934"/>
      <c r="AJ555" s="934"/>
    </row>
    <row r="556" spans="1:36" ht="15" hidden="1" customHeight="1">
      <c r="B556" s="1432"/>
      <c r="C556" s="909" t="s">
        <v>1074</v>
      </c>
      <c r="D556" s="732" t="s">
        <v>1447</v>
      </c>
      <c r="E556" s="733"/>
      <c r="F556" s="733"/>
      <c r="G556" s="733"/>
      <c r="H556" s="733"/>
      <c r="I556" s="734" t="s">
        <v>178</v>
      </c>
      <c r="J556" s="838">
        <v>0</v>
      </c>
      <c r="K556" s="977">
        <f>IFERROR(_xlfn.CEILING.MATH(J556,INDEX('СВОДНАЯ СПЕЦИФИКАЦИЯ'!$C$10:$C$408,MATCH(D556,'СВОДНАЯ СПЕЦИФИКАЦИЯ'!$D$10:$D$408,0))),"Введите кол-во")</f>
        <v>0</v>
      </c>
      <c r="L556" s="978">
        <f>INDEX('СВОДНАЯ СПЕЦИФИКАЦИЯ'!$H$10:$H$408,MATCH(D556,Таблица2[Наименование материала],0))</f>
        <v>0</v>
      </c>
      <c r="M556" s="979">
        <f t="shared" si="19"/>
        <v>0</v>
      </c>
      <c r="O556" s="934">
        <f t="shared" si="21"/>
        <v>0</v>
      </c>
      <c r="Q556" s="957"/>
      <c r="R556" s="957"/>
      <c r="S556" s="957"/>
      <c r="T556" s="957"/>
      <c r="U556" s="957"/>
      <c r="V556" s="957"/>
      <c r="W556" s="957"/>
      <c r="X556" s="934"/>
      <c r="Y556" s="934"/>
      <c r="Z556" s="934"/>
      <c r="AA556" s="934"/>
      <c r="AB556" s="987"/>
      <c r="AC556" s="934"/>
      <c r="AD556" s="934"/>
      <c r="AE556" s="934"/>
      <c r="AF556" s="934"/>
      <c r="AG556" s="934"/>
      <c r="AH556" s="934"/>
      <c r="AI556" s="934"/>
      <c r="AJ556" s="934"/>
    </row>
    <row r="557" spans="1:36" ht="15" hidden="1" customHeight="1">
      <c r="B557" s="1432"/>
      <c r="C557" s="909" t="s">
        <v>787</v>
      </c>
      <c r="D557" s="732" t="s">
        <v>1448</v>
      </c>
      <c r="E557" s="733"/>
      <c r="F557" s="733"/>
      <c r="G557" s="733"/>
      <c r="H557" s="733"/>
      <c r="I557" s="734" t="s">
        <v>178</v>
      </c>
      <c r="J557" s="838">
        <v>0</v>
      </c>
      <c r="K557" s="977">
        <f>IFERROR(_xlfn.CEILING.MATH(J557,INDEX('СВОДНАЯ СПЕЦИФИКАЦИЯ'!$C$10:$C$408,MATCH(D557,'СВОДНАЯ СПЕЦИФИКАЦИЯ'!$D$10:$D$408,0))),"Введите кол-во")</f>
        <v>0</v>
      </c>
      <c r="L557" s="978">
        <f>INDEX('СВОДНАЯ СПЕЦИФИКАЦИЯ'!$H$10:$H$408,MATCH(D557,Таблица2[Наименование материала],0))</f>
        <v>0</v>
      </c>
      <c r="M557" s="979">
        <f t="shared" si="19"/>
        <v>0</v>
      </c>
      <c r="O557" s="934">
        <f t="shared" si="21"/>
        <v>0</v>
      </c>
      <c r="Q557" s="957"/>
      <c r="R557" s="957"/>
      <c r="S557" s="957"/>
      <c r="T557" s="957"/>
      <c r="U557" s="957"/>
      <c r="V557" s="957"/>
      <c r="W557" s="957"/>
      <c r="X557" s="934"/>
      <c r="Y557" s="934"/>
      <c r="Z557" s="934"/>
      <c r="AA557" s="934"/>
      <c r="AB557" s="987"/>
      <c r="AC557" s="934"/>
      <c r="AD557" s="934"/>
      <c r="AE557" s="934"/>
      <c r="AF557" s="934"/>
      <c r="AG557" s="934"/>
      <c r="AH557" s="934"/>
      <c r="AI557" s="934"/>
      <c r="AJ557" s="934"/>
    </row>
    <row r="558" spans="1:36" ht="15" hidden="1" customHeight="1">
      <c r="B558" s="1432"/>
      <c r="C558" s="909" t="s">
        <v>788</v>
      </c>
      <c r="D558" s="732" t="s">
        <v>1449</v>
      </c>
      <c r="E558" s="733"/>
      <c r="F558" s="733"/>
      <c r="G558" s="733"/>
      <c r="H558" s="733"/>
      <c r="I558" s="734" t="s">
        <v>178</v>
      </c>
      <c r="J558" s="838">
        <v>0</v>
      </c>
      <c r="K558" s="977">
        <f>IFERROR(_xlfn.CEILING.MATH(J558,INDEX('СВОДНАЯ СПЕЦИФИКАЦИЯ'!$C$10:$C$408,MATCH(D558,'СВОДНАЯ СПЕЦИФИКАЦИЯ'!$D$10:$D$408,0))),"Введите кол-во")</f>
        <v>0</v>
      </c>
      <c r="L558" s="978">
        <f>INDEX('СВОДНАЯ СПЕЦИФИКАЦИЯ'!$H$10:$H$408,MATCH(D558,Таблица2[Наименование материала],0))</f>
        <v>0</v>
      </c>
      <c r="M558" s="979">
        <f t="shared" ref="M558:M617" si="23">IFERROR(K558*L558,0)</f>
        <v>0</v>
      </c>
      <c r="O558" s="934">
        <f t="shared" si="21"/>
        <v>0</v>
      </c>
      <c r="Q558" s="957"/>
      <c r="R558" s="957"/>
      <c r="S558" s="957"/>
      <c r="T558" s="957"/>
      <c r="U558" s="957"/>
      <c r="V558" s="957"/>
      <c r="W558" s="957"/>
      <c r="X558" s="934"/>
      <c r="Y558" s="934"/>
      <c r="Z558" s="934"/>
      <c r="AA558" s="934"/>
      <c r="AB558" s="987"/>
      <c r="AC558" s="934"/>
      <c r="AD558" s="934"/>
      <c r="AE558" s="934"/>
      <c r="AF558" s="934"/>
      <c r="AG558" s="934"/>
      <c r="AH558" s="934"/>
      <c r="AI558" s="934"/>
      <c r="AJ558" s="934"/>
    </row>
    <row r="559" spans="1:36" ht="15" hidden="1" customHeight="1">
      <c r="B559" s="1432"/>
      <c r="C559" s="909" t="s">
        <v>1075</v>
      </c>
      <c r="D559" s="732" t="s">
        <v>1450</v>
      </c>
      <c r="E559" s="733"/>
      <c r="F559" s="733"/>
      <c r="G559" s="733"/>
      <c r="H559" s="733"/>
      <c r="I559" s="734" t="s">
        <v>178</v>
      </c>
      <c r="J559" s="838">
        <v>0</v>
      </c>
      <c r="K559" s="977">
        <f>IFERROR(_xlfn.CEILING.MATH(J559,INDEX('СВОДНАЯ СПЕЦИФИКАЦИЯ'!$C$10:$C$408,MATCH(D559,'СВОДНАЯ СПЕЦИФИКАЦИЯ'!$D$10:$D$408,0))),"Введите кол-во")</f>
        <v>0</v>
      </c>
      <c r="L559" s="978">
        <f>INDEX('СВОДНАЯ СПЕЦИФИКАЦИЯ'!$H$10:$H$408,MATCH(D559,Таблица2[Наименование материала],0))</f>
        <v>0</v>
      </c>
      <c r="M559" s="979">
        <f t="shared" si="23"/>
        <v>0</v>
      </c>
      <c r="O559" s="934">
        <f t="shared" si="21"/>
        <v>0</v>
      </c>
      <c r="Q559" s="957"/>
      <c r="R559" s="957"/>
      <c r="S559" s="957"/>
      <c r="T559" s="957"/>
      <c r="U559" s="957"/>
      <c r="V559" s="957"/>
      <c r="W559" s="957"/>
      <c r="X559" s="934"/>
      <c r="Y559" s="934"/>
      <c r="Z559" s="934"/>
      <c r="AA559" s="934"/>
      <c r="AB559" s="987"/>
      <c r="AC559" s="934"/>
      <c r="AD559" s="934"/>
      <c r="AE559" s="934"/>
      <c r="AF559" s="934"/>
      <c r="AG559" s="934"/>
      <c r="AH559" s="934"/>
      <c r="AI559" s="934"/>
      <c r="AJ559" s="934"/>
    </row>
    <row r="560" spans="1:36" ht="15" hidden="1" customHeight="1">
      <c r="B560" s="1432"/>
      <c r="C560" s="909" t="s">
        <v>1076</v>
      </c>
      <c r="D560" s="732" t="s">
        <v>1443</v>
      </c>
      <c r="E560" s="733"/>
      <c r="F560" s="733"/>
      <c r="G560" s="733"/>
      <c r="H560" s="733"/>
      <c r="I560" s="734" t="s">
        <v>178</v>
      </c>
      <c r="J560" s="838">
        <v>0</v>
      </c>
      <c r="K560" s="977">
        <f>IFERROR(_xlfn.CEILING.MATH(J560,INDEX('СВОДНАЯ СПЕЦИФИКАЦИЯ'!$C$10:$C$408,MATCH(D560,'СВОДНАЯ СПЕЦИФИКАЦИЯ'!$D$10:$D$408,0))),"Введите кол-во")</f>
        <v>0</v>
      </c>
      <c r="L560" s="978">
        <f>INDEX('СВОДНАЯ СПЕЦИФИКАЦИЯ'!$H$10:$H$408,MATCH(D560,Таблица2[Наименование материала],0))</f>
        <v>0</v>
      </c>
      <c r="M560" s="979">
        <f t="shared" si="23"/>
        <v>0</v>
      </c>
      <c r="O560" s="934">
        <f t="shared" si="21"/>
        <v>0</v>
      </c>
      <c r="Q560" s="957"/>
      <c r="R560" s="957"/>
      <c r="S560" s="957"/>
      <c r="T560" s="957"/>
      <c r="U560" s="957"/>
      <c r="V560" s="957"/>
      <c r="W560" s="957"/>
      <c r="X560" s="934"/>
      <c r="Y560" s="934"/>
      <c r="Z560" s="934"/>
      <c r="AA560" s="934"/>
      <c r="AB560" s="987"/>
      <c r="AC560" s="934"/>
      <c r="AD560" s="934"/>
      <c r="AE560" s="934"/>
      <c r="AF560" s="934"/>
      <c r="AG560" s="934"/>
      <c r="AH560" s="934"/>
      <c r="AI560" s="934"/>
      <c r="AJ560" s="934"/>
    </row>
    <row r="561" spans="2:36" ht="15" hidden="1" customHeight="1">
      <c r="B561" s="1432"/>
      <c r="C561" s="909" t="s">
        <v>746</v>
      </c>
      <c r="D561" s="732" t="s">
        <v>1265</v>
      </c>
      <c r="E561" s="733"/>
      <c r="F561" s="733"/>
      <c r="G561" s="733"/>
      <c r="H561" s="733"/>
      <c r="I561" s="734" t="s">
        <v>178</v>
      </c>
      <c r="J561" s="838">
        <v>0</v>
      </c>
      <c r="K561" s="977" t="str">
        <f>IFERROR(_xlfn.CEILING.MATH(J561,INDEX('СВОДНАЯ СПЕЦИФИКАЦИЯ'!$C$10:$C$408,MATCH(D561,'СВОДНАЯ СПЕЦИФИКАЦИЯ'!$D$10:$D$408,0))),"Введите кол-во")</f>
        <v>Введите кол-во</v>
      </c>
      <c r="L561" s="978">
        <f>INDEX('СВОДНАЯ СПЕЦИФИКАЦИЯ'!$H$10:$H$408,MATCH(D561,Таблица2[Наименование материала],0))</f>
        <v>0</v>
      </c>
      <c r="M561" s="979">
        <f t="shared" si="23"/>
        <v>0</v>
      </c>
      <c r="O561" s="934">
        <f t="shared" si="21"/>
        <v>0</v>
      </c>
      <c r="Q561" s="957"/>
      <c r="R561" s="957"/>
      <c r="S561" s="957"/>
      <c r="T561" s="957"/>
      <c r="U561" s="957"/>
      <c r="V561" s="957"/>
      <c r="W561" s="957"/>
      <c r="X561" s="934"/>
      <c r="Y561" s="934"/>
      <c r="Z561" s="934"/>
      <c r="AA561" s="934"/>
      <c r="AB561" s="987"/>
      <c r="AC561" s="934"/>
      <c r="AD561" s="934"/>
      <c r="AE561" s="934"/>
      <c r="AF561" s="934"/>
      <c r="AG561" s="934"/>
      <c r="AH561" s="934"/>
      <c r="AI561" s="934"/>
      <c r="AJ561" s="934"/>
    </row>
    <row r="562" spans="2:36" ht="15" hidden="1" customHeight="1">
      <c r="B562" s="1432"/>
      <c r="C562" s="909" t="s">
        <v>789</v>
      </c>
      <c r="D562" s="732" t="s">
        <v>1442</v>
      </c>
      <c r="E562" s="733"/>
      <c r="F562" s="733"/>
      <c r="G562" s="733"/>
      <c r="H562" s="733"/>
      <c r="I562" s="734" t="s">
        <v>178</v>
      </c>
      <c r="J562" s="838">
        <v>0</v>
      </c>
      <c r="K562" s="977">
        <f>IFERROR(_xlfn.CEILING.MATH(J562,INDEX('СВОДНАЯ СПЕЦИФИКАЦИЯ'!$C$10:$C$408,MATCH(D562,'СВОДНАЯ СПЕЦИФИКАЦИЯ'!$D$10:$D$408,0))),"Введите кол-во")</f>
        <v>0</v>
      </c>
      <c r="L562" s="978">
        <f>INDEX('СВОДНАЯ СПЕЦИФИКАЦИЯ'!$H$10:$H$408,MATCH(D562,Таблица2[Наименование материала],0))</f>
        <v>0</v>
      </c>
      <c r="M562" s="979">
        <f t="shared" si="23"/>
        <v>0</v>
      </c>
      <c r="O562" s="934">
        <f t="shared" si="21"/>
        <v>0</v>
      </c>
      <c r="Q562" s="957"/>
      <c r="R562" s="957"/>
      <c r="S562" s="957"/>
      <c r="T562" s="957"/>
      <c r="U562" s="957"/>
      <c r="V562" s="957"/>
      <c r="W562" s="957"/>
      <c r="X562" s="934"/>
      <c r="Y562" s="934"/>
      <c r="Z562" s="934"/>
      <c r="AA562" s="934"/>
      <c r="AB562" s="987"/>
      <c r="AC562" s="934"/>
      <c r="AD562" s="934"/>
      <c r="AE562" s="934"/>
      <c r="AF562" s="934"/>
      <c r="AG562" s="934"/>
      <c r="AH562" s="934"/>
      <c r="AI562" s="934"/>
      <c r="AJ562" s="934"/>
    </row>
    <row r="563" spans="2:36" ht="15" hidden="1" customHeight="1">
      <c r="B563" s="1432"/>
      <c r="C563" s="909" t="s">
        <v>747</v>
      </c>
      <c r="D563" s="732" t="s">
        <v>1266</v>
      </c>
      <c r="E563" s="733"/>
      <c r="F563" s="733"/>
      <c r="G563" s="733"/>
      <c r="H563" s="733"/>
      <c r="I563" s="734" t="s">
        <v>178</v>
      </c>
      <c r="J563" s="838">
        <v>0</v>
      </c>
      <c r="K563" s="977" t="str">
        <f>IFERROR(_xlfn.CEILING.MATH(J563,INDEX('СВОДНАЯ СПЕЦИФИКАЦИЯ'!$C$10:$C$408,MATCH(D563,'СВОДНАЯ СПЕЦИФИКАЦИЯ'!$D$10:$D$408,0))),"Введите кол-во")</f>
        <v>Введите кол-во</v>
      </c>
      <c r="L563" s="978">
        <f>INDEX('СВОДНАЯ СПЕЦИФИКАЦИЯ'!$H$10:$H$408,MATCH(D563,Таблица2[Наименование материала],0))</f>
        <v>0</v>
      </c>
      <c r="M563" s="979">
        <f t="shared" si="23"/>
        <v>0</v>
      </c>
      <c r="O563" s="934">
        <f t="shared" si="21"/>
        <v>0</v>
      </c>
      <c r="Q563" s="957"/>
      <c r="R563" s="957"/>
      <c r="S563" s="957"/>
      <c r="T563" s="957"/>
      <c r="U563" s="957"/>
      <c r="V563" s="957"/>
      <c r="W563" s="957"/>
      <c r="X563" s="934"/>
      <c r="Y563" s="934"/>
      <c r="Z563" s="934"/>
      <c r="AA563" s="934"/>
      <c r="AB563" s="987"/>
      <c r="AC563" s="934"/>
      <c r="AD563" s="934"/>
      <c r="AE563" s="934"/>
      <c r="AF563" s="934"/>
      <c r="AG563" s="934"/>
      <c r="AH563" s="934"/>
      <c r="AI563" s="934"/>
      <c r="AJ563" s="934"/>
    </row>
    <row r="564" spans="2:36" ht="15" hidden="1" customHeight="1">
      <c r="B564" s="1432"/>
      <c r="C564" s="909">
        <v>645010</v>
      </c>
      <c r="D564" s="732" t="s">
        <v>269</v>
      </c>
      <c r="E564" s="733"/>
      <c r="F564" s="733"/>
      <c r="G564" s="733"/>
      <c r="H564" s="733"/>
      <c r="I564" s="734" t="s">
        <v>112</v>
      </c>
      <c r="J564" s="838">
        <v>0</v>
      </c>
      <c r="K564" s="977">
        <f>IFERROR(_xlfn.CEILING.MATH(J564,INDEX('СВОДНАЯ СПЕЦИФИКАЦИЯ'!$C$10:$C$408,MATCH(D564,'СВОДНАЯ СПЕЦИФИКАЦИЯ'!$D$10:$D$408,0))),"Введите кол-во")</f>
        <v>0</v>
      </c>
      <c r="L564" s="978">
        <f>INDEX('СВОДНАЯ СПЕЦИФИКАЦИЯ'!$H$10:$H$408,MATCH(D564,Таблица2[Наименование материала],0))</f>
        <v>0</v>
      </c>
      <c r="M564" s="979">
        <f t="shared" si="23"/>
        <v>0</v>
      </c>
      <c r="O564" s="934">
        <f t="shared" si="21"/>
        <v>0</v>
      </c>
      <c r="Q564" s="957"/>
      <c r="R564" s="957"/>
      <c r="S564" s="957"/>
      <c r="T564" s="957"/>
      <c r="U564" s="957"/>
      <c r="V564" s="957"/>
      <c r="W564" s="957"/>
      <c r="X564" s="934"/>
      <c r="Y564" s="934"/>
      <c r="Z564" s="934"/>
      <c r="AA564" s="934"/>
      <c r="AB564" s="987"/>
      <c r="AC564" s="934"/>
      <c r="AD564" s="934"/>
      <c r="AE564" s="934"/>
      <c r="AF564" s="934"/>
      <c r="AG564" s="934"/>
      <c r="AH564" s="934"/>
      <c r="AI564" s="934"/>
      <c r="AJ564" s="934"/>
    </row>
    <row r="565" spans="2:36" ht="15" hidden="1" customHeight="1">
      <c r="B565" s="1432"/>
      <c r="C565" s="909">
        <v>645011</v>
      </c>
      <c r="D565" s="732" t="s">
        <v>270</v>
      </c>
      <c r="E565" s="733"/>
      <c r="F565" s="733"/>
      <c r="G565" s="733"/>
      <c r="H565" s="733"/>
      <c r="I565" s="734" t="s">
        <v>112</v>
      </c>
      <c r="J565" s="838">
        <v>0</v>
      </c>
      <c r="K565" s="977">
        <f>IFERROR(_xlfn.CEILING.MATH(J565,INDEX('СВОДНАЯ СПЕЦИФИКАЦИЯ'!$C$10:$C$408,MATCH(D565,'СВОДНАЯ СПЕЦИФИКАЦИЯ'!$D$10:$D$408,0))),"Введите кол-во")</f>
        <v>0</v>
      </c>
      <c r="L565" s="978">
        <f>INDEX('СВОДНАЯ СПЕЦИФИКАЦИЯ'!$H$10:$H$408,MATCH(D565,Таблица2[Наименование материала],0))</f>
        <v>0</v>
      </c>
      <c r="M565" s="979">
        <f t="shared" si="23"/>
        <v>0</v>
      </c>
      <c r="O565" s="934">
        <f t="shared" si="21"/>
        <v>0</v>
      </c>
      <c r="Q565" s="957"/>
      <c r="R565" s="957"/>
      <c r="S565" s="957"/>
      <c r="T565" s="957"/>
      <c r="U565" s="957"/>
      <c r="V565" s="957"/>
      <c r="W565" s="957"/>
      <c r="X565" s="934"/>
      <c r="Y565" s="934"/>
      <c r="Z565" s="934"/>
      <c r="AA565" s="934"/>
      <c r="AB565" s="987"/>
      <c r="AC565" s="934"/>
      <c r="AD565" s="934"/>
      <c r="AE565" s="934"/>
      <c r="AF565" s="934"/>
      <c r="AG565" s="934"/>
      <c r="AH565" s="934"/>
      <c r="AI565" s="934"/>
      <c r="AJ565" s="934"/>
    </row>
    <row r="566" spans="2:36" ht="15" hidden="1" customHeight="1">
      <c r="B566" s="1432"/>
      <c r="C566" s="909" t="s">
        <v>1087</v>
      </c>
      <c r="D566" s="732" t="s">
        <v>210</v>
      </c>
      <c r="E566" s="733"/>
      <c r="F566" s="733"/>
      <c r="G566" s="733"/>
      <c r="H566" s="733"/>
      <c r="I566" s="734" t="s">
        <v>112</v>
      </c>
      <c r="J566" s="838">
        <v>0</v>
      </c>
      <c r="K566" s="977">
        <f>IFERROR(_xlfn.CEILING.MATH(J566,INDEX('СВОДНАЯ СПЕЦИФИКАЦИЯ'!$C$10:$C$408,MATCH(D566,'СВОДНАЯ СПЕЦИФИКАЦИЯ'!$D$10:$D$408,0))),"Введите кол-во")</f>
        <v>0</v>
      </c>
      <c r="L566" s="978">
        <f>INDEX('СВОДНАЯ СПЕЦИФИКАЦИЯ'!$H$10:$H$408,MATCH(D566,Таблица2[Наименование материала],0))</f>
        <v>0</v>
      </c>
      <c r="M566" s="979">
        <f t="shared" si="23"/>
        <v>0</v>
      </c>
      <c r="O566" s="934">
        <f t="shared" si="21"/>
        <v>0</v>
      </c>
      <c r="Q566" s="957"/>
      <c r="R566" s="957"/>
      <c r="S566" s="957"/>
      <c r="T566" s="957"/>
      <c r="U566" s="957"/>
      <c r="V566" s="957"/>
      <c r="W566" s="957"/>
      <c r="X566" s="934"/>
      <c r="Y566" s="934"/>
      <c r="Z566" s="934"/>
      <c r="AA566" s="934"/>
      <c r="AB566" s="987"/>
      <c r="AC566" s="934"/>
      <c r="AD566" s="934"/>
      <c r="AE566" s="934"/>
      <c r="AF566" s="934"/>
      <c r="AG566" s="934"/>
      <c r="AH566" s="934"/>
      <c r="AI566" s="934"/>
      <c r="AJ566" s="934"/>
    </row>
    <row r="567" spans="2:36" ht="15" hidden="1" customHeight="1">
      <c r="B567" s="1432"/>
      <c r="C567" s="909">
        <v>645013</v>
      </c>
      <c r="D567" s="732" t="s">
        <v>271</v>
      </c>
      <c r="E567" s="733"/>
      <c r="F567" s="733"/>
      <c r="G567" s="733"/>
      <c r="H567" s="733"/>
      <c r="I567" s="734" t="s">
        <v>112</v>
      </c>
      <c r="J567" s="838">
        <v>0</v>
      </c>
      <c r="K567" s="977">
        <f>IFERROR(_xlfn.CEILING.MATH(J567,INDEX('СВОДНАЯ СПЕЦИФИКАЦИЯ'!$C$10:$C$408,MATCH(D567,'СВОДНАЯ СПЕЦИФИКАЦИЯ'!$D$10:$D$408,0))),"Введите кол-во")</f>
        <v>0</v>
      </c>
      <c r="L567" s="978">
        <f>INDEX('СВОДНАЯ СПЕЦИФИКАЦИЯ'!$H$10:$H$408,MATCH(D567,Таблица2[Наименование материала],0))</f>
        <v>0</v>
      </c>
      <c r="M567" s="979">
        <f t="shared" si="23"/>
        <v>0</v>
      </c>
      <c r="O567" s="934">
        <f t="shared" si="21"/>
        <v>0</v>
      </c>
      <c r="Q567" s="957"/>
      <c r="R567" s="957"/>
      <c r="S567" s="957"/>
      <c r="T567" s="957"/>
      <c r="U567" s="957"/>
      <c r="V567" s="957"/>
      <c r="W567" s="957"/>
      <c r="X567" s="934"/>
      <c r="Y567" s="934"/>
      <c r="Z567" s="934"/>
      <c r="AA567" s="934"/>
      <c r="AB567" s="987"/>
      <c r="AC567" s="934"/>
      <c r="AD567" s="934"/>
      <c r="AE567" s="934"/>
      <c r="AF567" s="934"/>
      <c r="AG567" s="934"/>
      <c r="AH567" s="934"/>
      <c r="AI567" s="934"/>
      <c r="AJ567" s="934"/>
    </row>
    <row r="568" spans="2:36" ht="15" hidden="1" customHeight="1">
      <c r="B568" s="1432"/>
      <c r="C568" s="909" t="s">
        <v>951</v>
      </c>
      <c r="D568" s="732" t="s">
        <v>945</v>
      </c>
      <c r="E568" s="733"/>
      <c r="F568" s="733"/>
      <c r="G568" s="733"/>
      <c r="H568" s="733"/>
      <c r="I568" s="734" t="s">
        <v>112</v>
      </c>
      <c r="J568" s="838">
        <v>0</v>
      </c>
      <c r="K568" s="977">
        <f>IFERROR(_xlfn.CEILING.MATH(J568,INDEX('СВОДНАЯ СПЕЦИФИКАЦИЯ'!$C$10:$C$408,MATCH(D568,'СВОДНАЯ СПЕЦИФИКАЦИЯ'!$D$10:$D$408,0))),"Введите кол-во")</f>
        <v>0</v>
      </c>
      <c r="L568" s="978">
        <f>INDEX('СВОДНАЯ СПЕЦИФИКАЦИЯ'!$H$10:$H$408,MATCH(D568,Таблица2[Наименование материала],0))</f>
        <v>0</v>
      </c>
      <c r="M568" s="979">
        <f t="shared" si="23"/>
        <v>0</v>
      </c>
      <c r="O568" s="934">
        <f t="shared" si="21"/>
        <v>0</v>
      </c>
      <c r="Q568" s="957"/>
      <c r="R568" s="957"/>
      <c r="S568" s="957"/>
      <c r="T568" s="957"/>
      <c r="U568" s="957"/>
      <c r="V568" s="957"/>
      <c r="W568" s="957"/>
      <c r="X568" s="934"/>
      <c r="Y568" s="934"/>
      <c r="Z568" s="934"/>
      <c r="AA568" s="934"/>
      <c r="AB568" s="987"/>
      <c r="AC568" s="934"/>
      <c r="AD568" s="934"/>
      <c r="AE568" s="934"/>
      <c r="AF568" s="934"/>
      <c r="AG568" s="934"/>
      <c r="AH568" s="934"/>
      <c r="AI568" s="934"/>
      <c r="AJ568" s="934"/>
    </row>
    <row r="569" spans="2:36" ht="15" hidden="1" customHeight="1">
      <c r="B569" s="1432"/>
      <c r="C569" s="909" t="s">
        <v>950</v>
      </c>
      <c r="D569" s="732" t="s">
        <v>949</v>
      </c>
      <c r="E569" s="733"/>
      <c r="F569" s="733"/>
      <c r="G569" s="733"/>
      <c r="H569" s="733"/>
      <c r="I569" s="734" t="s">
        <v>112</v>
      </c>
      <c r="J569" s="838">
        <v>0</v>
      </c>
      <c r="K569" s="977">
        <f>IFERROR(_xlfn.CEILING.MATH(J569,INDEX('СВОДНАЯ СПЕЦИФИКАЦИЯ'!$C$10:$C$408,MATCH(D569,'СВОДНАЯ СПЕЦИФИКАЦИЯ'!$D$10:$D$408,0))),"Введите кол-во")</f>
        <v>0</v>
      </c>
      <c r="L569" s="978">
        <f>INDEX('СВОДНАЯ СПЕЦИФИКАЦИЯ'!$H$10:$H$408,MATCH(D569,Таблица2[Наименование материала],0))</f>
        <v>0</v>
      </c>
      <c r="M569" s="979">
        <f t="shared" si="23"/>
        <v>0</v>
      </c>
      <c r="O569" s="934">
        <f t="shared" si="21"/>
        <v>0</v>
      </c>
      <c r="Q569" s="957"/>
      <c r="R569" s="957"/>
      <c r="S569" s="957"/>
      <c r="T569" s="957"/>
      <c r="U569" s="957"/>
      <c r="V569" s="957"/>
      <c r="W569" s="957"/>
      <c r="X569" s="934"/>
      <c r="Y569" s="934"/>
      <c r="Z569" s="934"/>
      <c r="AA569" s="934"/>
      <c r="AB569" s="987"/>
      <c r="AC569" s="934"/>
      <c r="AD569" s="934"/>
      <c r="AE569" s="934"/>
      <c r="AF569" s="934"/>
      <c r="AG569" s="934"/>
      <c r="AH569" s="934"/>
      <c r="AI569" s="934"/>
      <c r="AJ569" s="934"/>
    </row>
    <row r="570" spans="2:36" ht="15" hidden="1" customHeight="1">
      <c r="B570" s="1432"/>
      <c r="C570" s="909">
        <v>617303</v>
      </c>
      <c r="D570" s="732" t="s">
        <v>919</v>
      </c>
      <c r="E570" s="733"/>
      <c r="F570" s="733"/>
      <c r="G570" s="733"/>
      <c r="H570" s="733"/>
      <c r="I570" s="734" t="s">
        <v>178</v>
      </c>
      <c r="J570" s="838">
        <v>0</v>
      </c>
      <c r="K570" s="977">
        <f>IFERROR(_xlfn.CEILING.MATH(J570,INDEX('СВОДНАЯ СПЕЦИФИКАЦИЯ'!$C$10:$C$408,MATCH(D570,'СВОДНАЯ СПЕЦИФИКАЦИЯ'!$D$10:$D$408,0))),"Введите кол-во")</f>
        <v>0</v>
      </c>
      <c r="L570" s="978">
        <f>INDEX('СВОДНАЯ СПЕЦИФИКАЦИЯ'!$H$10:$H$408,MATCH(D570,Таблица2[Наименование материала],0))</f>
        <v>0</v>
      </c>
      <c r="M570" s="979">
        <f t="shared" si="23"/>
        <v>0</v>
      </c>
      <c r="O570" s="934">
        <f t="shared" si="21"/>
        <v>0</v>
      </c>
      <c r="Q570" s="957"/>
      <c r="R570" s="957"/>
      <c r="S570" s="957"/>
      <c r="T570" s="957"/>
      <c r="U570" s="957"/>
      <c r="V570" s="957"/>
      <c r="W570" s="957"/>
      <c r="X570" s="934"/>
      <c r="Y570" s="934"/>
      <c r="Z570" s="934"/>
      <c r="AA570" s="934"/>
      <c r="AB570" s="987"/>
      <c r="AC570" s="934"/>
      <c r="AD570" s="934"/>
      <c r="AE570" s="934"/>
      <c r="AF570" s="934"/>
      <c r="AG570" s="934"/>
      <c r="AH570" s="934"/>
      <c r="AI570" s="934"/>
      <c r="AJ570" s="934"/>
    </row>
    <row r="571" spans="2:36" ht="15" hidden="1" customHeight="1">
      <c r="B571" s="1432"/>
      <c r="C571" s="909">
        <v>617304</v>
      </c>
      <c r="D571" s="732" t="s">
        <v>927</v>
      </c>
      <c r="E571" s="733"/>
      <c r="F571" s="733"/>
      <c r="G571" s="733"/>
      <c r="H571" s="733"/>
      <c r="I571" s="734" t="s">
        <v>178</v>
      </c>
      <c r="J571" s="838">
        <v>0</v>
      </c>
      <c r="K571" s="977">
        <f>IFERROR(_xlfn.CEILING.MATH(J571,INDEX('СВОДНАЯ СПЕЦИФИКАЦИЯ'!$C$10:$C$408,MATCH(D571,'СВОДНАЯ СПЕЦИФИКАЦИЯ'!$D$10:$D$408,0))),"Введите кол-во")</f>
        <v>0</v>
      </c>
      <c r="L571" s="978">
        <f>INDEX('СВОДНАЯ СПЕЦИФИКАЦИЯ'!$H$10:$H$408,MATCH(D571,Таблица2[Наименование материала],0))</f>
        <v>0</v>
      </c>
      <c r="M571" s="979">
        <f t="shared" si="23"/>
        <v>0</v>
      </c>
      <c r="O571" s="934">
        <f t="shared" ref="O571:O617" si="24">IF(J571=0,0,1)</f>
        <v>0</v>
      </c>
      <c r="Q571" s="957"/>
      <c r="R571" s="957"/>
      <c r="S571" s="957"/>
      <c r="T571" s="957"/>
      <c r="U571" s="957"/>
      <c r="V571" s="957"/>
      <c r="W571" s="957"/>
      <c r="X571" s="934"/>
      <c r="Y571" s="934"/>
      <c r="Z571" s="934"/>
      <c r="AA571" s="934"/>
      <c r="AB571" s="987"/>
      <c r="AC571" s="934"/>
      <c r="AD571" s="934"/>
      <c r="AE571" s="934"/>
      <c r="AF571" s="934"/>
      <c r="AG571" s="934"/>
      <c r="AH571" s="934"/>
      <c r="AI571" s="934"/>
      <c r="AJ571" s="934"/>
    </row>
    <row r="572" spans="2:36" ht="15" hidden="1" customHeight="1">
      <c r="B572" s="1432"/>
      <c r="C572" s="877" t="s">
        <v>1097</v>
      </c>
      <c r="D572" s="732" t="s">
        <v>920</v>
      </c>
      <c r="E572" s="733"/>
      <c r="F572" s="733"/>
      <c r="G572" s="733"/>
      <c r="H572" s="733"/>
      <c r="I572" s="734" t="s">
        <v>178</v>
      </c>
      <c r="J572" s="838">
        <v>0</v>
      </c>
      <c r="K572" s="977" t="str">
        <f>IFERROR(_xlfn.CEILING.MATH(J572,INDEX('СВОДНАЯ СПЕЦИФИКАЦИЯ'!$C$10:$C$408,MATCH(D572,'СВОДНАЯ СПЕЦИФИКАЦИЯ'!$D$10:$D$408,0))),"Введите кол-во")</f>
        <v>Введите кол-во</v>
      </c>
      <c r="L572" s="978">
        <f>INDEX('СВОДНАЯ СПЕЦИФИКАЦИЯ'!$H$10:$H$408,MATCH(D572,Таблица2[Наименование материала],0))</f>
        <v>0</v>
      </c>
      <c r="M572" s="979">
        <f t="shared" si="23"/>
        <v>0</v>
      </c>
      <c r="O572" s="934">
        <f t="shared" si="24"/>
        <v>0</v>
      </c>
      <c r="Q572" s="957"/>
      <c r="R572" s="957"/>
      <c r="S572" s="957"/>
      <c r="T572" s="957"/>
      <c r="U572" s="957"/>
      <c r="V572" s="957"/>
      <c r="W572" s="957"/>
      <c r="X572" s="934"/>
      <c r="Y572" s="934"/>
      <c r="Z572" s="934"/>
      <c r="AA572" s="934"/>
      <c r="AB572" s="987"/>
      <c r="AC572" s="934"/>
      <c r="AD572" s="934"/>
      <c r="AE572" s="934"/>
      <c r="AF572" s="934"/>
      <c r="AG572" s="934"/>
      <c r="AH572" s="934"/>
      <c r="AI572" s="934"/>
      <c r="AJ572" s="934"/>
    </row>
    <row r="573" spans="2:36" ht="15" hidden="1" customHeight="1">
      <c r="B573" s="1432"/>
      <c r="C573" s="909" t="s">
        <v>924</v>
      </c>
      <c r="D573" s="732" t="s">
        <v>921</v>
      </c>
      <c r="E573" s="733"/>
      <c r="F573" s="733"/>
      <c r="G573" s="733"/>
      <c r="H573" s="733"/>
      <c r="I573" s="734" t="s">
        <v>178</v>
      </c>
      <c r="J573" s="838">
        <v>0</v>
      </c>
      <c r="K573" s="977">
        <f>IFERROR(_xlfn.CEILING.MATH(J573,INDEX('СВОДНАЯ СПЕЦИФИКАЦИЯ'!$C$10:$C$408,MATCH(D573,'СВОДНАЯ СПЕЦИФИКАЦИЯ'!$D$10:$D$408,0))),"Введите кол-во")</f>
        <v>0</v>
      </c>
      <c r="L573" s="978">
        <f>INDEX('СВОДНАЯ СПЕЦИФИКАЦИЯ'!$H$10:$H$408,MATCH(D573,Таблица2[Наименование материала],0))</f>
        <v>0</v>
      </c>
      <c r="M573" s="979">
        <f t="shared" si="23"/>
        <v>0</v>
      </c>
      <c r="O573" s="934">
        <f t="shared" si="24"/>
        <v>0</v>
      </c>
      <c r="Q573" s="957"/>
      <c r="R573" s="957"/>
      <c r="S573" s="957"/>
      <c r="T573" s="957"/>
      <c r="U573" s="957"/>
      <c r="V573" s="957"/>
      <c r="W573" s="957"/>
      <c r="X573" s="934"/>
      <c r="Y573" s="934"/>
      <c r="Z573" s="934"/>
      <c r="AA573" s="934"/>
      <c r="AB573" s="987"/>
      <c r="AC573" s="934"/>
      <c r="AD573" s="934"/>
      <c r="AE573" s="934"/>
      <c r="AF573" s="934"/>
      <c r="AG573" s="934"/>
      <c r="AH573" s="934"/>
      <c r="AI573" s="934"/>
      <c r="AJ573" s="934"/>
    </row>
    <row r="574" spans="2:36" ht="15" hidden="1" customHeight="1">
      <c r="B574" s="1432"/>
      <c r="C574" s="909" t="s">
        <v>925</v>
      </c>
      <c r="D574" s="732" t="s">
        <v>922</v>
      </c>
      <c r="E574" s="733"/>
      <c r="F574" s="733"/>
      <c r="G574" s="733"/>
      <c r="H574" s="733"/>
      <c r="I574" s="734" t="s">
        <v>178</v>
      </c>
      <c r="J574" s="838">
        <v>0</v>
      </c>
      <c r="K574" s="977">
        <f>IFERROR(_xlfn.CEILING.MATH(J574,INDEX('СВОДНАЯ СПЕЦИФИКАЦИЯ'!$C$10:$C$408,MATCH(D574,'СВОДНАЯ СПЕЦИФИКАЦИЯ'!$D$10:$D$408,0))),"Введите кол-во")</f>
        <v>0</v>
      </c>
      <c r="L574" s="978">
        <f>INDEX('СВОДНАЯ СПЕЦИФИКАЦИЯ'!$H$10:$H$408,MATCH(D574,Таблица2[Наименование материала],0))</f>
        <v>0</v>
      </c>
      <c r="M574" s="979">
        <f t="shared" si="23"/>
        <v>0</v>
      </c>
      <c r="O574" s="934">
        <f t="shared" si="24"/>
        <v>0</v>
      </c>
      <c r="Q574" s="957"/>
      <c r="R574" s="957"/>
      <c r="S574" s="957"/>
      <c r="T574" s="957"/>
      <c r="U574" s="957"/>
      <c r="V574" s="957"/>
      <c r="W574" s="957"/>
      <c r="X574" s="934"/>
      <c r="Y574" s="934"/>
      <c r="Z574" s="934"/>
      <c r="AA574" s="934"/>
      <c r="AB574" s="987"/>
      <c r="AC574" s="934"/>
      <c r="AD574" s="934"/>
      <c r="AE574" s="934"/>
      <c r="AF574" s="934"/>
      <c r="AG574" s="934"/>
      <c r="AH574" s="934"/>
      <c r="AI574" s="934"/>
      <c r="AJ574" s="934"/>
    </row>
    <row r="575" spans="2:36" ht="15" hidden="1" customHeight="1">
      <c r="B575" s="1432"/>
      <c r="C575" s="909" t="s">
        <v>926</v>
      </c>
      <c r="D575" s="732" t="s">
        <v>923</v>
      </c>
      <c r="E575" s="733"/>
      <c r="F575" s="733"/>
      <c r="G575" s="733"/>
      <c r="H575" s="733"/>
      <c r="I575" s="734" t="s">
        <v>178</v>
      </c>
      <c r="J575" s="838">
        <v>0</v>
      </c>
      <c r="K575" s="977">
        <f>IFERROR(_xlfn.CEILING.MATH(J575,INDEX('СВОДНАЯ СПЕЦИФИКАЦИЯ'!$C$10:$C$408,MATCH(D575,'СВОДНАЯ СПЕЦИФИКАЦИЯ'!$D$10:$D$408,0))),"Введите кол-во")</f>
        <v>0</v>
      </c>
      <c r="L575" s="978">
        <f>INDEX('СВОДНАЯ СПЕЦИФИКАЦИЯ'!$H$10:$H$408,MATCH(D575,Таблица2[Наименование материала],0))</f>
        <v>0</v>
      </c>
      <c r="M575" s="979">
        <f t="shared" si="23"/>
        <v>0</v>
      </c>
      <c r="O575" s="934">
        <f t="shared" si="24"/>
        <v>0</v>
      </c>
      <c r="Q575" s="957"/>
      <c r="R575" s="957"/>
      <c r="S575" s="957"/>
      <c r="T575" s="957"/>
      <c r="U575" s="957"/>
      <c r="V575" s="957"/>
      <c r="W575" s="957"/>
      <c r="X575" s="934"/>
      <c r="Y575" s="934"/>
      <c r="Z575" s="934"/>
      <c r="AA575" s="934"/>
      <c r="AB575" s="987"/>
      <c r="AC575" s="934"/>
      <c r="AD575" s="934"/>
      <c r="AE575" s="934"/>
      <c r="AF575" s="934"/>
      <c r="AG575" s="934"/>
      <c r="AH575" s="934"/>
      <c r="AI575" s="934"/>
      <c r="AJ575" s="934"/>
    </row>
    <row r="576" spans="2:36" ht="15" hidden="1" customHeight="1">
      <c r="B576" s="1432"/>
      <c r="C576" s="909" t="s">
        <v>906</v>
      </c>
      <c r="D576" s="732" t="s">
        <v>895</v>
      </c>
      <c r="E576" s="733"/>
      <c r="F576" s="733"/>
      <c r="G576" s="733" t="s">
        <v>1461</v>
      </c>
      <c r="H576" s="733"/>
      <c r="I576" s="734" t="s">
        <v>178</v>
      </c>
      <c r="J576" s="838">
        <v>0</v>
      </c>
      <c r="K576" s="977">
        <f>IFERROR(_xlfn.CEILING.MATH(J576,INDEX('СВОДНАЯ СПЕЦИФИКАЦИЯ'!$C$10:$C$408,MATCH(D576,'СВОДНАЯ СПЕЦИФИКАЦИЯ'!$D$10:$D$408,0))),"Введите кол-во")</f>
        <v>0</v>
      </c>
      <c r="L576" s="978">
        <f>INDEX('СВОДНАЯ СПЕЦИФИКАЦИЯ'!$H$10:$H$408,MATCH(D576,Таблица2[Наименование материала],0))</f>
        <v>0</v>
      </c>
      <c r="M576" s="979">
        <f t="shared" si="23"/>
        <v>0</v>
      </c>
      <c r="O576" s="934">
        <f t="shared" si="24"/>
        <v>0</v>
      </c>
      <c r="Q576" s="957"/>
      <c r="R576" s="957"/>
      <c r="S576" s="957"/>
      <c r="T576" s="957"/>
      <c r="U576" s="957"/>
      <c r="V576" s="957"/>
      <c r="W576" s="957"/>
      <c r="X576" s="934"/>
      <c r="Y576" s="934"/>
      <c r="Z576" s="934"/>
      <c r="AA576" s="934"/>
      <c r="AB576" s="987"/>
      <c r="AC576" s="934"/>
      <c r="AD576" s="934"/>
      <c r="AE576" s="934"/>
      <c r="AF576" s="934"/>
      <c r="AG576" s="934"/>
      <c r="AH576" s="934"/>
      <c r="AI576" s="934"/>
      <c r="AJ576" s="934"/>
    </row>
    <row r="577" spans="2:36" ht="15" hidden="1" customHeight="1">
      <c r="B577" s="1432"/>
      <c r="C577" s="909" t="s">
        <v>907</v>
      </c>
      <c r="D577" s="732" t="s">
        <v>896</v>
      </c>
      <c r="E577" s="733"/>
      <c r="F577" s="733"/>
      <c r="G577" s="733" t="s">
        <v>1461</v>
      </c>
      <c r="H577" s="733"/>
      <c r="I577" s="734" t="s">
        <v>178</v>
      </c>
      <c r="J577" s="838">
        <v>0</v>
      </c>
      <c r="K577" s="977">
        <f>IFERROR(_xlfn.CEILING.MATH(J577,INDEX('СВОДНАЯ СПЕЦИФИКАЦИЯ'!$C$10:$C$408,MATCH(D577,'СВОДНАЯ СПЕЦИФИКАЦИЯ'!$D$10:$D$408,0))),"Введите кол-во")</f>
        <v>0</v>
      </c>
      <c r="L577" s="978">
        <f>INDEX('СВОДНАЯ СПЕЦИФИКАЦИЯ'!$H$10:$H$408,MATCH(D577,Таблица2[Наименование материала],0))</f>
        <v>0</v>
      </c>
      <c r="M577" s="979">
        <f t="shared" si="23"/>
        <v>0</v>
      </c>
      <c r="O577" s="934">
        <f t="shared" si="24"/>
        <v>0</v>
      </c>
      <c r="Q577" s="957"/>
      <c r="R577" s="957"/>
      <c r="S577" s="957"/>
      <c r="T577" s="957"/>
      <c r="U577" s="957"/>
      <c r="V577" s="957"/>
      <c r="W577" s="957"/>
      <c r="X577" s="934"/>
      <c r="Y577" s="934"/>
      <c r="Z577" s="934"/>
      <c r="AA577" s="934"/>
      <c r="AB577" s="987"/>
      <c r="AC577" s="934"/>
      <c r="AD577" s="934"/>
      <c r="AE577" s="934"/>
      <c r="AF577" s="934"/>
      <c r="AG577" s="934"/>
      <c r="AH577" s="934"/>
      <c r="AI577" s="934"/>
      <c r="AJ577" s="934"/>
    </row>
    <row r="578" spans="2:36" ht="15" hidden="1" customHeight="1">
      <c r="B578" s="1432"/>
      <c r="C578" s="909">
        <v>601853</v>
      </c>
      <c r="D578" s="732" t="s">
        <v>760</v>
      </c>
      <c r="E578" s="733"/>
      <c r="F578" s="733"/>
      <c r="G578" s="733" t="s">
        <v>1461</v>
      </c>
      <c r="H578" s="733"/>
      <c r="I578" s="734" t="s">
        <v>178</v>
      </c>
      <c r="J578" s="838">
        <v>0</v>
      </c>
      <c r="K578" s="977">
        <f>IFERROR(_xlfn.CEILING.MATH(J578,INDEX('СВОДНАЯ СПЕЦИФИКАЦИЯ'!$C$10:$C$408,MATCH(D578,'СВОДНАЯ СПЕЦИФИКАЦИЯ'!$D$10:$D$408,0))),"Введите кол-во")</f>
        <v>0</v>
      </c>
      <c r="L578" s="978">
        <f>INDEX('СВОДНАЯ СПЕЦИФИКАЦИЯ'!$H$10:$H$408,MATCH(D578,Таблица2[Наименование материала],0))</f>
        <v>0</v>
      </c>
      <c r="M578" s="979">
        <f t="shared" si="23"/>
        <v>0</v>
      </c>
      <c r="O578" s="934">
        <f t="shared" si="24"/>
        <v>0</v>
      </c>
      <c r="Q578" s="957"/>
      <c r="R578" s="957"/>
      <c r="S578" s="957"/>
      <c r="T578" s="957"/>
      <c r="U578" s="957"/>
      <c r="V578" s="957"/>
      <c r="W578" s="957"/>
      <c r="X578" s="934"/>
      <c r="Y578" s="934"/>
      <c r="Z578" s="934"/>
      <c r="AA578" s="934"/>
      <c r="AB578" s="987"/>
      <c r="AC578" s="934"/>
      <c r="AD578" s="934"/>
      <c r="AE578" s="934"/>
      <c r="AF578" s="934"/>
      <c r="AG578" s="934"/>
      <c r="AH578" s="934"/>
      <c r="AI578" s="934"/>
      <c r="AJ578" s="934"/>
    </row>
    <row r="579" spans="2:36" ht="15" hidden="1" customHeight="1">
      <c r="B579" s="1432"/>
      <c r="C579" s="909" t="s">
        <v>1089</v>
      </c>
      <c r="D579" s="732" t="s">
        <v>1088</v>
      </c>
      <c r="E579" s="733"/>
      <c r="F579" s="733"/>
      <c r="G579" s="733"/>
      <c r="H579" s="733"/>
      <c r="I579" s="734" t="s">
        <v>151</v>
      </c>
      <c r="J579" s="750">
        <v>0</v>
      </c>
      <c r="K579" s="977">
        <f>IFERROR(_xlfn.CEILING.MATH(J579,INDEX('СВОДНАЯ СПЕЦИФИКАЦИЯ'!$C$10:$C$408,MATCH(D579,'СВОДНАЯ СПЕЦИФИКАЦИЯ'!$D$10:$D$408,0))),"Введите кол-во")</f>
        <v>0</v>
      </c>
      <c r="L579" s="978">
        <f>INDEX('СВОДНАЯ СПЕЦИФИКАЦИЯ'!$H$10:$H$408,MATCH(D579,Таблица2[Наименование материала],0))</f>
        <v>0</v>
      </c>
      <c r="M579" s="979">
        <f t="shared" si="23"/>
        <v>0</v>
      </c>
      <c r="O579" s="934">
        <f t="shared" si="24"/>
        <v>0</v>
      </c>
      <c r="P579" s="993" t="s">
        <v>370</v>
      </c>
      <c r="Q579" s="984" t="s">
        <v>1088</v>
      </c>
      <c r="R579" s="989"/>
      <c r="S579" s="989"/>
      <c r="T579" s="986"/>
      <c r="U579" s="985"/>
      <c r="V579" s="957"/>
      <c r="W579" s="957"/>
      <c r="X579" s="934"/>
      <c r="Y579" s="934"/>
      <c r="Z579" s="1002" t="s">
        <v>1043</v>
      </c>
      <c r="AA579" s="934"/>
      <c r="AB579" s="987"/>
      <c r="AC579" s="934"/>
      <c r="AD579" s="934"/>
      <c r="AE579" s="934"/>
      <c r="AF579" s="934"/>
      <c r="AG579" s="934"/>
      <c r="AH579" s="934"/>
      <c r="AI579" s="934"/>
      <c r="AJ579" s="934"/>
    </row>
    <row r="580" spans="2:36" ht="15" hidden="1" customHeight="1">
      <c r="B580" s="1432"/>
      <c r="C580" s="909" t="s">
        <v>796</v>
      </c>
      <c r="D580" s="732" t="s">
        <v>1090</v>
      </c>
      <c r="E580" s="733"/>
      <c r="F580" s="733"/>
      <c r="G580" s="733"/>
      <c r="H580" s="733"/>
      <c r="I580" s="734" t="s">
        <v>151</v>
      </c>
      <c r="J580" s="750">
        <v>0</v>
      </c>
      <c r="K580" s="977">
        <f>IFERROR(_xlfn.CEILING.MATH(J580,INDEX('СВОДНАЯ СПЕЦИФИКАЦИЯ'!$C$10:$C$408,MATCH(D580,'СВОДНАЯ СПЕЦИФИКАЦИЯ'!$D$10:$D$408,0))),"Введите кол-во")</f>
        <v>0</v>
      </c>
      <c r="L580" s="978">
        <f>INDEX('СВОДНАЯ СПЕЦИФИКАЦИЯ'!$H$10:$H$408,MATCH(D580,Таблица2[Наименование материала],0))</f>
        <v>0</v>
      </c>
      <c r="M580" s="979">
        <f t="shared" si="23"/>
        <v>0</v>
      </c>
      <c r="O580" s="934">
        <f t="shared" si="24"/>
        <v>0</v>
      </c>
      <c r="P580" s="993"/>
      <c r="Q580" s="984" t="s">
        <v>1090</v>
      </c>
      <c r="R580" s="989"/>
      <c r="S580" s="989"/>
      <c r="T580" s="986"/>
      <c r="U580" s="985"/>
      <c r="V580" s="957"/>
      <c r="W580" s="957"/>
      <c r="X580" s="934"/>
      <c r="Y580" s="934"/>
      <c r="Z580" s="1002"/>
      <c r="AA580" s="934"/>
      <c r="AB580" s="987"/>
      <c r="AC580" s="934"/>
      <c r="AD580" s="934"/>
      <c r="AE580" s="934"/>
      <c r="AF580" s="934"/>
      <c r="AG580" s="934"/>
      <c r="AH580" s="934"/>
      <c r="AI580" s="934"/>
      <c r="AJ580" s="934"/>
    </row>
    <row r="581" spans="2:36" ht="15" hidden="1" customHeight="1">
      <c r="B581" s="1432"/>
      <c r="C581" s="909" t="s">
        <v>767</v>
      </c>
      <c r="D581" s="732" t="s">
        <v>1398</v>
      </c>
      <c r="E581" s="733"/>
      <c r="F581" s="733"/>
      <c r="G581" s="733"/>
      <c r="H581" s="733"/>
      <c r="I581" s="739" t="s">
        <v>151</v>
      </c>
      <c r="J581" s="750">
        <v>0</v>
      </c>
      <c r="K581" s="977">
        <f>IFERROR(_xlfn.CEILING.MATH(J581,INDEX('СВОДНАЯ СПЕЦИФИКАЦИЯ'!$C$10:$C$408,MATCH(D581,'СВОДНАЯ СПЕЦИФИКАЦИЯ'!$D$10:$D$408,0))),"Введите кол-во")</f>
        <v>0</v>
      </c>
      <c r="L581" s="978">
        <f>INDEX('СВОДНАЯ СПЕЦИФИКАЦИЯ'!$H$10:$H$408,MATCH(D581,Таблица2[Наименование материала],0))</f>
        <v>0</v>
      </c>
      <c r="M581" s="979">
        <f t="shared" si="23"/>
        <v>0</v>
      </c>
      <c r="O581" s="934">
        <f t="shared" si="24"/>
        <v>0</v>
      </c>
      <c r="Q581" s="984" t="s">
        <v>268</v>
      </c>
      <c r="R581" s="989"/>
      <c r="S581" s="989"/>
      <c r="T581" s="986">
        <v>20</v>
      </c>
      <c r="U581" s="985" t="s">
        <v>150</v>
      </c>
      <c r="V581" s="957"/>
      <c r="W581" s="957"/>
      <c r="X581" s="934"/>
      <c r="Y581" s="934"/>
      <c r="Z581" s="934"/>
      <c r="AA581" s="934"/>
      <c r="AB581" s="987"/>
      <c r="AC581" s="934"/>
      <c r="AD581" s="934"/>
      <c r="AE581" s="934"/>
      <c r="AF581" s="934"/>
      <c r="AG581" s="934"/>
      <c r="AH581" s="934"/>
      <c r="AI581" s="934"/>
      <c r="AJ581" s="934"/>
    </row>
    <row r="582" spans="2:36" ht="15" hidden="1" customHeight="1">
      <c r="B582" s="1432"/>
      <c r="C582" s="909">
        <v>335517</v>
      </c>
      <c r="D582" s="732" t="s">
        <v>1399</v>
      </c>
      <c r="E582" s="733"/>
      <c r="F582" s="733"/>
      <c r="G582" s="733"/>
      <c r="H582" s="733"/>
      <c r="I582" s="739" t="s">
        <v>151</v>
      </c>
      <c r="J582" s="750">
        <v>0</v>
      </c>
      <c r="K582" s="977">
        <f>IFERROR(_xlfn.CEILING.MATH(J582,INDEX('СВОДНАЯ СПЕЦИФИКАЦИЯ'!$C$10:$C$408,MATCH(D582,'СВОДНАЯ СПЕЦИФИКАЦИЯ'!$D$10:$D$408,0))),"Введите кол-во")</f>
        <v>0</v>
      </c>
      <c r="L582" s="978">
        <f>INDEX('СВОДНАЯ СПЕЦИФИКАЦИЯ'!$H$10:$H$408,MATCH(D582,Таблица2[Наименование материала],0))</f>
        <v>0</v>
      </c>
      <c r="M582" s="979">
        <f t="shared" si="23"/>
        <v>0</v>
      </c>
      <c r="O582" s="934">
        <f t="shared" si="24"/>
        <v>0</v>
      </c>
      <c r="Q582" s="984" t="s">
        <v>268</v>
      </c>
      <c r="R582" s="989"/>
      <c r="S582" s="989"/>
      <c r="T582" s="986">
        <v>50</v>
      </c>
      <c r="U582" s="985" t="s">
        <v>150</v>
      </c>
      <c r="V582" s="957"/>
      <c r="W582" s="957"/>
      <c r="X582" s="934"/>
      <c r="Y582" s="934"/>
      <c r="Z582" s="934"/>
      <c r="AA582" s="934"/>
      <c r="AB582" s="987"/>
      <c r="AC582" s="934"/>
      <c r="AD582" s="934"/>
      <c r="AE582" s="934"/>
      <c r="AF582" s="934"/>
      <c r="AG582" s="934"/>
      <c r="AH582" s="934"/>
      <c r="AI582" s="934"/>
      <c r="AJ582" s="934"/>
    </row>
    <row r="583" spans="2:36" ht="15" hidden="1" customHeight="1">
      <c r="B583" s="1432"/>
      <c r="C583" s="909">
        <v>291504</v>
      </c>
      <c r="D583" s="732" t="s">
        <v>1400</v>
      </c>
      <c r="E583" s="733"/>
      <c r="F583" s="733"/>
      <c r="G583" s="733"/>
      <c r="H583" s="733"/>
      <c r="I583" s="739" t="s">
        <v>151</v>
      </c>
      <c r="J583" s="750">
        <v>0</v>
      </c>
      <c r="K583" s="977">
        <f>IFERROR(_xlfn.CEILING.MATH(J583,INDEX('СВОДНАЯ СПЕЦИФИКАЦИЯ'!$C$10:$C$408,MATCH(D583,'СВОДНАЯ СПЕЦИФИКАЦИЯ'!$D$10:$D$408,0))),"Введите кол-во")</f>
        <v>0</v>
      </c>
      <c r="L583" s="978">
        <f>INDEX('СВОДНАЯ СПЕЦИФИКАЦИЯ'!$H$10:$H$408,MATCH(D583,Таблица2[Наименование материала],0))</f>
        <v>0</v>
      </c>
      <c r="M583" s="979">
        <f t="shared" si="23"/>
        <v>0</v>
      </c>
      <c r="O583" s="934">
        <f t="shared" si="24"/>
        <v>0</v>
      </c>
      <c r="Q583" s="984" t="s">
        <v>268</v>
      </c>
      <c r="R583" s="989"/>
      <c r="S583" s="989"/>
      <c r="T583" s="986">
        <v>80</v>
      </c>
      <c r="U583" s="985" t="s">
        <v>150</v>
      </c>
      <c r="V583" s="957"/>
      <c r="W583" s="957"/>
      <c r="X583" s="934"/>
      <c r="Y583" s="934"/>
      <c r="Z583" s="934"/>
      <c r="AA583" s="934"/>
      <c r="AB583" s="987"/>
      <c r="AC583" s="934"/>
      <c r="AD583" s="934"/>
      <c r="AE583" s="934"/>
      <c r="AF583" s="934"/>
      <c r="AG583" s="934"/>
      <c r="AH583" s="934"/>
      <c r="AI583" s="934"/>
      <c r="AJ583" s="934"/>
    </row>
    <row r="584" spans="2:36" ht="15" hidden="1" customHeight="1">
      <c r="B584" s="1432"/>
      <c r="C584" s="909">
        <v>291502</v>
      </c>
      <c r="D584" s="732" t="s">
        <v>1401</v>
      </c>
      <c r="E584" s="733"/>
      <c r="F584" s="733"/>
      <c r="G584" s="733"/>
      <c r="H584" s="733"/>
      <c r="I584" s="739" t="s">
        <v>151</v>
      </c>
      <c r="J584" s="750">
        <v>0</v>
      </c>
      <c r="K584" s="977">
        <f>IFERROR(_xlfn.CEILING.MATH(J584,INDEX('СВОДНАЯ СПЕЦИФИКАЦИЯ'!$C$10:$C$408,MATCH(D584,'СВОДНАЯ СПЕЦИФИКАЦИЯ'!$D$10:$D$408,0))),"Введите кол-во")</f>
        <v>0</v>
      </c>
      <c r="L584" s="978">
        <f>INDEX('СВОДНАЯ СПЕЦИФИКАЦИЯ'!$H$10:$H$408,MATCH(D584,Таблица2[Наименование материала],0))</f>
        <v>0</v>
      </c>
      <c r="M584" s="979">
        <f t="shared" si="23"/>
        <v>0</v>
      </c>
      <c r="O584" s="934">
        <f t="shared" si="24"/>
        <v>0</v>
      </c>
      <c r="Q584" s="984" t="s">
        <v>268</v>
      </c>
      <c r="R584" s="989"/>
      <c r="S584" s="989"/>
      <c r="T584" s="986">
        <v>100</v>
      </c>
      <c r="U584" s="985" t="s">
        <v>150</v>
      </c>
      <c r="V584" s="957"/>
      <c r="W584" s="957"/>
      <c r="X584" s="934"/>
      <c r="Y584" s="934"/>
      <c r="Z584" s="934"/>
      <c r="AA584" s="934"/>
      <c r="AB584" s="987"/>
      <c r="AC584" s="934"/>
      <c r="AD584" s="934"/>
      <c r="AE584" s="934"/>
      <c r="AF584" s="934"/>
      <c r="AG584" s="934"/>
      <c r="AH584" s="934"/>
      <c r="AI584" s="934"/>
      <c r="AJ584" s="934"/>
    </row>
    <row r="585" spans="2:36" ht="15" hidden="1" customHeight="1">
      <c r="B585" s="1432"/>
      <c r="C585" s="909">
        <v>291503</v>
      </c>
      <c r="D585" s="732" t="s">
        <v>1402</v>
      </c>
      <c r="E585" s="733"/>
      <c r="F585" s="733"/>
      <c r="G585" s="733"/>
      <c r="H585" s="733"/>
      <c r="I585" s="739" t="s">
        <v>151</v>
      </c>
      <c r="J585" s="750">
        <v>0</v>
      </c>
      <c r="K585" s="977">
        <f>IFERROR(_xlfn.CEILING.MATH(J585,INDEX('СВОДНАЯ СПЕЦИФИКАЦИЯ'!$C$10:$C$408,MATCH(D585,'СВОДНАЯ СПЕЦИФИКАЦИЯ'!$D$10:$D$408,0))),"Введите кол-во")</f>
        <v>0</v>
      </c>
      <c r="L585" s="978">
        <f>INDEX('СВОДНАЯ СПЕЦИФИКАЦИЯ'!$H$10:$H$408,MATCH(D585,Таблица2[Наименование материала],0))</f>
        <v>0</v>
      </c>
      <c r="M585" s="979">
        <f t="shared" si="23"/>
        <v>0</v>
      </c>
      <c r="O585" s="934">
        <f t="shared" si="24"/>
        <v>0</v>
      </c>
      <c r="Q585" s="984" t="s">
        <v>268</v>
      </c>
      <c r="R585" s="989"/>
      <c r="S585" s="989"/>
      <c r="T585" s="986">
        <v>120</v>
      </c>
      <c r="U585" s="985" t="s">
        <v>150</v>
      </c>
      <c r="V585" s="957"/>
      <c r="W585" s="957"/>
      <c r="X585" s="934"/>
      <c r="Y585" s="934"/>
      <c r="Z585" s="934"/>
      <c r="AA585" s="934"/>
      <c r="AB585" s="987"/>
      <c r="AC585" s="934"/>
      <c r="AD585" s="934"/>
      <c r="AE585" s="934"/>
      <c r="AF585" s="934"/>
      <c r="AG585" s="934"/>
      <c r="AH585" s="934"/>
      <c r="AI585" s="934"/>
      <c r="AJ585" s="934"/>
    </row>
    <row r="586" spans="2:36" ht="15" hidden="1" customHeight="1">
      <c r="B586" s="1432"/>
      <c r="C586" s="909">
        <v>335923</v>
      </c>
      <c r="D586" s="732" t="s">
        <v>1403</v>
      </c>
      <c r="E586" s="733"/>
      <c r="F586" s="733"/>
      <c r="G586" s="733"/>
      <c r="H586" s="733"/>
      <c r="I586" s="739" t="s">
        <v>151</v>
      </c>
      <c r="J586" s="750">
        <v>0</v>
      </c>
      <c r="K586" s="977">
        <f>IFERROR(_xlfn.CEILING.MATH(J586,INDEX('СВОДНАЯ СПЕЦИФИКАЦИЯ'!$C$10:$C$408,MATCH(D586,'СВОДНАЯ СПЕЦИФИКАЦИЯ'!$D$10:$D$408,0))),"Введите кол-во")</f>
        <v>0</v>
      </c>
      <c r="L586" s="978">
        <f>INDEX('СВОДНАЯ СПЕЦИФИКАЦИЯ'!$H$10:$H$408,MATCH(D586,Таблица2[Наименование материала],0))</f>
        <v>0</v>
      </c>
      <c r="M586" s="979">
        <f t="shared" si="23"/>
        <v>0</v>
      </c>
      <c r="O586" s="934">
        <f t="shared" si="24"/>
        <v>0</v>
      </c>
      <c r="Q586" s="984" t="s">
        <v>268</v>
      </c>
      <c r="R586" s="989"/>
      <c r="S586" s="989"/>
      <c r="T586" s="986">
        <v>130</v>
      </c>
      <c r="U586" s="985" t="s">
        <v>150</v>
      </c>
      <c r="V586" s="957"/>
      <c r="W586" s="957"/>
      <c r="X586" s="934"/>
      <c r="Y586" s="934"/>
      <c r="Z586" s="934"/>
      <c r="AA586" s="934"/>
      <c r="AB586" s="987"/>
      <c r="AC586" s="934"/>
      <c r="AD586" s="934"/>
      <c r="AE586" s="934"/>
      <c r="AF586" s="934"/>
      <c r="AG586" s="934"/>
      <c r="AH586" s="934"/>
      <c r="AI586" s="934"/>
      <c r="AJ586" s="934"/>
    </row>
    <row r="587" spans="2:36" ht="15" hidden="1" customHeight="1">
      <c r="B587" s="1432"/>
      <c r="C587" s="909">
        <v>336704</v>
      </c>
      <c r="D587" s="732" t="s">
        <v>1404</v>
      </c>
      <c r="E587" s="733"/>
      <c r="F587" s="733"/>
      <c r="G587" s="733"/>
      <c r="H587" s="733"/>
      <c r="I587" s="739" t="s">
        <v>151</v>
      </c>
      <c r="J587" s="750">
        <v>0</v>
      </c>
      <c r="K587" s="977">
        <f>IFERROR(_xlfn.CEILING.MATH(J587,INDEX('СВОДНАЯ СПЕЦИФИКАЦИЯ'!$C$10:$C$408,MATCH(D587,'СВОДНАЯ СПЕЦИФИКАЦИЯ'!$D$10:$D$408,0))),"Введите кол-во")</f>
        <v>0</v>
      </c>
      <c r="L587" s="978">
        <f>INDEX('СВОДНАЯ СПЕЦИФИКАЦИЯ'!$H$10:$H$408,MATCH(D587,Таблица2[Наименование материала],0))</f>
        <v>0</v>
      </c>
      <c r="M587" s="979">
        <f t="shared" si="23"/>
        <v>0</v>
      </c>
      <c r="O587" s="934">
        <f t="shared" si="24"/>
        <v>0</v>
      </c>
      <c r="Q587" s="984" t="s">
        <v>268</v>
      </c>
      <c r="R587" s="989"/>
      <c r="S587" s="989"/>
      <c r="T587" s="986">
        <v>140</v>
      </c>
      <c r="U587" s="985" t="s">
        <v>150</v>
      </c>
      <c r="V587" s="957"/>
      <c r="W587" s="957"/>
      <c r="X587" s="934"/>
      <c r="Y587" s="934"/>
      <c r="Z587" s="934"/>
      <c r="AA587" s="934"/>
      <c r="AB587" s="987"/>
      <c r="AC587" s="934"/>
      <c r="AD587" s="934"/>
      <c r="AE587" s="934"/>
      <c r="AF587" s="934"/>
      <c r="AG587" s="934"/>
      <c r="AH587" s="934"/>
      <c r="AI587" s="934"/>
      <c r="AJ587" s="934"/>
    </row>
    <row r="588" spans="2:36" ht="15" hidden="1" customHeight="1">
      <c r="B588" s="1432"/>
      <c r="C588" s="909">
        <v>329259</v>
      </c>
      <c r="D588" s="732" t="s">
        <v>1405</v>
      </c>
      <c r="E588" s="733"/>
      <c r="F588" s="733"/>
      <c r="G588" s="733"/>
      <c r="H588" s="733"/>
      <c r="I588" s="739" t="s">
        <v>151</v>
      </c>
      <c r="J588" s="750">
        <v>0</v>
      </c>
      <c r="K588" s="977">
        <f>IFERROR(_xlfn.CEILING.MATH(J588,INDEX('СВОДНАЯ СПЕЦИФИКАЦИЯ'!$C$10:$C$408,MATCH(D588,'СВОДНАЯ СПЕЦИФИКАЦИЯ'!$D$10:$D$408,0))),"Введите кол-во")</f>
        <v>0</v>
      </c>
      <c r="L588" s="978">
        <f>INDEX('СВОДНАЯ СПЕЦИФИКАЦИЯ'!$H$10:$H$408,MATCH(D588,Таблица2[Наименование материала],0))</f>
        <v>0</v>
      </c>
      <c r="M588" s="979">
        <f t="shared" si="23"/>
        <v>0</v>
      </c>
      <c r="O588" s="934">
        <f t="shared" si="24"/>
        <v>0</v>
      </c>
      <c r="Q588" s="984" t="s">
        <v>268</v>
      </c>
      <c r="R588" s="989"/>
      <c r="S588" s="989"/>
      <c r="T588" s="986">
        <v>150</v>
      </c>
      <c r="U588" s="985" t="s">
        <v>150</v>
      </c>
      <c r="V588" s="957"/>
      <c r="W588" s="957"/>
      <c r="X588" s="934"/>
      <c r="Y588" s="934"/>
      <c r="Z588" s="934"/>
      <c r="AA588" s="934"/>
      <c r="AB588" s="987"/>
      <c r="AC588" s="934"/>
      <c r="AD588" s="934"/>
      <c r="AE588" s="934"/>
      <c r="AF588" s="934"/>
      <c r="AG588" s="934"/>
      <c r="AH588" s="934"/>
      <c r="AI588" s="934"/>
      <c r="AJ588" s="934"/>
    </row>
    <row r="589" spans="2:36" ht="15" hidden="1" customHeight="1">
      <c r="B589" s="1432"/>
      <c r="C589" s="909" t="s">
        <v>768</v>
      </c>
      <c r="D589" s="732" t="s">
        <v>1406</v>
      </c>
      <c r="E589" s="733"/>
      <c r="F589" s="733"/>
      <c r="G589" s="733"/>
      <c r="H589" s="733"/>
      <c r="I589" s="739" t="s">
        <v>151</v>
      </c>
      <c r="J589" s="750">
        <v>0</v>
      </c>
      <c r="K589" s="977">
        <f>IFERROR(_xlfn.CEILING.MATH(J589,INDEX('СВОДНАЯ СПЕЦИФИКАЦИЯ'!$C$10:$C$408,MATCH(D589,'СВОДНАЯ СПЕЦИФИКАЦИЯ'!$D$10:$D$408,0))),"Введите кол-во")</f>
        <v>0</v>
      </c>
      <c r="L589" s="978">
        <f>INDEX('СВОДНАЯ СПЕЦИФИКАЦИЯ'!$H$10:$H$408,MATCH(D589,Таблица2[Наименование материала],0))</f>
        <v>0</v>
      </c>
      <c r="M589" s="979">
        <f t="shared" si="23"/>
        <v>0</v>
      </c>
      <c r="O589" s="934">
        <f t="shared" si="24"/>
        <v>0</v>
      </c>
      <c r="Q589" s="984" t="s">
        <v>268</v>
      </c>
      <c r="R589" s="989"/>
      <c r="S589" s="989"/>
      <c r="T589" s="986">
        <v>170</v>
      </c>
      <c r="U589" s="985" t="s">
        <v>150</v>
      </c>
      <c r="V589" s="957"/>
      <c r="W589" s="957"/>
      <c r="X589" s="934"/>
      <c r="Y589" s="934"/>
      <c r="Z589" s="934"/>
      <c r="AA589" s="934"/>
      <c r="AB589" s="987"/>
      <c r="AC589" s="934"/>
      <c r="AD589" s="934"/>
      <c r="AE589" s="934"/>
      <c r="AF589" s="934"/>
      <c r="AG589" s="934"/>
      <c r="AH589" s="934"/>
      <c r="AI589" s="934"/>
      <c r="AJ589" s="934"/>
    </row>
    <row r="590" spans="2:36" ht="15" customHeight="1">
      <c r="B590" s="1432"/>
      <c r="C590" s="909" t="s">
        <v>769</v>
      </c>
      <c r="D590" s="732" t="s">
        <v>1407</v>
      </c>
      <c r="E590" s="733"/>
      <c r="F590" s="733"/>
      <c r="G590" s="733"/>
      <c r="H590" s="733"/>
      <c r="I590" s="739" t="s">
        <v>151</v>
      </c>
      <c r="J590" s="750">
        <v>12002</v>
      </c>
      <c r="K590" s="977">
        <f>IFERROR(_xlfn.CEILING.MATH(J590,INDEX('СВОДНАЯ СПЕЦИФИКАЦИЯ'!$C$10:$C$408,MATCH(D590,'СВОДНАЯ СПЕЦИФИКАЦИЯ'!$D$10:$D$408,0))),"Введите кол-во")</f>
        <v>12210</v>
      </c>
      <c r="L590" s="978">
        <f>INDEX('СВОДНАЯ СПЕЦИФИКАЦИЯ'!$H$10:$H$408,MATCH(D590,Таблица2[Наименование материала],0))</f>
        <v>0</v>
      </c>
      <c r="M590" s="979">
        <f t="shared" si="23"/>
        <v>0</v>
      </c>
      <c r="O590" s="934">
        <f t="shared" si="24"/>
        <v>1</v>
      </c>
      <c r="Q590" s="984" t="s">
        <v>268</v>
      </c>
      <c r="R590" s="989"/>
      <c r="S590" s="989"/>
      <c r="T590" s="986">
        <v>180</v>
      </c>
      <c r="U590" s="985" t="s">
        <v>150</v>
      </c>
      <c r="V590" s="957"/>
      <c r="W590" s="957"/>
      <c r="X590" s="934"/>
      <c r="Y590" s="934"/>
      <c r="Z590" s="934"/>
      <c r="AA590" s="934"/>
      <c r="AB590" s="987"/>
      <c r="AC590" s="934"/>
      <c r="AD590" s="934"/>
      <c r="AE590" s="934"/>
      <c r="AF590" s="934"/>
      <c r="AG590" s="934"/>
      <c r="AH590" s="934"/>
      <c r="AI590" s="934"/>
      <c r="AJ590" s="934"/>
    </row>
    <row r="591" spans="2:36" ht="15" customHeight="1">
      <c r="B591" s="1432"/>
      <c r="C591" s="909" t="s">
        <v>770</v>
      </c>
      <c r="D591" s="732" t="s">
        <v>1408</v>
      </c>
      <c r="E591" s="733"/>
      <c r="F591" s="733"/>
      <c r="G591" s="733"/>
      <c r="H591" s="733"/>
      <c r="I591" s="739" t="s">
        <v>151</v>
      </c>
      <c r="J591" s="750">
        <v>26</v>
      </c>
      <c r="K591" s="977">
        <f>IFERROR(_xlfn.CEILING.MATH(J591,INDEX('СВОДНАЯ СПЕЦИФИКАЦИЯ'!$C$10:$C$408,MATCH(D591,'СВОДНАЯ СПЕЦИФИКАЦИЯ'!$D$10:$D$408,0))),"Введите кол-во")</f>
        <v>280</v>
      </c>
      <c r="L591" s="978">
        <f>INDEX('СВОДНАЯ СПЕЦИФИКАЦИЯ'!$H$10:$H$408,MATCH(D591,Таблица2[Наименование материала],0))</f>
        <v>0</v>
      </c>
      <c r="M591" s="979">
        <f t="shared" si="23"/>
        <v>0</v>
      </c>
      <c r="O591" s="934">
        <f t="shared" si="24"/>
        <v>1</v>
      </c>
      <c r="Q591" s="984" t="s">
        <v>268</v>
      </c>
      <c r="R591" s="989"/>
      <c r="S591" s="989"/>
      <c r="T591" s="986">
        <v>200</v>
      </c>
      <c r="U591" s="985" t="s">
        <v>150</v>
      </c>
      <c r="V591" s="957"/>
      <c r="W591" s="957"/>
      <c r="X591" s="934"/>
      <c r="Y591" s="934"/>
      <c r="Z591" s="934"/>
      <c r="AA591" s="934"/>
      <c r="AB591" s="987"/>
      <c r="AC591" s="934"/>
      <c r="AD591" s="934"/>
      <c r="AE591" s="934"/>
      <c r="AF591" s="934"/>
      <c r="AG591" s="934"/>
      <c r="AH591" s="934"/>
      <c r="AI591" s="934"/>
      <c r="AJ591" s="934"/>
    </row>
    <row r="592" spans="2:36" ht="15" customHeight="1">
      <c r="B592" s="1432"/>
      <c r="C592" s="909" t="s">
        <v>771</v>
      </c>
      <c r="D592" s="732" t="s">
        <v>1409</v>
      </c>
      <c r="E592" s="733"/>
      <c r="F592" s="733"/>
      <c r="G592" s="733"/>
      <c r="H592" s="733"/>
      <c r="I592" s="739" t="s">
        <v>151</v>
      </c>
      <c r="J592" s="750">
        <v>49</v>
      </c>
      <c r="K592" s="977">
        <f>IFERROR(_xlfn.CEILING.MATH(J592,INDEX('СВОДНАЯ СПЕЦИФИКАЦИЯ'!$C$10:$C$408,MATCH(D592,'СВОДНАЯ СПЕЦИФИКАЦИЯ'!$D$10:$D$408,0))),"Введите кол-во")</f>
        <v>260</v>
      </c>
      <c r="L592" s="978">
        <f>INDEX('СВОДНАЯ СПЕЦИФИКАЦИЯ'!$H$10:$H$408,MATCH(D592,Таблица2[Наименование материала],0))</f>
        <v>0</v>
      </c>
      <c r="M592" s="979">
        <f t="shared" si="23"/>
        <v>0</v>
      </c>
      <c r="O592" s="934">
        <f t="shared" si="24"/>
        <v>1</v>
      </c>
      <c r="Q592" s="984" t="s">
        <v>268</v>
      </c>
      <c r="R592" s="989"/>
      <c r="S592" s="989"/>
      <c r="T592" s="986">
        <v>220</v>
      </c>
      <c r="U592" s="985" t="s">
        <v>150</v>
      </c>
      <c r="V592" s="957"/>
      <c r="W592" s="957"/>
      <c r="X592" s="934"/>
      <c r="Y592" s="934"/>
      <c r="Z592" s="934"/>
      <c r="AA592" s="934"/>
      <c r="AB592" s="987"/>
      <c r="AC592" s="934"/>
      <c r="AD592" s="934"/>
      <c r="AE592" s="934"/>
      <c r="AF592" s="934"/>
      <c r="AG592" s="934"/>
      <c r="AH592" s="934"/>
      <c r="AI592" s="934"/>
      <c r="AJ592" s="934"/>
    </row>
    <row r="593" spans="1:36" ht="15" customHeight="1">
      <c r="B593" s="1432"/>
      <c r="C593" s="909">
        <v>422430</v>
      </c>
      <c r="D593" s="732" t="s">
        <v>1410</v>
      </c>
      <c r="E593" s="733"/>
      <c r="F593" s="733"/>
      <c r="G593" s="733"/>
      <c r="H593" s="733"/>
      <c r="I593" s="739" t="s">
        <v>151</v>
      </c>
      <c r="J593" s="750">
        <v>49</v>
      </c>
      <c r="K593" s="977">
        <f>IFERROR(_xlfn.CEILING.MATH(J593,INDEX('СВОДНАЯ СПЕЦИФИКАЦИЯ'!$C$10:$C$408,MATCH(D593,'СВОДНАЯ СПЕЦИФИКАЦИЯ'!$D$10:$D$408,0))),"Введите кол-во")</f>
        <v>240</v>
      </c>
      <c r="L593" s="978">
        <f>INDEX('СВОДНАЯ СПЕЦИФИКАЦИЯ'!$H$10:$H$408,MATCH(D593,Таблица2[Наименование материала],0))</f>
        <v>0</v>
      </c>
      <c r="M593" s="979">
        <f t="shared" si="23"/>
        <v>0</v>
      </c>
      <c r="O593" s="934">
        <f t="shared" si="24"/>
        <v>1</v>
      </c>
      <c r="Q593" s="984" t="s">
        <v>268</v>
      </c>
      <c r="R593" s="989"/>
      <c r="S593" s="989"/>
      <c r="T593" s="986">
        <v>240</v>
      </c>
      <c r="U593" s="985" t="s">
        <v>150</v>
      </c>
      <c r="V593" s="957"/>
      <c r="W593" s="957"/>
      <c r="X593" s="934"/>
      <c r="Y593" s="934"/>
      <c r="Z593" s="934"/>
      <c r="AA593" s="934"/>
      <c r="AB593" s="987"/>
      <c r="AC593" s="934"/>
      <c r="AD593" s="934"/>
      <c r="AE593" s="934"/>
      <c r="AF593" s="934"/>
      <c r="AG593" s="934"/>
      <c r="AH593" s="934"/>
      <c r="AI593" s="934"/>
      <c r="AJ593" s="934"/>
    </row>
    <row r="594" spans="1:36" ht="15" customHeight="1">
      <c r="B594" s="1432"/>
      <c r="C594" s="909" t="s">
        <v>772</v>
      </c>
      <c r="D594" s="732" t="s">
        <v>1411</v>
      </c>
      <c r="E594" s="733"/>
      <c r="F594" s="733"/>
      <c r="G594" s="733"/>
      <c r="H594" s="733"/>
      <c r="I594" s="739" t="s">
        <v>151</v>
      </c>
      <c r="J594" s="750">
        <v>98</v>
      </c>
      <c r="K594" s="977">
        <f>IFERROR(_xlfn.CEILING.MATH(J594,INDEX('СВОДНАЯ СПЕЦИФИКАЦИЯ'!$C$10:$C$408,MATCH(D594,'СВОДНАЯ СПЕЦИФИКАЦИЯ'!$D$10:$D$408,0))),"Введите кол-во")</f>
        <v>220</v>
      </c>
      <c r="L594" s="978">
        <f>INDEX('СВОДНАЯ СПЕЦИФИКАЦИЯ'!$H$10:$H$408,MATCH(D594,Таблица2[Наименование материала],0))</f>
        <v>0</v>
      </c>
      <c r="M594" s="979">
        <f t="shared" si="23"/>
        <v>0</v>
      </c>
      <c r="O594" s="934">
        <f t="shared" si="24"/>
        <v>1</v>
      </c>
      <c r="Q594" s="984" t="s">
        <v>268</v>
      </c>
      <c r="R594" s="989"/>
      <c r="S594" s="989"/>
      <c r="T594" s="986">
        <v>260</v>
      </c>
      <c r="U594" s="985" t="s">
        <v>150</v>
      </c>
      <c r="V594" s="957"/>
      <c r="W594" s="957"/>
      <c r="X594" s="934"/>
      <c r="Y594" s="934"/>
      <c r="Z594" s="934"/>
      <c r="AA594" s="934"/>
      <c r="AB594" s="987"/>
      <c r="AC594" s="934"/>
      <c r="AD594" s="934"/>
      <c r="AE594" s="934"/>
      <c r="AF594" s="934"/>
      <c r="AG594" s="934"/>
      <c r="AH594" s="934"/>
      <c r="AI594" s="934"/>
      <c r="AJ594" s="934"/>
    </row>
    <row r="595" spans="1:36" ht="15" customHeight="1">
      <c r="B595" s="1432"/>
      <c r="C595" s="909" t="s">
        <v>937</v>
      </c>
      <c r="D595" s="732" t="s">
        <v>1413</v>
      </c>
      <c r="E595" s="733"/>
      <c r="F595" s="733"/>
      <c r="G595" s="733"/>
      <c r="H595" s="733"/>
      <c r="I595" s="739" t="s">
        <v>151</v>
      </c>
      <c r="J595" s="750">
        <v>76</v>
      </c>
      <c r="K595" s="977">
        <f>IFERROR(_xlfn.CEILING.MATH(J595,INDEX('СВОДНАЯ СПЕЦИФИКАЦИЯ'!$C$10:$C$408,MATCH(D595,'СВОДНАЯ СПЕЦИФИКАЦИЯ'!$D$10:$D$408,0))),"Введите кол-во")</f>
        <v>180</v>
      </c>
      <c r="L595" s="978">
        <f>INDEX('СВОДНАЯ СПЕЦИФИКАЦИЯ'!$H$10:$H$408,MATCH(D595,Таблица2[Наименование материала],0))</f>
        <v>0</v>
      </c>
      <c r="M595" s="979">
        <f t="shared" si="23"/>
        <v>0</v>
      </c>
      <c r="O595" s="934">
        <f t="shared" si="24"/>
        <v>1</v>
      </c>
      <c r="Q595" s="984" t="s">
        <v>268</v>
      </c>
      <c r="R595" s="989"/>
      <c r="S595" s="989"/>
      <c r="T595" s="986">
        <v>300</v>
      </c>
      <c r="U595" s="985" t="s">
        <v>150</v>
      </c>
      <c r="V595" s="957"/>
      <c r="W595" s="957"/>
      <c r="X595" s="934"/>
      <c r="Y595" s="934"/>
      <c r="Z595" s="934"/>
      <c r="AA595" s="934"/>
      <c r="AB595" s="987"/>
      <c r="AC595" s="934"/>
      <c r="AD595" s="934"/>
      <c r="AE595" s="934"/>
      <c r="AF595" s="934"/>
      <c r="AG595" s="934"/>
      <c r="AH595" s="934"/>
      <c r="AI595" s="934"/>
      <c r="AJ595" s="934"/>
    </row>
    <row r="596" spans="1:36" ht="15" hidden="1" customHeight="1">
      <c r="B596" s="1432"/>
      <c r="C596" s="909" t="s">
        <v>938</v>
      </c>
      <c r="D596" s="732" t="s">
        <v>1414</v>
      </c>
      <c r="E596" s="733"/>
      <c r="F596" s="733"/>
      <c r="G596" s="733"/>
      <c r="H596" s="733"/>
      <c r="I596" s="739" t="s">
        <v>151</v>
      </c>
      <c r="J596" s="750">
        <v>0</v>
      </c>
      <c r="K596" s="977">
        <f>IFERROR(_xlfn.CEILING.MATH(J596,INDEX('СВОДНАЯ СПЕЦИФИКАЦИЯ'!$C$10:$C$408,MATCH(D596,'СВОДНАЯ СПЕЦИФИКАЦИЯ'!$D$10:$D$408,0))),"Введите кол-во")</f>
        <v>0</v>
      </c>
      <c r="L596" s="978">
        <f>INDEX('СВОДНАЯ СПЕЦИФИКАЦИЯ'!$H$10:$H$408,MATCH(D596,Таблица2[Наименование материала],0))</f>
        <v>0</v>
      </c>
      <c r="M596" s="979">
        <f t="shared" si="23"/>
        <v>0</v>
      </c>
      <c r="O596" s="934">
        <f t="shared" si="24"/>
        <v>0</v>
      </c>
      <c r="Q596" s="984" t="s">
        <v>268</v>
      </c>
      <c r="R596" s="989"/>
      <c r="S596" s="989"/>
      <c r="T596" s="986">
        <v>350</v>
      </c>
      <c r="U596" s="985" t="s">
        <v>150</v>
      </c>
      <c r="V596" s="957"/>
      <c r="W596" s="957"/>
      <c r="X596" s="934"/>
      <c r="Y596" s="934"/>
      <c r="Z596" s="934"/>
      <c r="AA596" s="934"/>
      <c r="AB596" s="987"/>
      <c r="AC596" s="934"/>
      <c r="AD596" s="934"/>
      <c r="AE596" s="934"/>
      <c r="AF596" s="934"/>
      <c r="AG596" s="934"/>
      <c r="AH596" s="934"/>
      <c r="AI596" s="934"/>
      <c r="AJ596" s="934"/>
    </row>
    <row r="597" spans="1:36" ht="15" hidden="1" customHeight="1">
      <c r="B597" s="1432"/>
      <c r="C597" s="909" t="s">
        <v>296</v>
      </c>
      <c r="D597" s="732" t="s">
        <v>1538</v>
      </c>
      <c r="E597" s="733"/>
      <c r="F597" s="733"/>
      <c r="G597" s="733"/>
      <c r="H597" s="733"/>
      <c r="I597" s="739" t="s">
        <v>151</v>
      </c>
      <c r="J597" s="750">
        <v>0</v>
      </c>
      <c r="K597" s="977" t="str">
        <f>IFERROR(_xlfn.CEILING.MATH(J597,INDEX('СВОДНАЯ СПЕЦИФИКАЦИЯ'!$C$10:$C$408,MATCH(D597,'СВОДНАЯ СПЕЦИФИКАЦИЯ'!$D$10:$D$408,0))),"Введите кол-во")</f>
        <v>Введите кол-во</v>
      </c>
      <c r="L597" s="978">
        <f>INDEX('СВОДНАЯ СПЕЦИФИКАЦИЯ'!$H$10:$H$408,MATCH(D597,Таблица2[Наименование материала],0))</f>
        <v>0</v>
      </c>
      <c r="M597" s="979">
        <f t="shared" si="23"/>
        <v>0</v>
      </c>
      <c r="O597" s="934">
        <f t="shared" si="24"/>
        <v>0</v>
      </c>
      <c r="Q597" s="984" t="s">
        <v>413</v>
      </c>
      <c r="R597" s="989"/>
      <c r="S597" s="989"/>
      <c r="T597" s="986">
        <v>425</v>
      </c>
      <c r="U597" s="985" t="s">
        <v>150</v>
      </c>
      <c r="V597" s="990" t="str">
        <f>TRIM(Q597)</f>
        <v>Телескопический крепеж</v>
      </c>
      <c r="W597" s="957"/>
      <c r="X597" s="934"/>
      <c r="Y597" s="934"/>
      <c r="Z597" s="934"/>
      <c r="AA597" s="934"/>
      <c r="AB597" s="987"/>
      <c r="AC597" s="934"/>
      <c r="AD597" s="934"/>
      <c r="AE597" s="934"/>
      <c r="AF597" s="934"/>
      <c r="AG597" s="934"/>
      <c r="AH597" s="934"/>
      <c r="AI597" s="934"/>
      <c r="AJ597" s="934"/>
    </row>
    <row r="598" spans="1:36" ht="15" hidden="1" customHeight="1">
      <c r="B598" s="1432"/>
      <c r="C598" s="909" t="s">
        <v>773</v>
      </c>
      <c r="D598" s="732" t="s">
        <v>1459</v>
      </c>
      <c r="E598" s="733"/>
      <c r="F598" s="733"/>
      <c r="G598" s="733"/>
      <c r="H598" s="733"/>
      <c r="I598" s="739" t="s">
        <v>151</v>
      </c>
      <c r="J598" s="750">
        <v>0</v>
      </c>
      <c r="K598" s="977">
        <f>IFERROR(_xlfn.CEILING.MATH(J598,INDEX('СВОДНАЯ СПЕЦИФИКАЦИЯ'!$C$10:$C$408,MATCH(D598,'СВОДНАЯ СПЕЦИФИКАЦИЯ'!$D$10:$D$408,0))),"Введите кол-во")</f>
        <v>0</v>
      </c>
      <c r="L598" s="978">
        <f>INDEX('СВОДНАЯ СПЕЦИФИКАЦИЯ'!$H$10:$H$408,MATCH(D598,Таблица2[Наименование материала],0))</f>
        <v>0</v>
      </c>
      <c r="M598" s="979">
        <f t="shared" si="23"/>
        <v>0</v>
      </c>
      <c r="O598" s="934">
        <f t="shared" si="24"/>
        <v>0</v>
      </c>
      <c r="P598" s="993" t="s">
        <v>370</v>
      </c>
      <c r="Q598" s="984" t="s">
        <v>410</v>
      </c>
      <c r="R598" s="989"/>
      <c r="S598" s="989"/>
      <c r="T598" s="986">
        <v>50</v>
      </c>
      <c r="U598" s="985" t="s">
        <v>150</v>
      </c>
      <c r="V598" s="990" t="str">
        <f t="shared" ref="V598:V616" si="25">TRIM(Q598)</f>
        <v>Саморез остроконечный ТехноНИКОЛЬ 4,8х</v>
      </c>
      <c r="W598" s="957"/>
      <c r="X598" s="934"/>
      <c r="Y598" s="934"/>
      <c r="Z598" s="934"/>
      <c r="AA598" s="934"/>
      <c r="AB598" s="987"/>
      <c r="AC598" s="934"/>
      <c r="AD598" s="934"/>
      <c r="AE598" s="934"/>
      <c r="AF598" s="934"/>
      <c r="AG598" s="934"/>
      <c r="AH598" s="934"/>
      <c r="AI598" s="934"/>
      <c r="AJ598" s="934"/>
    </row>
    <row r="599" spans="1:36" ht="15" hidden="1" customHeight="1">
      <c r="A599" s="994"/>
      <c r="B599" s="1432"/>
      <c r="C599" s="909" t="s">
        <v>296</v>
      </c>
      <c r="D599" s="732" t="s">
        <v>1415</v>
      </c>
      <c r="E599" s="733"/>
      <c r="F599" s="733"/>
      <c r="G599" s="733"/>
      <c r="H599" s="733"/>
      <c r="I599" s="739" t="s">
        <v>151</v>
      </c>
      <c r="J599" s="750">
        <v>0</v>
      </c>
      <c r="K599" s="977">
        <f>IFERROR(_xlfn.CEILING.MATH(J599,INDEX('СВОДНАЯ СПЕЦИФИКАЦИЯ'!$C$10:$C$408,MATCH(D599,'СВОДНАЯ СПЕЦИФИКАЦИЯ'!$D$10:$D$408,0))),"Введите кол-во")</f>
        <v>0</v>
      </c>
      <c r="L599" s="978">
        <f>INDEX('СВОДНАЯ СПЕЦИФИКАЦИЯ'!$H$10:$H$408,MATCH(D599,Таблица2[Наименование материала],0))</f>
        <v>0</v>
      </c>
      <c r="M599" s="979">
        <f t="shared" si="23"/>
        <v>0</v>
      </c>
      <c r="O599" s="934">
        <f t="shared" si="24"/>
        <v>0</v>
      </c>
      <c r="Q599" s="984" t="s">
        <v>410</v>
      </c>
      <c r="R599" s="989"/>
      <c r="S599" s="989"/>
      <c r="T599" s="986">
        <v>60</v>
      </c>
      <c r="U599" s="985" t="s">
        <v>150</v>
      </c>
      <c r="V599" s="990" t="str">
        <f t="shared" si="25"/>
        <v>Саморез остроконечный ТехноНИКОЛЬ 4,8х</v>
      </c>
      <c r="W599" s="957"/>
      <c r="X599" s="934"/>
      <c r="Y599" s="934"/>
      <c r="Z599" s="934"/>
      <c r="AA599" s="934"/>
      <c r="AB599" s="987"/>
      <c r="AC599" s="934"/>
      <c r="AD599" s="934"/>
      <c r="AE599" s="934"/>
      <c r="AF599" s="934"/>
      <c r="AG599" s="934"/>
      <c r="AH599" s="934"/>
      <c r="AI599" s="934"/>
      <c r="AJ599" s="934"/>
    </row>
    <row r="600" spans="1:36" ht="15" hidden="1" customHeight="1">
      <c r="B600" s="1432"/>
      <c r="C600" s="909" t="s">
        <v>775</v>
      </c>
      <c r="D600" s="732" t="s">
        <v>1416</v>
      </c>
      <c r="E600" s="733"/>
      <c r="F600" s="733"/>
      <c r="G600" s="733"/>
      <c r="H600" s="733"/>
      <c r="I600" s="739" t="s">
        <v>151</v>
      </c>
      <c r="J600" s="750">
        <v>0</v>
      </c>
      <c r="K600" s="977">
        <f>IFERROR(_xlfn.CEILING.MATH(J600,INDEX('СВОДНАЯ СПЕЦИФИКАЦИЯ'!$C$10:$C$408,MATCH(D600,'СВОДНАЯ СПЕЦИФИКАЦИЯ'!$D$10:$D$408,0))),"Введите кол-во")</f>
        <v>0</v>
      </c>
      <c r="L600" s="978">
        <f>INDEX('СВОДНАЯ СПЕЦИФИКАЦИЯ'!$H$10:$H$408,MATCH(D600,Таблица2[Наименование материала],0))</f>
        <v>0</v>
      </c>
      <c r="M600" s="979">
        <f t="shared" si="23"/>
        <v>0</v>
      </c>
      <c r="O600" s="934">
        <f t="shared" si="24"/>
        <v>0</v>
      </c>
      <c r="Q600" s="984" t="s">
        <v>531</v>
      </c>
      <c r="R600" s="989"/>
      <c r="S600" s="989"/>
      <c r="T600" s="986">
        <v>60</v>
      </c>
      <c r="U600" s="985" t="s">
        <v>150</v>
      </c>
      <c r="V600" s="990" t="str">
        <f t="shared" si="25"/>
        <v>Саморез сверлоконечный ТехноНИКОЛЬ 4,8х</v>
      </c>
      <c r="W600" s="957"/>
      <c r="X600" s="934"/>
      <c r="Y600" s="934"/>
      <c r="Z600" s="934"/>
      <c r="AA600" s="934"/>
      <c r="AB600" s="987"/>
      <c r="AC600" s="934"/>
      <c r="AD600" s="934"/>
      <c r="AE600" s="934"/>
      <c r="AF600" s="934"/>
      <c r="AG600" s="934"/>
      <c r="AH600" s="934"/>
      <c r="AI600" s="934"/>
      <c r="AJ600" s="934"/>
    </row>
    <row r="601" spans="1:36" ht="15" hidden="1" customHeight="1">
      <c r="B601" s="1432"/>
      <c r="C601" s="909" t="s">
        <v>774</v>
      </c>
      <c r="D601" s="732" t="s">
        <v>1417</v>
      </c>
      <c r="E601" s="733"/>
      <c r="F601" s="733"/>
      <c r="G601" s="733"/>
      <c r="H601" s="733"/>
      <c r="I601" s="739" t="s">
        <v>151</v>
      </c>
      <c r="J601" s="750">
        <v>0</v>
      </c>
      <c r="K601" s="977">
        <f>IFERROR(_xlfn.CEILING.MATH(J601,INDEX('СВОДНАЯ СПЕЦИФИКАЦИЯ'!$C$10:$C$408,MATCH(D601,'СВОДНАЯ СПЕЦИФИКАЦИЯ'!$D$10:$D$408,0))),"Введите кол-во")</f>
        <v>0</v>
      </c>
      <c r="L601" s="978">
        <f>INDEX('СВОДНАЯ СПЕЦИФИКАЦИЯ'!$H$10:$H$408,MATCH(D601,Таблица2[Наименование материала],0))</f>
        <v>0</v>
      </c>
      <c r="M601" s="979">
        <f t="shared" si="23"/>
        <v>0</v>
      </c>
      <c r="O601" s="934">
        <f t="shared" si="24"/>
        <v>0</v>
      </c>
      <c r="Q601" s="984" t="s">
        <v>410</v>
      </c>
      <c r="R601" s="989"/>
      <c r="S601" s="989"/>
      <c r="T601" s="986">
        <v>70</v>
      </c>
      <c r="U601" s="985" t="s">
        <v>150</v>
      </c>
      <c r="V601" s="990" t="str">
        <f t="shared" si="25"/>
        <v>Саморез остроконечный ТехноНИКОЛЬ 4,8х</v>
      </c>
      <c r="W601" s="957"/>
      <c r="X601" s="934"/>
      <c r="Y601" s="934"/>
      <c r="Z601" s="934"/>
      <c r="AA601" s="934"/>
      <c r="AB601" s="987"/>
      <c r="AC601" s="934"/>
      <c r="AD601" s="934"/>
      <c r="AE601" s="934"/>
      <c r="AF601" s="934"/>
      <c r="AG601" s="934"/>
      <c r="AH601" s="934"/>
      <c r="AI601" s="934"/>
      <c r="AJ601" s="934"/>
    </row>
    <row r="602" spans="1:36" ht="15" hidden="1" customHeight="1">
      <c r="B602" s="1432"/>
      <c r="C602" s="909">
        <v>228669</v>
      </c>
      <c r="D602" s="732" t="s">
        <v>1418</v>
      </c>
      <c r="E602" s="733"/>
      <c r="F602" s="733"/>
      <c r="G602" s="733"/>
      <c r="H602" s="733"/>
      <c r="I602" s="739" t="s">
        <v>151</v>
      </c>
      <c r="J602" s="750">
        <v>0</v>
      </c>
      <c r="K602" s="977">
        <f>IFERROR(_xlfn.CEILING.MATH(J602,INDEX('СВОДНАЯ СПЕЦИФИКАЦИЯ'!$C$10:$C$408,MATCH(D602,'СВОДНАЯ СПЕЦИФИКАЦИЯ'!$D$10:$D$408,0))),"Введите кол-во")</f>
        <v>0</v>
      </c>
      <c r="L602" s="978">
        <f>INDEX('СВОДНАЯ СПЕЦИФИКАЦИЯ'!$H$10:$H$408,MATCH(D602,Таблица2[Наименование материала],0))</f>
        <v>0</v>
      </c>
      <c r="M602" s="979">
        <f t="shared" si="23"/>
        <v>0</v>
      </c>
      <c r="O602" s="934">
        <f t="shared" si="24"/>
        <v>0</v>
      </c>
      <c r="Q602" s="984" t="s">
        <v>410</v>
      </c>
      <c r="R602" s="989"/>
      <c r="S602" s="989"/>
      <c r="T602" s="986">
        <v>80</v>
      </c>
      <c r="U602" s="985" t="s">
        <v>150</v>
      </c>
      <c r="V602" s="990" t="str">
        <f t="shared" si="25"/>
        <v>Саморез остроконечный ТехноНИКОЛЬ 4,8х</v>
      </c>
      <c r="W602" s="957"/>
      <c r="X602" s="934"/>
      <c r="Y602" s="934"/>
      <c r="Z602" s="934"/>
      <c r="AA602" s="934"/>
      <c r="AB602" s="987"/>
      <c r="AC602" s="934"/>
      <c r="AD602" s="934"/>
      <c r="AE602" s="934"/>
      <c r="AF602" s="934"/>
      <c r="AG602" s="934"/>
      <c r="AH602" s="934"/>
      <c r="AI602" s="934"/>
      <c r="AJ602" s="934"/>
    </row>
    <row r="603" spans="1:36" ht="15" hidden="1" customHeight="1">
      <c r="B603" s="1432"/>
      <c r="C603" s="909">
        <v>228667</v>
      </c>
      <c r="D603" s="732" t="s">
        <v>1419</v>
      </c>
      <c r="E603" s="733"/>
      <c r="F603" s="733"/>
      <c r="G603" s="733"/>
      <c r="H603" s="733"/>
      <c r="I603" s="739" t="s">
        <v>151</v>
      </c>
      <c r="J603" s="750">
        <v>0</v>
      </c>
      <c r="K603" s="977">
        <f>IFERROR(_xlfn.CEILING.MATH(J603,INDEX('СВОДНАЯ СПЕЦИФИКАЦИЯ'!$C$10:$C$408,MATCH(D603,'СВОДНАЯ СПЕЦИФИКАЦИЯ'!$D$10:$D$408,0))),"Введите кол-во")</f>
        <v>0</v>
      </c>
      <c r="L603" s="978">
        <f>INDEX('СВОДНАЯ СПЕЦИФИКАЦИЯ'!$H$10:$H$408,MATCH(D603,Таблица2[Наименование материала],0))</f>
        <v>0</v>
      </c>
      <c r="M603" s="979">
        <f t="shared" si="23"/>
        <v>0</v>
      </c>
      <c r="O603" s="934">
        <f t="shared" si="24"/>
        <v>0</v>
      </c>
      <c r="Q603" s="984" t="s">
        <v>410</v>
      </c>
      <c r="R603" s="989"/>
      <c r="S603" s="989"/>
      <c r="T603" s="986">
        <v>100</v>
      </c>
      <c r="U603" s="985" t="s">
        <v>150</v>
      </c>
      <c r="V603" s="990" t="str">
        <f t="shared" si="25"/>
        <v>Саморез остроконечный ТехноНИКОЛЬ 4,8х</v>
      </c>
      <c r="W603" s="957"/>
      <c r="X603" s="934"/>
      <c r="Y603" s="934"/>
      <c r="Z603" s="934"/>
      <c r="AA603" s="934"/>
      <c r="AB603" s="987"/>
      <c r="AC603" s="934"/>
      <c r="AD603" s="934"/>
      <c r="AE603" s="934"/>
      <c r="AF603" s="934"/>
      <c r="AG603" s="934"/>
      <c r="AH603" s="934"/>
      <c r="AI603" s="934"/>
      <c r="AJ603" s="934"/>
    </row>
    <row r="604" spans="1:36" ht="15" hidden="1" customHeight="1">
      <c r="B604" s="1432"/>
      <c r="C604" s="909" t="s">
        <v>776</v>
      </c>
      <c r="D604" s="732" t="s">
        <v>1420</v>
      </c>
      <c r="E604" s="733"/>
      <c r="F604" s="733"/>
      <c r="G604" s="733"/>
      <c r="H604" s="733"/>
      <c r="I604" s="739" t="s">
        <v>151</v>
      </c>
      <c r="J604" s="750">
        <v>0</v>
      </c>
      <c r="K604" s="977">
        <f>IFERROR(_xlfn.CEILING.MATH(J604,INDEX('СВОДНАЯ СПЕЦИФИКАЦИЯ'!$C$10:$C$408,MATCH(D604,'СВОДНАЯ СПЕЦИФИКАЦИЯ'!$D$10:$D$408,0))),"Введите кол-во")</f>
        <v>0</v>
      </c>
      <c r="L604" s="978">
        <f>INDEX('СВОДНАЯ СПЕЦИФИКАЦИЯ'!$H$10:$H$408,MATCH(D604,Таблица2[Наименование материала],0))</f>
        <v>0</v>
      </c>
      <c r="M604" s="979">
        <f t="shared" si="23"/>
        <v>0</v>
      </c>
      <c r="O604" s="934">
        <f t="shared" si="24"/>
        <v>0</v>
      </c>
      <c r="Q604" s="984" t="s">
        <v>531</v>
      </c>
      <c r="R604" s="989"/>
      <c r="S604" s="989"/>
      <c r="T604" s="986">
        <v>70</v>
      </c>
      <c r="U604" s="985" t="s">
        <v>150</v>
      </c>
      <c r="V604" s="990" t="str">
        <f t="shared" si="25"/>
        <v>Саморез сверлоконечный ТехноНИКОЛЬ 4,8х</v>
      </c>
      <c r="W604" s="957"/>
      <c r="X604" s="934"/>
      <c r="Y604" s="934"/>
      <c r="Z604" s="934"/>
      <c r="AA604" s="934"/>
      <c r="AB604" s="987"/>
      <c r="AC604" s="934"/>
      <c r="AD604" s="934"/>
      <c r="AE604" s="934"/>
      <c r="AF604" s="934"/>
      <c r="AG604" s="934"/>
      <c r="AH604" s="934"/>
      <c r="AI604" s="934"/>
      <c r="AJ604" s="934"/>
    </row>
    <row r="605" spans="1:36" ht="15" customHeight="1">
      <c r="B605" s="1432"/>
      <c r="C605" s="909" t="s">
        <v>777</v>
      </c>
      <c r="D605" s="732" t="s">
        <v>1421</v>
      </c>
      <c r="E605" s="733"/>
      <c r="F605" s="733"/>
      <c r="G605" s="733"/>
      <c r="H605" s="733"/>
      <c r="I605" s="739" t="s">
        <v>151</v>
      </c>
      <c r="J605" s="750">
        <v>12002</v>
      </c>
      <c r="K605" s="977">
        <f>IFERROR(_xlfn.CEILING.MATH(J605,INDEX('СВОДНАЯ СПЕЦИФИКАЦИЯ'!$C$10:$C$408,MATCH(D605,'СВОДНАЯ СПЕЦИФИКАЦИЯ'!$D$10:$D$408,0))),"Введите кол-во")</f>
        <v>12500</v>
      </c>
      <c r="L605" s="978">
        <f>INDEX('СВОДНАЯ СПЕЦИФИКАЦИЯ'!$H$10:$H$408,MATCH(D605,Таблица2[Наименование материала],0))</f>
        <v>0</v>
      </c>
      <c r="M605" s="979">
        <f t="shared" si="23"/>
        <v>0</v>
      </c>
      <c r="O605" s="934">
        <f t="shared" si="24"/>
        <v>1</v>
      </c>
      <c r="Q605" s="984" t="s">
        <v>531</v>
      </c>
      <c r="R605" s="989"/>
      <c r="S605" s="989"/>
      <c r="T605" s="986">
        <v>80</v>
      </c>
      <c r="U605" s="985" t="s">
        <v>150</v>
      </c>
      <c r="V605" s="990" t="str">
        <f t="shared" si="25"/>
        <v>Саморез сверлоконечный ТехноНИКОЛЬ 4,8х</v>
      </c>
      <c r="W605" s="957"/>
      <c r="X605" s="934"/>
      <c r="Y605" s="934"/>
      <c r="Z605" s="934"/>
      <c r="AA605" s="934"/>
      <c r="AB605" s="987"/>
      <c r="AC605" s="934"/>
      <c r="AD605" s="934"/>
      <c r="AE605" s="934"/>
      <c r="AF605" s="934"/>
      <c r="AG605" s="934"/>
      <c r="AH605" s="934"/>
      <c r="AI605" s="934"/>
      <c r="AJ605" s="934"/>
    </row>
    <row r="606" spans="1:36" ht="15" hidden="1" customHeight="1">
      <c r="B606" s="1432"/>
      <c r="C606" s="909" t="s">
        <v>778</v>
      </c>
      <c r="D606" s="732" t="s">
        <v>1422</v>
      </c>
      <c r="E606" s="733"/>
      <c r="F606" s="733"/>
      <c r="G606" s="733"/>
      <c r="H606" s="733"/>
      <c r="I606" s="739" t="s">
        <v>151</v>
      </c>
      <c r="J606" s="750">
        <v>0</v>
      </c>
      <c r="K606" s="977">
        <f>IFERROR(_xlfn.CEILING.MATH(J606,INDEX('СВОДНАЯ СПЕЦИФИКАЦИЯ'!$C$10:$C$408,MATCH(D606,'СВОДНАЯ СПЕЦИФИКАЦИЯ'!$D$10:$D$408,0))),"Введите кол-во")</f>
        <v>0</v>
      </c>
      <c r="L606" s="978">
        <f>INDEX('СВОДНАЯ СПЕЦИФИКАЦИЯ'!$H$10:$H$408,MATCH(D606,Таблица2[Наименование материала],0))</f>
        <v>0</v>
      </c>
      <c r="M606" s="979">
        <f t="shared" si="23"/>
        <v>0</v>
      </c>
      <c r="O606" s="934">
        <f t="shared" si="24"/>
        <v>0</v>
      </c>
      <c r="Q606" s="984" t="s">
        <v>531</v>
      </c>
      <c r="R606" s="989"/>
      <c r="S606" s="989"/>
      <c r="T606" s="986">
        <v>100</v>
      </c>
      <c r="U606" s="985" t="s">
        <v>150</v>
      </c>
      <c r="V606" s="990" t="str">
        <f t="shared" si="25"/>
        <v>Саморез сверлоконечный ТехноНИКОЛЬ 4,8х</v>
      </c>
      <c r="W606" s="957"/>
      <c r="X606" s="934"/>
      <c r="Y606" s="934"/>
      <c r="Z606" s="934"/>
      <c r="AA606" s="934"/>
      <c r="AB606" s="987"/>
      <c r="AC606" s="934"/>
      <c r="AD606" s="934"/>
      <c r="AE606" s="934"/>
      <c r="AF606" s="934"/>
      <c r="AG606" s="934"/>
      <c r="AH606" s="934"/>
      <c r="AI606" s="934"/>
      <c r="AJ606" s="934"/>
    </row>
    <row r="607" spans="1:36" ht="15" hidden="1" customHeight="1">
      <c r="B607" s="1432"/>
      <c r="C607" s="909" t="s">
        <v>779</v>
      </c>
      <c r="D607" s="732" t="s">
        <v>1423</v>
      </c>
      <c r="E607" s="733"/>
      <c r="F607" s="733"/>
      <c r="G607" s="733"/>
      <c r="H607" s="733"/>
      <c r="I607" s="739" t="s">
        <v>151</v>
      </c>
      <c r="J607" s="750">
        <v>0</v>
      </c>
      <c r="K607" s="977">
        <f>IFERROR(_xlfn.CEILING.MATH(J607,INDEX('СВОДНАЯ СПЕЦИФИКАЦИЯ'!$C$10:$C$408,MATCH(D607,'СВОДНАЯ СПЕЦИФИКАЦИЯ'!$D$10:$D$408,0))),"Введите кол-во")</f>
        <v>0</v>
      </c>
      <c r="L607" s="978">
        <f>INDEX('СВОДНАЯ СПЕЦИФИКАЦИЯ'!$H$10:$H$408,MATCH(D607,Таблица2[Наименование материала],0))</f>
        <v>0</v>
      </c>
      <c r="M607" s="979">
        <f t="shared" si="23"/>
        <v>0</v>
      </c>
      <c r="O607" s="934">
        <f t="shared" si="24"/>
        <v>0</v>
      </c>
      <c r="Q607" s="984" t="s">
        <v>531</v>
      </c>
      <c r="R607" s="989"/>
      <c r="S607" s="989"/>
      <c r="T607" s="986">
        <v>120</v>
      </c>
      <c r="U607" s="985" t="s">
        <v>150</v>
      </c>
      <c r="V607" s="990" t="str">
        <f t="shared" si="25"/>
        <v>Саморез сверлоконечный ТехноНИКОЛЬ 4,8х</v>
      </c>
      <c r="W607" s="957"/>
      <c r="X607" s="934"/>
      <c r="Y607" s="934"/>
      <c r="Z607" s="934"/>
      <c r="AA607" s="934"/>
      <c r="AB607" s="987"/>
      <c r="AC607" s="934"/>
      <c r="AD607" s="934"/>
      <c r="AE607" s="934"/>
      <c r="AF607" s="934"/>
      <c r="AG607" s="934"/>
      <c r="AH607" s="934"/>
      <c r="AI607" s="934"/>
      <c r="AJ607" s="934"/>
    </row>
    <row r="608" spans="1:36" ht="15" customHeight="1">
      <c r="B608" s="1432"/>
      <c r="C608" s="909" t="s">
        <v>780</v>
      </c>
      <c r="D608" s="732" t="s">
        <v>1424</v>
      </c>
      <c r="E608" s="733"/>
      <c r="F608" s="733"/>
      <c r="G608" s="733"/>
      <c r="H608" s="733"/>
      <c r="I608" s="739" t="s">
        <v>151</v>
      </c>
      <c r="J608" s="750">
        <v>298</v>
      </c>
      <c r="K608" s="977">
        <f>IFERROR(_xlfn.CEILING.MATH(J608,INDEX('СВОДНАЯ СПЕЦИФИКАЦИЯ'!$C$10:$C$408,MATCH(D608,'СВОДНАЯ СПЕЦИФИКАЦИЯ'!$D$10:$D$408,0))),"Введите кол-во")</f>
        <v>500</v>
      </c>
      <c r="L608" s="978">
        <f>INDEX('СВОДНАЯ СПЕЦИФИКАЦИЯ'!$H$10:$H$408,MATCH(D608,Таблица2[Наименование материала],0))</f>
        <v>0</v>
      </c>
      <c r="M608" s="979">
        <f t="shared" si="23"/>
        <v>0</v>
      </c>
      <c r="O608" s="934">
        <f t="shared" si="24"/>
        <v>1</v>
      </c>
      <c r="Q608" s="984" t="s">
        <v>531</v>
      </c>
      <c r="R608" s="989"/>
      <c r="S608" s="989"/>
      <c r="T608" s="986">
        <v>160</v>
      </c>
      <c r="U608" s="985" t="s">
        <v>150</v>
      </c>
      <c r="V608" s="990" t="str">
        <f t="shared" si="25"/>
        <v>Саморез сверлоконечный ТехноНИКОЛЬ 4,8х</v>
      </c>
      <c r="W608" s="957"/>
      <c r="X608" s="934"/>
      <c r="Y608" s="934"/>
      <c r="Z608" s="934"/>
      <c r="AA608" s="934"/>
      <c r="AB608" s="987"/>
      <c r="AC608" s="934"/>
      <c r="AD608" s="934"/>
      <c r="AE608" s="934"/>
      <c r="AF608" s="934"/>
      <c r="AG608" s="934"/>
      <c r="AH608" s="934"/>
      <c r="AI608" s="934"/>
      <c r="AJ608" s="934"/>
    </row>
    <row r="609" spans="2:36" ht="15" hidden="1" customHeight="1">
      <c r="B609" s="1432"/>
      <c r="C609" s="909" t="s">
        <v>781</v>
      </c>
      <c r="D609" s="732" t="s">
        <v>1425</v>
      </c>
      <c r="E609" s="733"/>
      <c r="F609" s="733"/>
      <c r="G609" s="733"/>
      <c r="H609" s="733"/>
      <c r="I609" s="739" t="s">
        <v>151</v>
      </c>
      <c r="J609" s="750">
        <v>0</v>
      </c>
      <c r="K609" s="977">
        <f>IFERROR(_xlfn.CEILING.MATH(J609,INDEX('СВОДНАЯ СПЕЦИФИКАЦИЯ'!$C$10:$C$408,MATCH(D609,'СВОДНАЯ СПЕЦИФИКАЦИЯ'!$D$10:$D$408,0))),"Введите кол-во")</f>
        <v>0</v>
      </c>
      <c r="L609" s="978">
        <f>INDEX('СВОДНАЯ СПЕЦИФИКАЦИЯ'!$H$10:$H$408,MATCH(D609,Таблица2[Наименование материала],0))</f>
        <v>0</v>
      </c>
      <c r="M609" s="979">
        <f t="shared" si="23"/>
        <v>0</v>
      </c>
      <c r="O609" s="934">
        <f t="shared" si="24"/>
        <v>0</v>
      </c>
      <c r="Q609" s="984" t="s">
        <v>531</v>
      </c>
      <c r="R609" s="989"/>
      <c r="S609" s="989"/>
      <c r="T609" s="986">
        <v>200</v>
      </c>
      <c r="U609" s="985" t="s">
        <v>150</v>
      </c>
      <c r="V609" s="990" t="str">
        <f t="shared" si="25"/>
        <v>Саморез сверлоконечный ТехноНИКОЛЬ 4,8х</v>
      </c>
      <c r="W609" s="957"/>
      <c r="X609" s="934"/>
      <c r="Y609" s="934"/>
      <c r="Z609" s="934"/>
      <c r="AA609" s="934"/>
      <c r="AB609" s="987"/>
      <c r="AC609" s="934"/>
      <c r="AD609" s="934"/>
      <c r="AE609" s="934"/>
      <c r="AF609" s="934"/>
      <c r="AG609" s="934"/>
      <c r="AH609" s="934"/>
      <c r="AI609" s="934"/>
      <c r="AJ609" s="934"/>
    </row>
    <row r="610" spans="2:36" ht="15" hidden="1" customHeight="1">
      <c r="B610" s="1432"/>
      <c r="C610" s="909" t="s">
        <v>782</v>
      </c>
      <c r="D610" s="732" t="s">
        <v>1426</v>
      </c>
      <c r="E610" s="733"/>
      <c r="F610" s="733"/>
      <c r="G610" s="733"/>
      <c r="H610" s="733"/>
      <c r="I610" s="739" t="s">
        <v>151</v>
      </c>
      <c r="J610" s="750">
        <v>0</v>
      </c>
      <c r="K610" s="977">
        <f>IFERROR(_xlfn.CEILING.MATH(J610,INDEX('СВОДНАЯ СПЕЦИФИКАЦИЯ'!$C$10:$C$408,MATCH(D610,'СВОДНАЯ СПЕЦИФИКАЦИЯ'!$D$10:$D$408,0))),"Введите кол-во")</f>
        <v>0</v>
      </c>
      <c r="L610" s="978">
        <f>INDEX('СВОДНАЯ СПЕЦИФИКАЦИЯ'!$H$10:$H$408,MATCH(D610,Таблица2[Наименование материала],0))</f>
        <v>0</v>
      </c>
      <c r="M610" s="979">
        <f t="shared" si="23"/>
        <v>0</v>
      </c>
      <c r="O610" s="934">
        <f t="shared" si="24"/>
        <v>0</v>
      </c>
      <c r="Q610" s="984" t="s">
        <v>533</v>
      </c>
      <c r="R610" s="989"/>
      <c r="S610" s="989"/>
      <c r="T610" s="986">
        <v>80</v>
      </c>
      <c r="U610" s="985" t="s">
        <v>150</v>
      </c>
      <c r="V610" s="990" t="str">
        <f t="shared" si="25"/>
        <v>Саморез остроконечный ТехноНИКОЛЬ 6,3х</v>
      </c>
      <c r="W610" s="957"/>
      <c r="X610" s="934"/>
      <c r="Y610" s="934"/>
      <c r="Z610" s="934"/>
      <c r="AA610" s="934"/>
      <c r="AB610" s="987"/>
      <c r="AC610" s="934"/>
      <c r="AD610" s="934"/>
      <c r="AE610" s="934"/>
      <c r="AF610" s="934"/>
      <c r="AG610" s="934"/>
      <c r="AH610" s="934"/>
      <c r="AI610" s="934"/>
      <c r="AJ610" s="934"/>
    </row>
    <row r="611" spans="2:36" ht="15" hidden="1" customHeight="1">
      <c r="B611" s="1432"/>
      <c r="C611" s="909" t="s">
        <v>783</v>
      </c>
      <c r="D611" s="732" t="s">
        <v>1427</v>
      </c>
      <c r="E611" s="733"/>
      <c r="F611" s="733"/>
      <c r="G611" s="733"/>
      <c r="H611" s="733"/>
      <c r="I611" s="739" t="s">
        <v>151</v>
      </c>
      <c r="J611" s="750">
        <v>0</v>
      </c>
      <c r="K611" s="977">
        <f>IFERROR(_xlfn.CEILING.MATH(J611,INDEX('СВОДНАЯ СПЕЦИФИКАЦИЯ'!$C$10:$C$408,MATCH(D611,'СВОДНАЯ СПЕЦИФИКАЦИЯ'!$D$10:$D$408,0))),"Введите кол-во")</f>
        <v>0</v>
      </c>
      <c r="L611" s="978">
        <f>INDEX('СВОДНАЯ СПЕЦИФИКАЦИЯ'!$H$10:$H$408,MATCH(D611,Таблица2[Наименование материала],0))</f>
        <v>0</v>
      </c>
      <c r="M611" s="979">
        <f t="shared" si="23"/>
        <v>0</v>
      </c>
      <c r="O611" s="934">
        <f t="shared" si="24"/>
        <v>0</v>
      </c>
      <c r="Q611" s="984" t="s">
        <v>533</v>
      </c>
      <c r="R611" s="989"/>
      <c r="S611" s="989"/>
      <c r="T611" s="986">
        <v>90</v>
      </c>
      <c r="U611" s="985" t="s">
        <v>150</v>
      </c>
      <c r="V611" s="990" t="str">
        <f t="shared" si="25"/>
        <v>Саморез остроконечный ТехноНИКОЛЬ 6,3х</v>
      </c>
      <c r="W611" s="957"/>
      <c r="X611" s="934"/>
      <c r="Y611" s="934"/>
      <c r="Z611" s="934"/>
      <c r="AA611" s="934"/>
      <c r="AB611" s="987"/>
      <c r="AC611" s="934"/>
      <c r="AD611" s="934"/>
      <c r="AE611" s="934"/>
      <c r="AF611" s="934"/>
      <c r="AG611" s="934"/>
      <c r="AH611" s="934"/>
      <c r="AI611" s="934"/>
      <c r="AJ611" s="934"/>
    </row>
    <row r="612" spans="2:36" ht="15" hidden="1" customHeight="1">
      <c r="B612" s="1432"/>
      <c r="C612" s="909" t="s">
        <v>784</v>
      </c>
      <c r="D612" s="732" t="s">
        <v>1428</v>
      </c>
      <c r="E612" s="733"/>
      <c r="F612" s="733"/>
      <c r="G612" s="733"/>
      <c r="H612" s="733"/>
      <c r="I612" s="739" t="s">
        <v>151</v>
      </c>
      <c r="J612" s="750">
        <v>0</v>
      </c>
      <c r="K612" s="977">
        <f>IFERROR(_xlfn.CEILING.MATH(J612,INDEX('СВОДНАЯ СПЕЦИФИКАЦИЯ'!$C$10:$C$408,MATCH(D612,'СВОДНАЯ СПЕЦИФИКАЦИЯ'!$D$10:$D$408,0))),"Введите кол-во")</f>
        <v>0</v>
      </c>
      <c r="L612" s="978">
        <f>INDEX('СВОДНАЯ СПЕЦИФИКАЦИЯ'!$H$10:$H$408,MATCH(D612,Таблица2[Наименование материала],0))</f>
        <v>0</v>
      </c>
      <c r="M612" s="979">
        <f t="shared" si="23"/>
        <v>0</v>
      </c>
      <c r="O612" s="934">
        <f t="shared" si="24"/>
        <v>0</v>
      </c>
      <c r="Q612" s="984" t="s">
        <v>533</v>
      </c>
      <c r="R612" s="989"/>
      <c r="S612" s="989"/>
      <c r="T612" s="986">
        <v>110</v>
      </c>
      <c r="U612" s="985" t="s">
        <v>150</v>
      </c>
      <c r="V612" s="990" t="str">
        <f t="shared" si="25"/>
        <v>Саморез остроконечный ТехноНИКОЛЬ 6,3х</v>
      </c>
      <c r="W612" s="957"/>
      <c r="X612" s="934"/>
      <c r="Y612" s="934"/>
      <c r="Z612" s="934"/>
      <c r="AA612" s="934"/>
      <c r="AB612" s="987"/>
      <c r="AC612" s="934"/>
      <c r="AD612" s="934"/>
      <c r="AE612" s="934"/>
      <c r="AF612" s="934"/>
      <c r="AG612" s="934"/>
      <c r="AH612" s="934"/>
      <c r="AI612" s="934"/>
      <c r="AJ612" s="934"/>
    </row>
    <row r="613" spans="2:36" ht="15" hidden="1" customHeight="1">
      <c r="B613" s="1432"/>
      <c r="C613" s="909" t="s">
        <v>296</v>
      </c>
      <c r="D613" s="732" t="s">
        <v>1539</v>
      </c>
      <c r="E613" s="733"/>
      <c r="F613" s="733"/>
      <c r="G613" s="733"/>
      <c r="H613" s="733"/>
      <c r="I613" s="739" t="s">
        <v>151</v>
      </c>
      <c r="J613" s="750">
        <v>0</v>
      </c>
      <c r="K613" s="977" t="str">
        <f>IFERROR(_xlfn.CEILING.MATH(J613,INDEX('СВОДНАЯ СПЕЦИФИКАЦИЯ'!$C$10:$C$408,MATCH(D613,'СВОДНАЯ СПЕЦИФИКАЦИЯ'!$D$10:$D$408,0))),"Введите кол-во")</f>
        <v>Введите кол-во</v>
      </c>
      <c r="L613" s="978">
        <f>INDEX('СВОДНАЯ СПЕЦИФИКАЦИЯ'!$H$10:$H$408,MATCH(D613,Таблица2[Наименование материала],0))</f>
        <v>0</v>
      </c>
      <c r="M613" s="979">
        <f t="shared" si="23"/>
        <v>0</v>
      </c>
      <c r="O613" s="934">
        <f t="shared" si="24"/>
        <v>0</v>
      </c>
      <c r="Q613" s="984" t="s">
        <v>532</v>
      </c>
      <c r="R613" s="989"/>
      <c r="S613" s="989"/>
      <c r="T613" s="986">
        <v>140</v>
      </c>
      <c r="U613" s="985" t="s">
        <v>433</v>
      </c>
      <c r="V613" s="990" t="str">
        <f>TRIM(Q613)</f>
        <v>Саморез 4,8х</v>
      </c>
      <c r="W613" s="957"/>
      <c r="X613" s="934"/>
      <c r="Y613" s="934"/>
      <c r="Z613" s="934"/>
      <c r="AA613" s="934"/>
      <c r="AB613" s="987"/>
      <c r="AC613" s="934"/>
      <c r="AD613" s="934"/>
      <c r="AE613" s="934"/>
      <c r="AF613" s="934"/>
      <c r="AG613" s="934"/>
      <c r="AH613" s="934"/>
      <c r="AI613" s="934"/>
      <c r="AJ613" s="934"/>
    </row>
    <row r="614" spans="2:36" ht="15" hidden="1" customHeight="1">
      <c r="B614" s="1432"/>
      <c r="C614" s="909" t="s">
        <v>296</v>
      </c>
      <c r="D614" s="732" t="s">
        <v>1540</v>
      </c>
      <c r="E614" s="733"/>
      <c r="F614" s="733"/>
      <c r="G614" s="733"/>
      <c r="H614" s="733"/>
      <c r="I614" s="739" t="s">
        <v>151</v>
      </c>
      <c r="J614" s="750">
        <v>0</v>
      </c>
      <c r="K614" s="977" t="str">
        <f>IFERROR(_xlfn.CEILING.MATH(J614,INDEX('СВОДНАЯ СПЕЦИФИКАЦИЯ'!$C$10:$C$408,MATCH(D614,'СВОДНАЯ СПЕЦИФИКАЦИЯ'!$D$10:$D$408,0))),"Введите кол-во")</f>
        <v>Введите кол-во</v>
      </c>
      <c r="L614" s="978">
        <f>INDEX('СВОДНАЯ СПЕЦИФИКАЦИЯ'!$H$10:$H$408,MATCH(D614,Таблица2[Наименование материала],0))</f>
        <v>0</v>
      </c>
      <c r="M614" s="979">
        <f t="shared" si="23"/>
        <v>0</v>
      </c>
      <c r="O614" s="934">
        <f t="shared" si="24"/>
        <v>0</v>
      </c>
      <c r="Q614" s="984" t="s">
        <v>532</v>
      </c>
      <c r="R614" s="989"/>
      <c r="S614" s="989"/>
      <c r="T614" s="986">
        <v>180</v>
      </c>
      <c r="U614" s="985" t="s">
        <v>433</v>
      </c>
      <c r="V614" s="990" t="str">
        <f>TRIM(Q614)</f>
        <v>Саморез 4,8х</v>
      </c>
      <c r="W614" s="957"/>
      <c r="X614" s="934"/>
      <c r="Y614" s="934"/>
      <c r="Z614" s="934"/>
      <c r="AA614" s="934"/>
      <c r="AB614" s="987"/>
      <c r="AC614" s="934"/>
      <c r="AD614" s="934"/>
      <c r="AE614" s="934"/>
      <c r="AF614" s="934"/>
      <c r="AG614" s="934"/>
      <c r="AH614" s="934"/>
      <c r="AI614" s="934"/>
      <c r="AJ614" s="934"/>
    </row>
    <row r="615" spans="2:36" ht="15" hidden="1" customHeight="1">
      <c r="B615" s="1432"/>
      <c r="C615" s="909" t="s">
        <v>296</v>
      </c>
      <c r="D615" s="732" t="s">
        <v>1541</v>
      </c>
      <c r="E615" s="733"/>
      <c r="F615" s="733"/>
      <c r="G615" s="733"/>
      <c r="H615" s="733"/>
      <c r="I615" s="739" t="s">
        <v>151</v>
      </c>
      <c r="J615" s="750">
        <v>0</v>
      </c>
      <c r="K615" s="977" t="str">
        <f>IFERROR(_xlfn.CEILING.MATH(J615,INDEX('СВОДНАЯ СПЕЦИФИКАЦИЯ'!$C$10:$C$408,MATCH(D615,'СВОДНАЯ СПЕЦИФИКАЦИЯ'!$D$10:$D$408,0))),"Введите кол-во")</f>
        <v>Введите кол-во</v>
      </c>
      <c r="L615" s="978">
        <f>INDEX('СВОДНАЯ СПЕЦИФИКАЦИЯ'!$H$10:$H$408,MATCH(D615,Таблица2[Наименование материала],0))</f>
        <v>0</v>
      </c>
      <c r="M615" s="979">
        <f t="shared" si="23"/>
        <v>0</v>
      </c>
      <c r="O615" s="934">
        <f t="shared" si="24"/>
        <v>0</v>
      </c>
      <c r="Q615" s="984" t="s">
        <v>532</v>
      </c>
      <c r="R615" s="989"/>
      <c r="S615" s="989"/>
      <c r="T615" s="986">
        <v>240</v>
      </c>
      <c r="U615" s="985" t="s">
        <v>433</v>
      </c>
      <c r="V615" s="990" t="str">
        <f>TRIM(Q615)</f>
        <v>Саморез 4,8х</v>
      </c>
      <c r="W615" s="957"/>
      <c r="X615" s="934"/>
      <c r="Y615" s="934"/>
      <c r="Z615" s="934"/>
      <c r="AA615" s="934"/>
      <c r="AB615" s="987"/>
      <c r="AC615" s="934"/>
      <c r="AD615" s="934"/>
      <c r="AE615" s="934"/>
      <c r="AF615" s="934"/>
      <c r="AG615" s="934"/>
      <c r="AH615" s="934"/>
      <c r="AI615" s="934"/>
      <c r="AJ615" s="934"/>
    </row>
    <row r="616" spans="2:36" ht="15" hidden="1" customHeight="1">
      <c r="B616" s="1432"/>
      <c r="C616" s="909" t="s">
        <v>296</v>
      </c>
      <c r="D616" s="732" t="s">
        <v>1542</v>
      </c>
      <c r="E616" s="733"/>
      <c r="F616" s="733"/>
      <c r="G616" s="733"/>
      <c r="H616" s="733"/>
      <c r="I616" s="739" t="s">
        <v>151</v>
      </c>
      <c r="J616" s="750">
        <v>0</v>
      </c>
      <c r="K616" s="977" t="str">
        <f>IFERROR(_xlfn.CEILING.MATH(J616,INDEX('СВОДНАЯ СПЕЦИФИКАЦИЯ'!$C$10:$C$408,MATCH(D616,'СВОДНАЯ СПЕЦИФИКАЦИЯ'!$D$10:$D$408,0))),"Введите кол-во")</f>
        <v>Введите кол-во</v>
      </c>
      <c r="L616" s="978">
        <f>INDEX('СВОДНАЯ СПЕЦИФИКАЦИЯ'!$H$10:$H$408,MATCH(D616,Таблица2[Наименование материала],0))</f>
        <v>0</v>
      </c>
      <c r="M616" s="979">
        <f t="shared" si="23"/>
        <v>0</v>
      </c>
      <c r="O616" s="934">
        <f t="shared" si="24"/>
        <v>0</v>
      </c>
      <c r="Q616" s="984" t="s">
        <v>532</v>
      </c>
      <c r="R616" s="989"/>
      <c r="S616" s="989"/>
      <c r="T616" s="986">
        <v>300</v>
      </c>
      <c r="U616" s="985" t="s">
        <v>433</v>
      </c>
      <c r="V616" s="990" t="str">
        <f t="shared" si="25"/>
        <v>Саморез 4,8х</v>
      </c>
      <c r="W616" s="957"/>
      <c r="X616" s="934"/>
      <c r="Y616" s="934"/>
      <c r="Z616" s="934"/>
      <c r="AA616" s="934"/>
      <c r="AB616" s="987"/>
      <c r="AC616" s="934"/>
      <c r="AD616" s="934"/>
      <c r="AE616" s="934"/>
      <c r="AF616" s="934"/>
      <c r="AG616" s="934"/>
      <c r="AH616" s="934"/>
      <c r="AI616" s="934"/>
      <c r="AJ616" s="934"/>
    </row>
    <row r="617" spans="2:36" ht="15" customHeight="1" thickBot="1">
      <c r="B617" s="1433"/>
      <c r="C617" s="909" t="s">
        <v>797</v>
      </c>
      <c r="D617" s="741" t="s">
        <v>189</v>
      </c>
      <c r="E617" s="742"/>
      <c r="F617" s="742"/>
      <c r="G617" s="742"/>
      <c r="H617" s="742"/>
      <c r="I617" s="743" t="s">
        <v>151</v>
      </c>
      <c r="J617" s="757">
        <v>298</v>
      </c>
      <c r="K617" s="757">
        <f>IFERROR(_xlfn.CEILING.MATH(J617,INDEX('СВОДНАЯ СПЕЦИФИКАЦИЯ'!$C$10:$C$408,MATCH(D617,'СВОДНАЯ СПЕЦИФИКАЦИЯ'!$D$10:$D$408,0))),"Введите кол-во")</f>
        <v>2500</v>
      </c>
      <c r="L617" s="757">
        <f>INDEX('СВОДНАЯ СПЕЦИФИКАЦИЯ'!$H$10:$H$408,MATCH(D617,Таблица2[Наименование материала],0))</f>
        <v>0</v>
      </c>
      <c r="M617" s="1003">
        <f t="shared" si="23"/>
        <v>0</v>
      </c>
      <c r="O617" s="934">
        <f t="shared" si="24"/>
        <v>1</v>
      </c>
      <c r="P617" s="993" t="s">
        <v>370</v>
      </c>
      <c r="Q617" s="984" t="s">
        <v>164</v>
      </c>
      <c r="R617" s="989"/>
      <c r="S617" s="989" t="s">
        <v>165</v>
      </c>
      <c r="T617" s="986">
        <v>45</v>
      </c>
      <c r="U617" s="985" t="s">
        <v>150</v>
      </c>
      <c r="V617" s="990"/>
      <c r="W617" s="957"/>
      <c r="X617" s="934"/>
      <c r="Y617" s="934"/>
      <c r="Z617" s="934"/>
      <c r="AA617" s="934"/>
      <c r="AB617" s="987"/>
      <c r="AC617" s="934"/>
      <c r="AD617" s="934"/>
      <c r="AE617" s="934"/>
      <c r="AF617" s="934"/>
      <c r="AG617" s="934"/>
      <c r="AH617" s="934"/>
      <c r="AI617" s="934"/>
      <c r="AJ617" s="934"/>
    </row>
    <row r="618" spans="2:36" ht="15" customHeight="1">
      <c r="B618" s="1456"/>
      <c r="C618" s="1456"/>
      <c r="D618" s="1456"/>
      <c r="E618" s="1456"/>
      <c r="F618" s="1456"/>
      <c r="G618" s="1456"/>
      <c r="H618" s="1456"/>
      <c r="I618" s="1456"/>
      <c r="J618" s="1456"/>
      <c r="K618" s="1456"/>
      <c r="L618" s="1456"/>
      <c r="M618" s="1456"/>
      <c r="O618" s="934">
        <v>1</v>
      </c>
      <c r="Q618" s="957"/>
      <c r="R618" s="957"/>
      <c r="S618" s="957"/>
      <c r="T618" s="957"/>
      <c r="U618" s="957"/>
      <c r="V618" s="957"/>
      <c r="W618" s="957"/>
      <c r="X618" s="934"/>
      <c r="Y618" s="934"/>
      <c r="Z618" s="934"/>
      <c r="AA618" s="934"/>
      <c r="AB618" s="934"/>
      <c r="AC618" s="934"/>
      <c r="AD618" s="934"/>
      <c r="AE618" s="934"/>
      <c r="AF618" s="934"/>
      <c r="AG618" s="934"/>
      <c r="AH618" s="934"/>
      <c r="AI618" s="934"/>
      <c r="AJ618" s="934"/>
    </row>
    <row r="619" spans="2:36" ht="15" customHeight="1">
      <c r="D619" s="1005" t="s">
        <v>1543</v>
      </c>
      <c r="I619" s="1006"/>
      <c r="O619" s="934">
        <f>IF(D619="",0,1)</f>
        <v>1</v>
      </c>
      <c r="Q619" s="957"/>
      <c r="R619" s="957"/>
      <c r="S619" s="957"/>
      <c r="T619" s="957"/>
      <c r="U619" s="957"/>
      <c r="V619" s="957"/>
      <c r="W619" s="957"/>
      <c r="X619" s="934"/>
      <c r="Y619" s="934"/>
      <c r="Z619" s="934"/>
      <c r="AA619" s="934"/>
      <c r="AB619" s="934"/>
      <c r="AC619" s="934"/>
      <c r="AD619" s="934"/>
      <c r="AE619" s="934"/>
      <c r="AF619" s="934"/>
      <c r="AG619" s="934"/>
      <c r="AH619" s="934"/>
      <c r="AI619" s="934"/>
      <c r="AJ619" s="934"/>
    </row>
    <row r="620" spans="2:36" ht="15" customHeight="1">
      <c r="D620" s="1005" t="s">
        <v>1544</v>
      </c>
      <c r="O620" s="934">
        <f>IF(D620=" ",0,1)</f>
        <v>1</v>
      </c>
      <c r="Q620" s="957"/>
      <c r="R620" s="957"/>
      <c r="S620" s="957"/>
      <c r="T620" s="957"/>
      <c r="U620" s="957"/>
      <c r="V620" s="957"/>
      <c r="W620" s="957"/>
      <c r="X620" s="934"/>
      <c r="Y620" s="934"/>
      <c r="Z620" s="934"/>
      <c r="AA620" s="934"/>
      <c r="AB620" s="934"/>
      <c r="AC620" s="934"/>
      <c r="AD620" s="934"/>
      <c r="AE620" s="934"/>
      <c r="AF620" s="934"/>
      <c r="AG620" s="934"/>
      <c r="AH620" s="934"/>
      <c r="AI620" s="934"/>
      <c r="AJ620" s="934"/>
    </row>
    <row r="621" spans="2:36" ht="15" hidden="1" customHeight="1">
      <c r="D621" s="1005" t="s">
        <v>1545</v>
      </c>
      <c r="O621" s="934">
        <f>IF(D621="",0,1)</f>
        <v>0</v>
      </c>
      <c r="Q621" s="957"/>
      <c r="R621" s="957"/>
      <c r="S621" s="957"/>
      <c r="T621" s="957"/>
      <c r="U621" s="957"/>
      <c r="V621" s="957"/>
      <c r="W621" s="957"/>
      <c r="X621" s="934"/>
      <c r="Y621" s="934"/>
      <c r="Z621" s="934"/>
      <c r="AA621" s="934"/>
      <c r="AB621" s="934"/>
      <c r="AC621" s="934"/>
      <c r="AD621" s="934"/>
      <c r="AE621" s="934"/>
      <c r="AF621" s="934"/>
      <c r="AG621" s="934"/>
      <c r="AH621" s="934"/>
      <c r="AI621" s="934"/>
      <c r="AJ621" s="934"/>
    </row>
    <row r="622" spans="2:36" ht="15" hidden="1" customHeight="1">
      <c r="D622" s="1005" t="s">
        <v>1545</v>
      </c>
      <c r="O622" s="934">
        <f t="shared" ref="O622:O630" si="26">IF(D622="",0,1)</f>
        <v>0</v>
      </c>
      <c r="Q622" s="957"/>
      <c r="R622" s="957"/>
      <c r="S622" s="957"/>
      <c r="T622" s="957"/>
      <c r="U622" s="957"/>
      <c r="V622" s="957"/>
      <c r="W622" s="957"/>
      <c r="X622" s="934"/>
      <c r="Y622" s="934"/>
      <c r="Z622" s="934"/>
      <c r="AA622" s="934"/>
      <c r="AB622" s="934"/>
      <c r="AC622" s="934"/>
      <c r="AD622" s="934"/>
      <c r="AE622" s="934"/>
      <c r="AF622" s="934"/>
      <c r="AG622" s="934"/>
      <c r="AH622" s="934"/>
      <c r="AI622" s="934"/>
      <c r="AJ622" s="934"/>
    </row>
    <row r="623" spans="2:36" ht="15" hidden="1" customHeight="1">
      <c r="D623" s="1005" t="s">
        <v>1545</v>
      </c>
      <c r="O623" s="934">
        <f t="shared" si="26"/>
        <v>0</v>
      </c>
      <c r="Q623" s="957"/>
      <c r="R623" s="957"/>
      <c r="S623" s="957"/>
      <c r="T623" s="957"/>
      <c r="U623" s="957"/>
      <c r="V623" s="957"/>
      <c r="W623" s="957"/>
      <c r="X623" s="934"/>
      <c r="Y623" s="934"/>
      <c r="Z623" s="934"/>
      <c r="AA623" s="934"/>
      <c r="AB623" s="934"/>
      <c r="AC623" s="934"/>
      <c r="AD623" s="934"/>
      <c r="AE623" s="934"/>
      <c r="AF623" s="934"/>
      <c r="AG623" s="934"/>
      <c r="AH623" s="934"/>
      <c r="AI623" s="934"/>
      <c r="AJ623" s="934"/>
    </row>
    <row r="624" spans="2:36" ht="15" customHeight="1">
      <c r="D624" s="1005" t="s">
        <v>1032</v>
      </c>
      <c r="O624" s="934">
        <f t="shared" si="26"/>
        <v>1</v>
      </c>
      <c r="Q624" s="957"/>
      <c r="R624" s="957"/>
      <c r="S624" s="957"/>
      <c r="T624" s="957"/>
      <c r="U624" s="957"/>
      <c r="V624" s="957"/>
      <c r="W624" s="957"/>
      <c r="X624" s="934"/>
      <c r="Y624" s="934"/>
      <c r="Z624" s="934"/>
      <c r="AA624" s="934"/>
      <c r="AB624" s="934"/>
      <c r="AC624" s="934"/>
      <c r="AD624" s="934"/>
      <c r="AE624" s="934"/>
      <c r="AF624" s="934"/>
      <c r="AG624" s="934"/>
      <c r="AH624" s="934"/>
      <c r="AI624" s="934"/>
      <c r="AJ624" s="934"/>
    </row>
    <row r="625" spans="4:36" ht="15" customHeight="1">
      <c r="D625" s="1005" t="s">
        <v>1033</v>
      </c>
      <c r="O625" s="934">
        <f t="shared" si="26"/>
        <v>1</v>
      </c>
      <c r="Q625" s="957"/>
      <c r="R625" s="957"/>
      <c r="S625" s="957"/>
      <c r="T625" s="957"/>
      <c r="U625" s="957"/>
      <c r="V625" s="957"/>
      <c r="W625" s="957"/>
      <c r="X625" s="934"/>
      <c r="Y625" s="934"/>
      <c r="Z625" s="934"/>
      <c r="AA625" s="934"/>
      <c r="AB625" s="934"/>
      <c r="AC625" s="934"/>
      <c r="AD625" s="934"/>
      <c r="AE625" s="934"/>
      <c r="AF625" s="934"/>
      <c r="AG625" s="934"/>
      <c r="AH625" s="934"/>
      <c r="AI625" s="934"/>
      <c r="AJ625" s="934"/>
    </row>
    <row r="626" spans="4:36" ht="15" hidden="1" customHeight="1">
      <c r="D626" s="1005" t="s">
        <v>1545</v>
      </c>
      <c r="O626" s="934">
        <f t="shared" si="26"/>
        <v>0</v>
      </c>
      <c r="Q626" s="957"/>
      <c r="R626" s="957"/>
      <c r="S626" s="957"/>
      <c r="T626" s="957"/>
      <c r="U626" s="957"/>
      <c r="V626" s="957"/>
      <c r="W626" s="957"/>
      <c r="X626" s="934"/>
      <c r="Y626" s="934"/>
      <c r="Z626" s="934"/>
      <c r="AA626" s="934"/>
      <c r="AB626" s="934"/>
      <c r="AC626" s="934"/>
      <c r="AD626" s="934"/>
      <c r="AE626" s="934"/>
      <c r="AF626" s="934"/>
      <c r="AG626" s="934"/>
      <c r="AH626" s="934"/>
      <c r="AI626" s="934"/>
      <c r="AJ626" s="934"/>
    </row>
    <row r="627" spans="4:36" ht="15" hidden="1" customHeight="1">
      <c r="D627" s="1005" t="s">
        <v>1545</v>
      </c>
      <c r="O627" s="934">
        <f t="shared" si="26"/>
        <v>0</v>
      </c>
      <c r="Q627" s="957"/>
      <c r="R627" s="957"/>
      <c r="S627" s="957"/>
      <c r="T627" s="957"/>
      <c r="U627" s="957"/>
      <c r="V627" s="957"/>
      <c r="W627" s="957"/>
      <c r="X627" s="934"/>
      <c r="Y627" s="934"/>
      <c r="Z627" s="934"/>
      <c r="AA627" s="934"/>
      <c r="AB627" s="934"/>
      <c r="AC627" s="934"/>
      <c r="AD627" s="934"/>
      <c r="AE627" s="934"/>
      <c r="AF627" s="934"/>
      <c r="AG627" s="934"/>
      <c r="AH627" s="934"/>
      <c r="AI627" s="934"/>
      <c r="AJ627" s="934"/>
    </row>
    <row r="628" spans="4:36" ht="15" customHeight="1">
      <c r="D628" s="1005" t="s">
        <v>1546</v>
      </c>
      <c r="O628" s="934">
        <f t="shared" si="26"/>
        <v>1</v>
      </c>
      <c r="Q628" s="957"/>
      <c r="R628" s="957"/>
      <c r="S628" s="957"/>
      <c r="T628" s="957"/>
      <c r="U628" s="957"/>
      <c r="V628" s="957"/>
      <c r="W628" s="957"/>
      <c r="X628" s="934"/>
      <c r="Y628" s="934"/>
      <c r="Z628" s="934"/>
      <c r="AA628" s="934"/>
      <c r="AB628" s="934"/>
      <c r="AC628" s="934"/>
      <c r="AD628" s="934"/>
      <c r="AE628" s="934"/>
      <c r="AF628" s="934"/>
      <c r="AG628" s="934"/>
      <c r="AH628" s="934"/>
      <c r="AI628" s="934"/>
      <c r="AJ628" s="934"/>
    </row>
    <row r="629" spans="4:36" ht="15" customHeight="1">
      <c r="D629" s="1005" t="s">
        <v>1547</v>
      </c>
      <c r="O629" s="934">
        <f t="shared" si="26"/>
        <v>1</v>
      </c>
      <c r="Q629" s="957"/>
      <c r="R629" s="957"/>
      <c r="S629" s="957"/>
      <c r="T629" s="957"/>
      <c r="U629" s="957"/>
      <c r="V629" s="957"/>
      <c r="W629" s="957"/>
      <c r="X629" s="934"/>
      <c r="Y629" s="934"/>
      <c r="Z629" s="934"/>
      <c r="AA629" s="934"/>
      <c r="AB629" s="934"/>
      <c r="AC629" s="934"/>
      <c r="AD629" s="934"/>
      <c r="AE629" s="934"/>
      <c r="AF629" s="934"/>
      <c r="AG629" s="934"/>
      <c r="AH629" s="934"/>
      <c r="AI629" s="934"/>
      <c r="AJ629" s="934"/>
    </row>
    <row r="630" spans="4:36">
      <c r="D630" s="1005" t="s">
        <v>1548</v>
      </c>
      <c r="O630" s="934">
        <f t="shared" si="26"/>
        <v>1</v>
      </c>
      <c r="Q630" s="957"/>
      <c r="R630" s="957"/>
      <c r="S630" s="957"/>
      <c r="T630" s="957"/>
      <c r="U630" s="957"/>
      <c r="V630" s="957"/>
      <c r="W630" s="957"/>
      <c r="X630" s="934"/>
      <c r="Y630" s="934"/>
      <c r="Z630" s="934"/>
      <c r="AA630" s="934"/>
      <c r="AB630" s="934"/>
      <c r="AC630" s="934"/>
      <c r="AD630" s="934"/>
      <c r="AE630" s="934"/>
      <c r="AF630" s="934"/>
      <c r="AG630" s="934"/>
      <c r="AH630" s="934"/>
      <c r="AI630" s="934"/>
      <c r="AJ630" s="934"/>
    </row>
    <row r="631" spans="4:36">
      <c r="D631" s="1008"/>
      <c r="Q631" s="957"/>
      <c r="R631" s="957"/>
      <c r="S631" s="957"/>
      <c r="T631" s="957"/>
      <c r="U631" s="957"/>
      <c r="V631" s="957"/>
      <c r="W631" s="957"/>
      <c r="X631" s="934"/>
      <c r="Y631" s="934"/>
      <c r="Z631" s="934"/>
      <c r="AA631" s="934"/>
      <c r="AB631" s="934"/>
      <c r="AC631" s="934"/>
      <c r="AD631" s="934"/>
      <c r="AE631" s="934"/>
      <c r="AF631" s="934"/>
      <c r="AG631" s="934"/>
      <c r="AH631" s="934"/>
      <c r="AI631" s="934"/>
      <c r="AJ631" s="934"/>
    </row>
    <row r="632" spans="4:36">
      <c r="Q632" s="957"/>
      <c r="R632" s="957"/>
      <c r="S632" s="957"/>
      <c r="T632" s="957"/>
      <c r="U632" s="957"/>
      <c r="V632" s="957"/>
      <c r="W632" s="957"/>
      <c r="X632" s="934"/>
      <c r="Y632" s="934"/>
      <c r="Z632" s="934"/>
      <c r="AA632" s="934"/>
      <c r="AB632" s="934"/>
      <c r="AC632" s="934"/>
      <c r="AD632" s="934"/>
      <c r="AE632" s="934"/>
      <c r="AF632" s="934"/>
      <c r="AG632" s="934"/>
      <c r="AH632" s="934"/>
      <c r="AI632" s="934"/>
      <c r="AJ632" s="934"/>
    </row>
    <row r="633" spans="4:36">
      <c r="Q633" s="957"/>
      <c r="R633" s="957"/>
      <c r="S633" s="957"/>
      <c r="T633" s="957"/>
      <c r="U633" s="957"/>
      <c r="V633" s="957"/>
      <c r="W633" s="957"/>
      <c r="X633" s="934"/>
      <c r="Y633" s="934"/>
      <c r="Z633" s="934"/>
      <c r="AA633" s="934"/>
      <c r="AB633" s="934"/>
      <c r="AC633" s="934"/>
      <c r="AD633" s="934"/>
      <c r="AE633" s="934"/>
      <c r="AF633" s="934"/>
      <c r="AG633" s="934"/>
      <c r="AH633" s="934"/>
      <c r="AI633" s="934"/>
      <c r="AJ633" s="934"/>
    </row>
    <row r="634" spans="4:36">
      <c r="D634" s="1008"/>
      <c r="Q634" s="957"/>
      <c r="R634" s="957"/>
      <c r="S634" s="957"/>
      <c r="T634" s="957"/>
      <c r="U634" s="957"/>
      <c r="V634" s="957"/>
      <c r="W634" s="957"/>
      <c r="X634" s="934"/>
      <c r="Y634" s="934"/>
      <c r="Z634" s="934"/>
      <c r="AA634" s="934"/>
      <c r="AB634" s="934"/>
      <c r="AC634" s="934"/>
      <c r="AD634" s="934"/>
      <c r="AE634" s="934"/>
      <c r="AF634" s="934"/>
      <c r="AG634" s="934"/>
      <c r="AH634" s="934"/>
      <c r="AI634" s="934"/>
      <c r="AJ634" s="934"/>
    </row>
    <row r="635" spans="4:36">
      <c r="Q635" s="957"/>
      <c r="R635" s="957"/>
      <c r="S635" s="957"/>
      <c r="T635" s="957"/>
      <c r="U635" s="957"/>
      <c r="V635" s="957"/>
      <c r="W635" s="957"/>
      <c r="X635" s="934"/>
      <c r="Y635" s="934"/>
      <c r="Z635" s="934"/>
      <c r="AA635" s="934"/>
      <c r="AB635" s="934"/>
      <c r="AC635" s="934"/>
      <c r="AD635" s="934"/>
      <c r="AE635" s="934"/>
      <c r="AF635" s="934"/>
      <c r="AG635" s="934"/>
      <c r="AH635" s="934"/>
      <c r="AI635" s="934"/>
      <c r="AJ635" s="934"/>
    </row>
    <row r="636" spans="4:36">
      <c r="Q636" s="957"/>
      <c r="R636" s="957"/>
      <c r="S636" s="957"/>
      <c r="T636" s="957"/>
      <c r="U636" s="957"/>
      <c r="V636" s="957"/>
      <c r="W636" s="957"/>
      <c r="X636" s="934"/>
      <c r="Y636" s="934"/>
      <c r="Z636" s="934"/>
      <c r="AA636" s="934"/>
      <c r="AB636" s="934"/>
      <c r="AC636" s="934"/>
      <c r="AD636" s="934"/>
      <c r="AE636" s="934"/>
      <c r="AF636" s="934"/>
      <c r="AG636" s="934"/>
      <c r="AH636" s="934"/>
      <c r="AI636" s="934"/>
      <c r="AJ636" s="934"/>
    </row>
    <row r="637" spans="4:36">
      <c r="Q637" s="957"/>
      <c r="R637" s="957"/>
      <c r="S637" s="957"/>
      <c r="T637" s="957"/>
      <c r="U637" s="957"/>
      <c r="V637" s="957"/>
      <c r="W637" s="957"/>
      <c r="X637" s="934"/>
      <c r="Y637" s="934"/>
      <c r="Z637" s="934"/>
      <c r="AA637" s="934"/>
      <c r="AB637" s="934"/>
      <c r="AC637" s="934"/>
      <c r="AD637" s="934"/>
      <c r="AE637" s="934"/>
      <c r="AF637" s="934"/>
      <c r="AG637" s="934"/>
      <c r="AH637" s="934"/>
      <c r="AI637" s="934"/>
      <c r="AJ637" s="934"/>
    </row>
    <row r="638" spans="4:36">
      <c r="Q638" s="957"/>
      <c r="R638" s="957"/>
      <c r="S638" s="957"/>
      <c r="T638" s="957"/>
      <c r="U638" s="957"/>
      <c r="V638" s="957"/>
      <c r="W638" s="957"/>
      <c r="X638" s="934"/>
      <c r="Y638" s="934"/>
      <c r="Z638" s="934"/>
      <c r="AA638" s="934"/>
      <c r="AB638" s="934"/>
      <c r="AC638" s="934"/>
      <c r="AD638" s="934"/>
      <c r="AE638" s="934"/>
      <c r="AF638" s="934"/>
      <c r="AG638" s="934"/>
      <c r="AH638" s="934"/>
      <c r="AI638" s="934"/>
      <c r="AJ638" s="934"/>
    </row>
    <row r="639" spans="4:36">
      <c r="Q639" s="957"/>
      <c r="R639" s="957"/>
      <c r="S639" s="957"/>
      <c r="T639" s="957"/>
      <c r="U639" s="957"/>
      <c r="V639" s="957"/>
      <c r="W639" s="957"/>
      <c r="X639" s="934"/>
      <c r="Y639" s="934"/>
      <c r="Z639" s="934"/>
      <c r="AA639" s="934"/>
      <c r="AB639" s="934"/>
      <c r="AC639" s="934"/>
      <c r="AD639" s="934"/>
      <c r="AE639" s="934"/>
      <c r="AF639" s="934"/>
      <c r="AG639" s="934"/>
      <c r="AH639" s="934"/>
      <c r="AI639" s="934"/>
      <c r="AJ639" s="934"/>
    </row>
    <row r="640" spans="4:36">
      <c r="Q640" s="957"/>
      <c r="R640" s="957"/>
      <c r="S640" s="957"/>
      <c r="T640" s="957"/>
      <c r="U640" s="957"/>
      <c r="V640" s="957"/>
      <c r="W640" s="957"/>
      <c r="X640" s="934"/>
      <c r="Y640" s="934"/>
      <c r="Z640" s="934"/>
      <c r="AA640" s="934"/>
      <c r="AB640" s="934"/>
      <c r="AC640" s="934"/>
      <c r="AD640" s="934"/>
      <c r="AE640" s="934"/>
      <c r="AF640" s="934"/>
      <c r="AG640" s="934"/>
      <c r="AH640" s="934"/>
      <c r="AI640" s="934"/>
      <c r="AJ640" s="934"/>
    </row>
    <row r="641" spans="17:36">
      <c r="Q641" s="957"/>
      <c r="R641" s="957"/>
      <c r="S641" s="957"/>
      <c r="T641" s="957"/>
      <c r="U641" s="957"/>
      <c r="V641" s="957"/>
      <c r="W641" s="957"/>
      <c r="X641" s="934"/>
      <c r="Y641" s="934"/>
      <c r="Z641" s="934"/>
      <c r="AA641" s="934"/>
      <c r="AB641" s="934"/>
      <c r="AC641" s="934"/>
      <c r="AD641" s="934"/>
      <c r="AE641" s="934"/>
      <c r="AF641" s="934"/>
      <c r="AG641" s="934"/>
      <c r="AH641" s="934"/>
      <c r="AI641" s="934"/>
      <c r="AJ641" s="934"/>
    </row>
    <row r="642" spans="17:36">
      <c r="Q642" s="957"/>
      <c r="R642" s="957"/>
      <c r="S642" s="957"/>
      <c r="T642" s="957"/>
      <c r="U642" s="957"/>
      <c r="V642" s="957"/>
      <c r="W642" s="957"/>
      <c r="X642" s="934"/>
      <c r="Y642" s="934"/>
      <c r="Z642" s="934"/>
      <c r="AA642" s="934"/>
      <c r="AB642" s="934"/>
      <c r="AC642" s="934"/>
      <c r="AD642" s="934"/>
      <c r="AE642" s="934"/>
      <c r="AF642" s="934"/>
      <c r="AG642" s="934"/>
      <c r="AH642" s="934"/>
      <c r="AI642" s="934"/>
      <c r="AJ642" s="934"/>
    </row>
    <row r="643" spans="17:36">
      <c r="Q643" s="957"/>
      <c r="R643" s="957"/>
      <c r="S643" s="957"/>
      <c r="T643" s="957"/>
      <c r="U643" s="957"/>
      <c r="V643" s="957"/>
      <c r="W643" s="957"/>
      <c r="X643" s="934"/>
      <c r="Y643" s="934"/>
      <c r="Z643" s="934"/>
      <c r="AA643" s="934"/>
      <c r="AB643" s="934"/>
      <c r="AC643" s="934"/>
      <c r="AD643" s="934"/>
      <c r="AE643" s="934"/>
      <c r="AF643" s="934"/>
      <c r="AG643" s="934"/>
      <c r="AH643" s="934"/>
      <c r="AI643" s="934"/>
      <c r="AJ643" s="934"/>
    </row>
    <row r="644" spans="17:36">
      <c r="Q644" s="957"/>
      <c r="R644" s="957"/>
      <c r="S644" s="957"/>
      <c r="T644" s="957"/>
      <c r="U644" s="957"/>
      <c r="V644" s="957"/>
      <c r="W644" s="957"/>
      <c r="X644" s="934"/>
      <c r="Y644" s="934"/>
      <c r="Z644" s="934"/>
      <c r="AA644" s="934"/>
      <c r="AB644" s="934"/>
      <c r="AC644" s="934"/>
      <c r="AD644" s="934"/>
      <c r="AE644" s="934"/>
      <c r="AF644" s="934"/>
      <c r="AG644" s="934"/>
      <c r="AH644" s="934"/>
      <c r="AI644" s="934"/>
      <c r="AJ644" s="934"/>
    </row>
    <row r="645" spans="17:36">
      <c r="Q645" s="957"/>
      <c r="R645" s="957"/>
      <c r="S645" s="957"/>
      <c r="T645" s="957"/>
      <c r="U645" s="957"/>
      <c r="V645" s="957"/>
      <c r="W645" s="957"/>
      <c r="X645" s="934"/>
      <c r="Y645" s="934"/>
      <c r="Z645" s="934"/>
      <c r="AA645" s="934"/>
      <c r="AB645" s="934"/>
      <c r="AC645" s="934"/>
      <c r="AD645" s="934"/>
      <c r="AE645" s="934"/>
      <c r="AF645" s="934"/>
      <c r="AG645" s="934"/>
      <c r="AH645" s="934"/>
      <c r="AI645" s="934"/>
      <c r="AJ645" s="934"/>
    </row>
    <row r="646" spans="17:36">
      <c r="Q646" s="957"/>
      <c r="R646" s="957"/>
      <c r="S646" s="957"/>
      <c r="T646" s="957"/>
      <c r="U646" s="957"/>
      <c r="V646" s="957"/>
      <c r="W646" s="957"/>
      <c r="X646" s="934"/>
      <c r="Y646" s="934"/>
      <c r="Z646" s="934"/>
      <c r="AA646" s="934"/>
      <c r="AB646" s="934"/>
      <c r="AC646" s="934"/>
      <c r="AD646" s="934"/>
      <c r="AE646" s="934"/>
      <c r="AF646" s="934"/>
      <c r="AG646" s="934"/>
      <c r="AH646" s="934"/>
      <c r="AI646" s="934"/>
      <c r="AJ646" s="934"/>
    </row>
    <row r="647" spans="17:36">
      <c r="Q647" s="957"/>
      <c r="R647" s="957"/>
      <c r="S647" s="957"/>
      <c r="T647" s="957"/>
      <c r="U647" s="957"/>
      <c r="V647" s="957"/>
      <c r="W647" s="957"/>
      <c r="X647" s="934"/>
      <c r="Y647" s="934"/>
      <c r="Z647" s="934"/>
      <c r="AA647" s="934"/>
      <c r="AB647" s="934"/>
      <c r="AC647" s="934"/>
      <c r="AD647" s="934"/>
      <c r="AE647" s="934"/>
      <c r="AF647" s="934"/>
      <c r="AG647" s="934"/>
      <c r="AH647" s="934"/>
      <c r="AI647" s="934"/>
      <c r="AJ647" s="934"/>
    </row>
    <row r="648" spans="17:36">
      <c r="Q648" s="957"/>
      <c r="R648" s="957"/>
      <c r="S648" s="957"/>
      <c r="T648" s="957"/>
      <c r="U648" s="957"/>
      <c r="V648" s="957"/>
      <c r="W648" s="957"/>
      <c r="X648" s="934"/>
      <c r="Y648" s="934"/>
      <c r="Z648" s="934"/>
      <c r="AA648" s="934"/>
      <c r="AB648" s="934"/>
      <c r="AC648" s="934"/>
      <c r="AD648" s="934"/>
      <c r="AE648" s="934"/>
      <c r="AF648" s="934"/>
      <c r="AG648" s="934"/>
      <c r="AH648" s="934"/>
      <c r="AI648" s="934"/>
      <c r="AJ648" s="934"/>
    </row>
    <row r="649" spans="17:36">
      <c r="Q649" s="957"/>
      <c r="R649" s="957"/>
      <c r="S649" s="957"/>
      <c r="T649" s="957"/>
      <c r="U649" s="957"/>
      <c r="V649" s="957"/>
      <c r="W649" s="957"/>
      <c r="X649" s="934"/>
      <c r="Y649" s="934"/>
      <c r="Z649" s="934"/>
      <c r="AA649" s="934"/>
      <c r="AB649" s="934"/>
      <c r="AC649" s="934"/>
      <c r="AD649" s="934"/>
      <c r="AE649" s="934"/>
      <c r="AF649" s="934"/>
      <c r="AG649" s="934"/>
      <c r="AH649" s="934"/>
      <c r="AI649" s="934"/>
      <c r="AJ649" s="934"/>
    </row>
    <row r="650" spans="17:36">
      <c r="Q650" s="957"/>
      <c r="R650" s="957"/>
      <c r="S650" s="957"/>
      <c r="T650" s="957"/>
      <c r="U650" s="957"/>
      <c r="V650" s="957"/>
      <c r="W650" s="957"/>
      <c r="X650" s="934"/>
      <c r="Y650" s="934"/>
      <c r="Z650" s="934"/>
      <c r="AA650" s="934"/>
      <c r="AB650" s="934"/>
      <c r="AC650" s="934"/>
      <c r="AD650" s="934"/>
      <c r="AE650" s="934"/>
      <c r="AF650" s="934"/>
      <c r="AG650" s="934"/>
      <c r="AH650" s="934"/>
      <c r="AI650" s="934"/>
      <c r="AJ650" s="934"/>
    </row>
    <row r="651" spans="17:36">
      <c r="Q651" s="957"/>
      <c r="R651" s="957"/>
      <c r="S651" s="957"/>
      <c r="T651" s="957"/>
      <c r="U651" s="957"/>
      <c r="V651" s="957"/>
      <c r="W651" s="957"/>
      <c r="X651" s="934"/>
      <c r="Y651" s="934"/>
      <c r="Z651" s="934"/>
      <c r="AA651" s="934"/>
      <c r="AB651" s="934"/>
      <c r="AC651" s="934"/>
      <c r="AD651" s="934"/>
      <c r="AE651" s="934"/>
      <c r="AF651" s="934"/>
      <c r="AG651" s="934"/>
      <c r="AH651" s="934"/>
      <c r="AI651" s="934"/>
      <c r="AJ651" s="934"/>
    </row>
    <row r="652" spans="17:36">
      <c r="Q652" s="957"/>
      <c r="R652" s="957"/>
      <c r="S652" s="957"/>
      <c r="T652" s="957"/>
      <c r="U652" s="957"/>
      <c r="V652" s="957"/>
      <c r="W652" s="957"/>
      <c r="X652" s="934"/>
      <c r="Y652" s="934"/>
      <c r="Z652" s="934"/>
      <c r="AA652" s="934"/>
      <c r="AB652" s="934"/>
      <c r="AC652" s="934"/>
      <c r="AD652" s="934"/>
      <c r="AE652" s="934"/>
      <c r="AF652" s="934"/>
      <c r="AG652" s="934"/>
      <c r="AH652" s="934"/>
      <c r="AI652" s="934"/>
      <c r="AJ652" s="934"/>
    </row>
    <row r="653" spans="17:36">
      <c r="Q653" s="957"/>
      <c r="R653" s="957"/>
      <c r="S653" s="957"/>
      <c r="T653" s="957"/>
      <c r="U653" s="957"/>
      <c r="V653" s="957"/>
      <c r="W653" s="957"/>
      <c r="X653" s="934"/>
      <c r="Y653" s="934"/>
      <c r="Z653" s="934"/>
      <c r="AA653" s="934"/>
      <c r="AB653" s="934"/>
      <c r="AC653" s="934"/>
      <c r="AD653" s="934"/>
      <c r="AE653" s="934"/>
      <c r="AF653" s="934"/>
      <c r="AG653" s="934"/>
      <c r="AH653" s="934"/>
      <c r="AI653" s="934"/>
      <c r="AJ653" s="934"/>
    </row>
    <row r="654" spans="17:36">
      <c r="Q654" s="957"/>
      <c r="R654" s="957"/>
      <c r="S654" s="957"/>
      <c r="T654" s="957"/>
      <c r="U654" s="957"/>
      <c r="V654" s="957"/>
      <c r="W654" s="957"/>
      <c r="X654" s="934"/>
      <c r="Y654" s="934"/>
      <c r="Z654" s="934"/>
      <c r="AA654" s="934"/>
      <c r="AB654" s="934"/>
      <c r="AC654" s="934"/>
      <c r="AD654" s="934"/>
      <c r="AE654" s="934"/>
      <c r="AF654" s="934"/>
      <c r="AG654" s="934"/>
      <c r="AH654" s="934"/>
      <c r="AI654" s="934"/>
      <c r="AJ654" s="934"/>
    </row>
    <row r="655" spans="17:36">
      <c r="Q655" s="957"/>
      <c r="R655" s="957"/>
      <c r="S655" s="957"/>
      <c r="T655" s="957"/>
      <c r="U655" s="957"/>
      <c r="V655" s="957"/>
      <c r="W655" s="957"/>
      <c r="X655" s="934"/>
      <c r="Y655" s="934"/>
      <c r="Z655" s="934"/>
      <c r="AA655" s="934"/>
      <c r="AB655" s="934"/>
      <c r="AC655" s="934"/>
      <c r="AD655" s="934"/>
      <c r="AE655" s="934"/>
      <c r="AF655" s="934"/>
      <c r="AG655" s="934"/>
      <c r="AH655" s="934"/>
      <c r="AI655" s="934"/>
      <c r="AJ655" s="934"/>
    </row>
    <row r="656" spans="17:36">
      <c r="Q656" s="957"/>
      <c r="R656" s="957"/>
      <c r="S656" s="957"/>
      <c r="T656" s="957"/>
      <c r="U656" s="957"/>
      <c r="V656" s="957"/>
      <c r="W656" s="957"/>
      <c r="X656" s="934"/>
      <c r="Y656" s="934"/>
      <c r="Z656" s="934"/>
      <c r="AA656" s="934"/>
      <c r="AB656" s="934"/>
      <c r="AC656" s="934"/>
      <c r="AD656" s="934"/>
      <c r="AE656" s="934"/>
      <c r="AF656" s="934"/>
      <c r="AG656" s="934"/>
      <c r="AH656" s="934"/>
      <c r="AI656" s="934"/>
      <c r="AJ656" s="934"/>
    </row>
    <row r="657" spans="17:36">
      <c r="Q657" s="957"/>
      <c r="R657" s="957"/>
      <c r="S657" s="957"/>
      <c r="T657" s="957"/>
      <c r="U657" s="957"/>
      <c r="V657" s="957"/>
      <c r="W657" s="957"/>
      <c r="X657" s="934"/>
      <c r="Y657" s="934"/>
      <c r="Z657" s="934"/>
      <c r="AA657" s="934"/>
      <c r="AB657" s="934"/>
      <c r="AC657" s="934"/>
      <c r="AD657" s="934"/>
      <c r="AE657" s="934"/>
      <c r="AF657" s="934"/>
      <c r="AG657" s="934"/>
      <c r="AH657" s="934"/>
      <c r="AI657" s="934"/>
      <c r="AJ657" s="934"/>
    </row>
    <row r="658" spans="17:36">
      <c r="Q658" s="957"/>
      <c r="R658" s="957"/>
      <c r="S658" s="957"/>
      <c r="T658" s="957"/>
      <c r="U658" s="957"/>
      <c r="V658" s="957"/>
      <c r="W658" s="957"/>
      <c r="X658" s="934"/>
      <c r="Y658" s="934"/>
      <c r="Z658" s="934"/>
      <c r="AA658" s="934"/>
      <c r="AB658" s="934"/>
      <c r="AC658" s="934"/>
      <c r="AD658" s="934"/>
      <c r="AE658" s="934"/>
      <c r="AF658" s="934"/>
      <c r="AG658" s="934"/>
      <c r="AH658" s="934"/>
      <c r="AI658" s="934"/>
      <c r="AJ658" s="934"/>
    </row>
    <row r="659" spans="17:36">
      <c r="Q659" s="957"/>
      <c r="R659" s="957"/>
      <c r="S659" s="957"/>
      <c r="T659" s="957"/>
      <c r="U659" s="957"/>
      <c r="V659" s="957"/>
      <c r="W659" s="957"/>
      <c r="X659" s="934"/>
      <c r="Y659" s="934"/>
      <c r="Z659" s="934"/>
      <c r="AA659" s="934"/>
      <c r="AB659" s="934"/>
      <c r="AC659" s="934"/>
      <c r="AD659" s="934"/>
      <c r="AE659" s="934"/>
      <c r="AF659" s="934"/>
      <c r="AG659" s="934"/>
      <c r="AH659" s="934"/>
      <c r="AI659" s="934"/>
      <c r="AJ659" s="934"/>
    </row>
    <row r="660" spans="17:36">
      <c r="Q660" s="957"/>
      <c r="R660" s="957"/>
      <c r="S660" s="957"/>
      <c r="T660" s="957"/>
      <c r="U660" s="957"/>
      <c r="V660" s="957"/>
      <c r="W660" s="957"/>
      <c r="X660" s="934"/>
      <c r="Y660" s="934"/>
      <c r="Z660" s="934"/>
      <c r="AA660" s="934"/>
      <c r="AB660" s="934"/>
      <c r="AC660" s="934"/>
      <c r="AD660" s="934"/>
      <c r="AE660" s="934"/>
      <c r="AF660" s="934"/>
      <c r="AG660" s="934"/>
      <c r="AH660" s="934"/>
      <c r="AI660" s="934"/>
      <c r="AJ660" s="934"/>
    </row>
    <row r="661" spans="17:36">
      <c r="Q661" s="957"/>
      <c r="R661" s="957"/>
      <c r="S661" s="957"/>
      <c r="T661" s="957"/>
      <c r="U661" s="957"/>
      <c r="V661" s="957"/>
      <c r="W661" s="957"/>
      <c r="X661" s="934"/>
      <c r="Y661" s="934"/>
      <c r="Z661" s="934"/>
      <c r="AA661" s="934"/>
      <c r="AB661" s="934"/>
      <c r="AC661" s="934"/>
      <c r="AD661" s="934"/>
      <c r="AE661" s="934"/>
      <c r="AF661" s="934"/>
      <c r="AG661" s="934"/>
      <c r="AH661" s="934"/>
      <c r="AI661" s="934"/>
      <c r="AJ661" s="934"/>
    </row>
    <row r="662" spans="17:36">
      <c r="Q662" s="957"/>
      <c r="R662" s="957"/>
      <c r="S662" s="957"/>
      <c r="T662" s="957"/>
      <c r="U662" s="957"/>
      <c r="V662" s="957"/>
      <c r="W662" s="957"/>
      <c r="X662" s="934"/>
      <c r="Y662" s="934"/>
      <c r="Z662" s="934"/>
      <c r="AA662" s="934"/>
      <c r="AB662" s="934"/>
      <c r="AC662" s="934"/>
      <c r="AD662" s="934"/>
      <c r="AE662" s="934"/>
      <c r="AF662" s="934"/>
      <c r="AG662" s="934"/>
      <c r="AH662" s="934"/>
      <c r="AI662" s="934"/>
      <c r="AJ662" s="934"/>
    </row>
    <row r="663" spans="17:36">
      <c r="Q663" s="957"/>
      <c r="R663" s="957"/>
      <c r="S663" s="957"/>
      <c r="T663" s="957"/>
      <c r="U663" s="957"/>
      <c r="V663" s="957"/>
      <c r="W663" s="957"/>
      <c r="X663" s="934"/>
      <c r="Y663" s="934"/>
      <c r="Z663" s="934"/>
      <c r="AA663" s="934"/>
      <c r="AB663" s="934"/>
      <c r="AC663" s="934"/>
      <c r="AD663" s="934"/>
      <c r="AE663" s="934"/>
      <c r="AF663" s="934"/>
      <c r="AG663" s="934"/>
      <c r="AH663" s="934"/>
      <c r="AI663" s="934"/>
      <c r="AJ663" s="934"/>
    </row>
    <row r="664" spans="17:36">
      <c r="Q664" s="957"/>
      <c r="R664" s="957"/>
      <c r="S664" s="957"/>
      <c r="T664" s="957"/>
      <c r="U664" s="957"/>
      <c r="V664" s="957"/>
      <c r="W664" s="957"/>
      <c r="X664" s="934"/>
      <c r="Y664" s="934"/>
      <c r="Z664" s="934"/>
      <c r="AA664" s="934"/>
      <c r="AB664" s="934"/>
      <c r="AC664" s="934"/>
      <c r="AD664" s="934"/>
      <c r="AE664" s="934"/>
      <c r="AF664" s="934"/>
      <c r="AG664" s="934"/>
      <c r="AH664" s="934"/>
      <c r="AI664" s="934"/>
      <c r="AJ664" s="934"/>
    </row>
    <row r="665" spans="17:36">
      <c r="Q665" s="957"/>
      <c r="R665" s="957"/>
      <c r="S665" s="957"/>
      <c r="T665" s="957"/>
      <c r="U665" s="957"/>
      <c r="V665" s="957"/>
      <c r="W665" s="957"/>
      <c r="X665" s="934"/>
      <c r="Y665" s="934"/>
      <c r="Z665" s="934"/>
      <c r="AA665" s="934"/>
      <c r="AB665" s="934"/>
      <c r="AC665" s="934"/>
      <c r="AD665" s="934"/>
      <c r="AE665" s="934"/>
      <c r="AF665" s="934"/>
      <c r="AG665" s="934"/>
      <c r="AH665" s="934"/>
      <c r="AI665" s="934"/>
      <c r="AJ665" s="934"/>
    </row>
    <row r="666" spans="17:36">
      <c r="Q666" s="957"/>
      <c r="R666" s="957"/>
      <c r="S666" s="957"/>
      <c r="T666" s="957"/>
      <c r="U666" s="957"/>
      <c r="V666" s="957"/>
      <c r="W666" s="957"/>
      <c r="X666" s="934"/>
      <c r="Y666" s="934"/>
      <c r="Z666" s="934"/>
      <c r="AA666" s="934"/>
      <c r="AB666" s="934"/>
      <c r="AC666" s="934"/>
      <c r="AD666" s="934"/>
      <c r="AE666" s="934"/>
      <c r="AF666" s="934"/>
      <c r="AG666" s="934"/>
      <c r="AH666" s="934"/>
      <c r="AI666" s="934"/>
      <c r="AJ666" s="934"/>
    </row>
    <row r="667" spans="17:36">
      <c r="Q667" s="957"/>
      <c r="R667" s="957"/>
      <c r="S667" s="957"/>
      <c r="T667" s="957"/>
      <c r="U667" s="957"/>
      <c r="V667" s="957"/>
      <c r="W667" s="957"/>
      <c r="X667" s="934"/>
      <c r="Y667" s="934"/>
      <c r="Z667" s="934"/>
      <c r="AA667" s="934"/>
      <c r="AB667" s="934"/>
      <c r="AC667" s="934"/>
      <c r="AD667" s="934"/>
      <c r="AE667" s="934"/>
      <c r="AF667" s="934"/>
      <c r="AG667" s="934"/>
      <c r="AH667" s="934"/>
      <c r="AI667" s="934"/>
      <c r="AJ667" s="934"/>
    </row>
    <row r="668" spans="17:36">
      <c r="Q668" s="957"/>
      <c r="R668" s="957"/>
      <c r="S668" s="957"/>
      <c r="T668" s="957"/>
      <c r="U668" s="957"/>
      <c r="V668" s="957"/>
      <c r="W668" s="957"/>
      <c r="X668" s="934"/>
      <c r="Y668" s="934"/>
      <c r="Z668" s="934"/>
      <c r="AA668" s="934"/>
      <c r="AB668" s="934"/>
      <c r="AC668" s="934"/>
      <c r="AD668" s="934"/>
      <c r="AE668" s="934"/>
      <c r="AF668" s="934"/>
      <c r="AG668" s="934"/>
      <c r="AH668" s="934"/>
      <c r="AI668" s="934"/>
      <c r="AJ668" s="934"/>
    </row>
    <row r="669" spans="17:36">
      <c r="Q669" s="957"/>
      <c r="R669" s="957"/>
      <c r="S669" s="957"/>
      <c r="T669" s="957"/>
      <c r="U669" s="957"/>
      <c r="V669" s="957"/>
      <c r="W669" s="957"/>
      <c r="X669" s="934"/>
      <c r="Y669" s="934"/>
      <c r="Z669" s="934"/>
      <c r="AA669" s="934"/>
      <c r="AB669" s="934"/>
      <c r="AC669" s="934"/>
      <c r="AD669" s="934"/>
      <c r="AE669" s="934"/>
      <c r="AF669" s="934"/>
      <c r="AG669" s="934"/>
      <c r="AH669" s="934"/>
      <c r="AI669" s="934"/>
      <c r="AJ669" s="934"/>
    </row>
    <row r="670" spans="17:36">
      <c r="Q670" s="957"/>
      <c r="R670" s="957"/>
      <c r="S670" s="957"/>
      <c r="T670" s="957"/>
      <c r="U670" s="957"/>
      <c r="V670" s="957"/>
      <c r="W670" s="957"/>
      <c r="X670" s="934"/>
      <c r="Y670" s="934"/>
      <c r="Z670" s="934"/>
      <c r="AA670" s="934"/>
      <c r="AB670" s="934"/>
      <c r="AC670" s="934"/>
      <c r="AD670" s="934"/>
      <c r="AE670" s="934"/>
      <c r="AF670" s="934"/>
      <c r="AG670" s="934"/>
      <c r="AH670" s="934"/>
      <c r="AI670" s="934"/>
      <c r="AJ670" s="934"/>
    </row>
    <row r="671" spans="17:36">
      <c r="Q671" s="957"/>
      <c r="R671" s="957"/>
      <c r="S671" s="957"/>
      <c r="T671" s="957"/>
      <c r="U671" s="957"/>
      <c r="V671" s="957"/>
      <c r="W671" s="957"/>
      <c r="X671" s="934"/>
      <c r="Y671" s="934"/>
      <c r="Z671" s="934"/>
      <c r="AA671" s="934"/>
      <c r="AB671" s="934"/>
      <c r="AC671" s="934"/>
      <c r="AD671" s="934"/>
      <c r="AE671" s="934"/>
      <c r="AF671" s="934"/>
      <c r="AG671" s="934"/>
      <c r="AH671" s="934"/>
      <c r="AI671" s="934"/>
      <c r="AJ671" s="934"/>
    </row>
    <row r="672" spans="17:36">
      <c r="Q672" s="957"/>
      <c r="R672" s="957"/>
      <c r="S672" s="957"/>
      <c r="T672" s="957"/>
      <c r="U672" s="957"/>
      <c r="V672" s="957"/>
      <c r="W672" s="957"/>
      <c r="X672" s="934"/>
      <c r="Y672" s="934"/>
      <c r="Z672" s="934"/>
      <c r="AA672" s="934"/>
      <c r="AB672" s="934"/>
      <c r="AC672" s="934"/>
      <c r="AD672" s="934"/>
      <c r="AE672" s="934"/>
      <c r="AF672" s="934"/>
      <c r="AG672" s="934"/>
      <c r="AH672" s="934"/>
      <c r="AI672" s="934"/>
      <c r="AJ672" s="934"/>
    </row>
    <row r="673" spans="17:36">
      <c r="Q673" s="957"/>
      <c r="R673" s="957"/>
      <c r="S673" s="957"/>
      <c r="T673" s="957"/>
      <c r="U673" s="957"/>
      <c r="V673" s="957"/>
      <c r="W673" s="957"/>
      <c r="X673" s="934"/>
      <c r="Y673" s="934"/>
      <c r="Z673" s="934"/>
      <c r="AA673" s="934"/>
      <c r="AB673" s="934"/>
      <c r="AC673" s="934"/>
      <c r="AD673" s="934"/>
      <c r="AE673" s="934"/>
      <c r="AF673" s="934"/>
      <c r="AG673" s="934"/>
      <c r="AH673" s="934"/>
      <c r="AI673" s="934"/>
      <c r="AJ673" s="934"/>
    </row>
    <row r="674" spans="17:36">
      <c r="Q674" s="957"/>
      <c r="R674" s="957"/>
      <c r="S674" s="957"/>
      <c r="T674" s="957"/>
      <c r="U674" s="957"/>
      <c r="V674" s="957"/>
      <c r="W674" s="957"/>
      <c r="X674" s="934"/>
      <c r="Y674" s="934"/>
      <c r="Z674" s="934"/>
      <c r="AA674" s="934"/>
      <c r="AB674" s="934"/>
      <c r="AC674" s="934"/>
      <c r="AD674" s="934"/>
      <c r="AE674" s="934"/>
      <c r="AF674" s="934"/>
      <c r="AG674" s="934"/>
      <c r="AH674" s="934"/>
      <c r="AI674" s="934"/>
      <c r="AJ674" s="934"/>
    </row>
    <row r="675" spans="17:36">
      <c r="Q675" s="957"/>
      <c r="R675" s="957"/>
      <c r="S675" s="957"/>
      <c r="T675" s="957"/>
      <c r="U675" s="957"/>
      <c r="V675" s="957"/>
      <c r="W675" s="957"/>
      <c r="X675" s="934"/>
      <c r="Y675" s="934"/>
      <c r="Z675" s="934"/>
      <c r="AA675" s="934"/>
      <c r="AB675" s="934"/>
      <c r="AC675" s="934"/>
      <c r="AD675" s="934"/>
      <c r="AE675" s="934"/>
      <c r="AF675" s="934"/>
      <c r="AG675" s="934"/>
      <c r="AH675" s="934"/>
      <c r="AI675" s="934"/>
      <c r="AJ675" s="934"/>
    </row>
    <row r="676" spans="17:36">
      <c r="R676" s="957"/>
      <c r="S676" s="957"/>
      <c r="X676" s="934"/>
    </row>
    <row r="677" spans="17:36">
      <c r="R677" s="957"/>
      <c r="S677" s="957"/>
      <c r="X677" s="934"/>
    </row>
    <row r="678" spans="17:36">
      <c r="R678" s="957"/>
      <c r="S678" s="957"/>
      <c r="X678" s="934"/>
    </row>
    <row r="679" spans="17:36">
      <c r="R679" s="957"/>
      <c r="S679" s="957"/>
      <c r="X679" s="934"/>
    </row>
    <row r="680" spans="17:36">
      <c r="R680" s="957"/>
      <c r="S680" s="957"/>
      <c r="X680" s="934"/>
    </row>
    <row r="681" spans="17:36">
      <c r="R681" s="957"/>
      <c r="S681" s="957"/>
      <c r="X681" s="934"/>
    </row>
    <row r="682" spans="17:36">
      <c r="R682" s="957"/>
      <c r="S682" s="957"/>
      <c r="X682" s="934"/>
    </row>
    <row r="683" spans="17:36">
      <c r="R683" s="957"/>
      <c r="S683" s="957"/>
      <c r="X683" s="934"/>
    </row>
  </sheetData>
  <autoFilter ref="O9:O630">
    <filterColumn colId="0" hiddenButton="1">
      <customFilters>
        <customFilter operator="greaterThan" val="0"/>
      </customFilters>
    </filterColumn>
  </autoFilter>
  <mergeCells count="31">
    <mergeCell ref="S18:W18"/>
    <mergeCell ref="S19:W19"/>
    <mergeCell ref="Z5:AA5"/>
    <mergeCell ref="B618:M618"/>
    <mergeCell ref="B9:B11"/>
    <mergeCell ref="D9:H11"/>
    <mergeCell ref="I9:I11"/>
    <mergeCell ref="L9:L11"/>
    <mergeCell ref="M9:M11"/>
    <mergeCell ref="L8:M8"/>
    <mergeCell ref="D5:M5"/>
    <mergeCell ref="S12:W12"/>
    <mergeCell ref="S13:W13"/>
    <mergeCell ref="S14:W14"/>
    <mergeCell ref="S15:W15"/>
    <mergeCell ref="S16:W16"/>
    <mergeCell ref="S17:W17"/>
    <mergeCell ref="J9:K9"/>
    <mergeCell ref="J10:J11"/>
    <mergeCell ref="K10:K11"/>
    <mergeCell ref="B1:M1"/>
    <mergeCell ref="D2:E2"/>
    <mergeCell ref="D3:M3"/>
    <mergeCell ref="B4:M4"/>
    <mergeCell ref="C9:C11"/>
    <mergeCell ref="B546:B617"/>
    <mergeCell ref="D12:H12"/>
    <mergeCell ref="B28:B201"/>
    <mergeCell ref="B202:B303"/>
    <mergeCell ref="B304:B545"/>
    <mergeCell ref="B13:B27"/>
  </mergeCells>
  <conditionalFormatting sqref="Q12:X12">
    <cfRule type="expression" dxfId="73" priority="146">
      <formula>IF($Q$12=$R$12,0,1)</formula>
    </cfRule>
  </conditionalFormatting>
  <conditionalFormatting sqref="Q13:W13">
    <cfRule type="expression" dxfId="72" priority="145">
      <formula>IF($Q$13=$R$13,0,1)</formula>
    </cfRule>
  </conditionalFormatting>
  <conditionalFormatting sqref="Q14:W14">
    <cfRule type="expression" dxfId="71" priority="144">
      <formula>IF($Q$14=$R$14,0,1)</formula>
    </cfRule>
  </conditionalFormatting>
  <conditionalFormatting sqref="Q15:W15">
    <cfRule type="expression" dxfId="70" priority="143">
      <formula>IF($Q$15=$R$15,0,1)</formula>
    </cfRule>
  </conditionalFormatting>
  <conditionalFormatting sqref="Q16:W16">
    <cfRule type="expression" dxfId="69" priority="142">
      <formula>IF($Q$16=$R$16,0,1)</formula>
    </cfRule>
  </conditionalFormatting>
  <conditionalFormatting sqref="Q17:W17">
    <cfRule type="expression" dxfId="68" priority="141">
      <formula>IF($Q$17=$R$17,0,1)</formula>
    </cfRule>
  </conditionalFormatting>
  <conditionalFormatting sqref="Q18:W18">
    <cfRule type="expression" dxfId="67" priority="140">
      <formula>IF($Q$18=$R$18,0,1)</formula>
    </cfRule>
  </conditionalFormatting>
  <conditionalFormatting sqref="Q19:W19">
    <cfRule type="expression" dxfId="66" priority="139">
      <formula>IF($Q$19=$R$19,0,1)</formula>
    </cfRule>
  </conditionalFormatting>
  <conditionalFormatting sqref="M14:M27 M246:M248 M203:M243 M495:M545">
    <cfRule type="expression" dxfId="65" priority="100">
      <formula>IF(M14="Введите количество",1,0)</formula>
    </cfRule>
  </conditionalFormatting>
  <conditionalFormatting sqref="M14:M27 M203:M243 M246:M248 M495:M545">
    <cfRule type="expression" dxfId="64" priority="99">
      <formula>IF(K14="Введите количество",1,0)</formula>
    </cfRule>
  </conditionalFormatting>
  <conditionalFormatting sqref="M29:M201">
    <cfRule type="expression" dxfId="63" priority="31">
      <formula>IF(M29="Введите количество",1,0)</formula>
    </cfRule>
  </conditionalFormatting>
  <conditionalFormatting sqref="M29:M201">
    <cfRule type="expression" dxfId="62" priority="30">
      <formula>IF(K29="Введите количество",1,0)</formula>
    </cfRule>
  </conditionalFormatting>
  <conditionalFormatting sqref="M249:M303">
    <cfRule type="expression" dxfId="61" priority="29">
      <formula>IF(M249="Введите количество",1,0)</formula>
    </cfRule>
  </conditionalFormatting>
  <conditionalFormatting sqref="M249:M303">
    <cfRule type="expression" dxfId="60" priority="28">
      <formula>IF(K249="Введите количество",1,0)</formula>
    </cfRule>
  </conditionalFormatting>
  <conditionalFormatting sqref="M305:M446 M448:M484">
    <cfRule type="expression" dxfId="59" priority="27">
      <formula>IF(M305="Введите количество",1,0)</formula>
    </cfRule>
  </conditionalFormatting>
  <conditionalFormatting sqref="M305:M446 M448:M484">
    <cfRule type="expression" dxfId="58" priority="26">
      <formula>IF(K305="Введите количество",1,0)</formula>
    </cfRule>
  </conditionalFormatting>
  <conditionalFormatting sqref="M547:M616">
    <cfRule type="expression" dxfId="57" priority="25">
      <formula>IF(M547="Введите количество",1,0)</formula>
    </cfRule>
  </conditionalFormatting>
  <conditionalFormatting sqref="M547:M616">
    <cfRule type="expression" dxfId="56" priority="24">
      <formula>IF(K547="Введите количество",1,0)</formula>
    </cfRule>
  </conditionalFormatting>
  <conditionalFormatting sqref="M244:M245">
    <cfRule type="expression" dxfId="55" priority="20">
      <formula>IF(M244="Введите количество",1,0)</formula>
    </cfRule>
  </conditionalFormatting>
  <conditionalFormatting sqref="M244:M245">
    <cfRule type="expression" dxfId="54" priority="19">
      <formula>IF(K244="Введите количество",1,0)</formula>
    </cfRule>
  </conditionalFormatting>
  <conditionalFormatting sqref="M447">
    <cfRule type="expression" dxfId="53" priority="14">
      <formula>IF(M447="Введите количество",1,0)</formula>
    </cfRule>
  </conditionalFormatting>
  <conditionalFormatting sqref="M447">
    <cfRule type="expression" dxfId="52" priority="13">
      <formula>IF(K447="Введите количество",1,0)</formula>
    </cfRule>
  </conditionalFormatting>
  <conditionalFormatting sqref="K1:K202 K276 K280 K285 K290 K292:K304 K618:K1048576 K410:K546">
    <cfRule type="containsText" dxfId="51" priority="11" operator="containsText" text="Введите">
      <formula>NOT(ISERROR(SEARCH("Введите",K1)))</formula>
    </cfRule>
  </conditionalFormatting>
  <conditionalFormatting sqref="K203:K275">
    <cfRule type="containsText" dxfId="50" priority="10" operator="containsText" text="Введите">
      <formula>NOT(ISERROR(SEARCH("Введите",K203)))</formula>
    </cfRule>
  </conditionalFormatting>
  <conditionalFormatting sqref="K277:K279">
    <cfRule type="containsText" dxfId="49" priority="9" operator="containsText" text="Введите">
      <formula>NOT(ISERROR(SEARCH("Введите",K277)))</formula>
    </cfRule>
  </conditionalFormatting>
  <conditionalFormatting sqref="K281:K284">
    <cfRule type="containsText" dxfId="48" priority="8" operator="containsText" text="Введите">
      <formula>NOT(ISERROR(SEARCH("Введите",K281)))</formula>
    </cfRule>
  </conditionalFormatting>
  <conditionalFormatting sqref="K286:K289">
    <cfRule type="containsText" dxfId="47" priority="7" operator="containsText" text="Введите">
      <formula>NOT(ISERROR(SEARCH("Введите",K286)))</formula>
    </cfRule>
  </conditionalFormatting>
  <conditionalFormatting sqref="K291">
    <cfRule type="containsText" dxfId="46" priority="6" operator="containsText" text="Введите">
      <formula>NOT(ISERROR(SEARCH("Введите",K291)))</formula>
    </cfRule>
  </conditionalFormatting>
  <conditionalFormatting sqref="K305:K409">
    <cfRule type="containsText" dxfId="45" priority="5" operator="containsText" text="Введите">
      <formula>NOT(ISERROR(SEARCH("Введите",K305)))</formula>
    </cfRule>
  </conditionalFormatting>
  <conditionalFormatting sqref="K547:K616">
    <cfRule type="containsText" dxfId="44" priority="3" operator="containsText" text="Введите">
      <formula>NOT(ISERROR(SEARCH("Введите",K547)))</formula>
    </cfRule>
  </conditionalFormatting>
  <conditionalFormatting sqref="M485:M494">
    <cfRule type="expression" dxfId="43" priority="2">
      <formula>IF(M485="Введите количество",1,0)</formula>
    </cfRule>
  </conditionalFormatting>
  <conditionalFormatting sqref="M485:M494">
    <cfRule type="expression" dxfId="42" priority="1">
      <formula>IF(K485="Введите количество",1,0)</formula>
    </cfRule>
  </conditionalFormatting>
  <hyperlinks>
    <hyperlink ref="S15:W15" location="'ОБЩАЯ СПЕЦИФИКАЦИЯ'!C282" display="↓ Устройство примыканий к вертикальным поверхностям"/>
    <hyperlink ref="S16:W16" location="'ОБЩАЯ СПЕЦИФИКАЦИЯ'!C584" display="↓ Устройство уклонообразующего слоя "/>
    <hyperlink ref="S17:W17" location="'ОБЩАЯ СПЕЦИФИКАЦИЯ'!C548" display="↓ Телескопы"/>
    <hyperlink ref="S18:W18" location="'ОБЩАЯ СПЕЦИФИКАЦИЯ'!C565" display="↓ Саморезы"/>
    <hyperlink ref="S19:W19" location="'ОБЩАЯ СПЕЦИФИКАЦИЯ'!C584" display="↓ Анкера"/>
    <hyperlink ref="P546" location="'ОБЩАЯ СПЕЦИФИКАЦИЯ'!R13" display="⇑"/>
    <hyperlink ref="P579" location="'ОБЩАЯ СПЕЦИФИКАЦИЯ'!R13" display="⇑"/>
    <hyperlink ref="P598" location="'ОБЩАЯ СПЕЦИФИКАЦИЯ'!R13" display="⇑"/>
    <hyperlink ref="P617" location="'ОБЩАЯ СПЕЦИФИКАЦИЯ'!R13" display="⇑"/>
    <hyperlink ref="P202" location="'ОБЩАЯ СПЕЦИФИКАЦИЯ'!R13" display="⇑"/>
    <hyperlink ref="S13:W13" location="'ОБЩАЯ СПЕЦИФИКАЦИЯ'!C28" display="↓Устройство теплоизоляционного слоя"/>
    <hyperlink ref="S14:W14" location="'ОБЩАЯ СПЕЦИФИКАЦИЯ'!C180" display="↓ Устройство гидроизоляционного слоя"/>
    <hyperlink ref="P304" location="'ОБЩАЯ СПЕЦИФИКАЦИЯ'!R13" display="⇑"/>
  </hyperlinks>
  <printOptions horizontalCentered="1"/>
  <pageMargins left="0.51181102362204722" right="0.31496062992125984" top="0.39370078740157483" bottom="0.19685039370078741" header="0.39370078740157483" footer="0.39370078740157483"/>
  <pageSetup paperSize="9" scale="70" fitToWidth="0" fitToHeight="0" orientation="portrait" r:id="rId1"/>
  <ignoredErrors>
    <ignoredError sqref="L8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1714" r:id="rId4" name="Button 2">
              <controlPr defaultSize="0" print="0" autoFill="0" autoPict="0" macro="[0]!НА_ОТПРАВКУ">
                <anchor moveWithCells="1" sizeWithCells="1">
                  <from>
                    <xdr:col>16</xdr:col>
                    <xdr:colOff>30480</xdr:colOff>
                    <xdr:row>7</xdr:row>
                    <xdr:rowOff>213360</xdr:rowOff>
                  </from>
                  <to>
                    <xdr:col>18</xdr:col>
                    <xdr:colOff>121920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 filterMode="1"/>
  <dimension ref="B1:AA409"/>
  <sheetViews>
    <sheetView workbookViewId="0">
      <selection activeCell="B3" sqref="B3:K3"/>
    </sheetView>
  </sheetViews>
  <sheetFormatPr defaultColWidth="9.109375" defaultRowHeight="13.2" outlineLevelCol="1"/>
  <cols>
    <col min="1" max="1" width="2.88671875" style="93" customWidth="1"/>
    <col min="2" max="2" width="8.5546875" style="106" customWidth="1"/>
    <col min="3" max="3" width="17.5546875" style="106" customWidth="1"/>
    <col min="4" max="4" width="53.44140625" style="92" customWidth="1"/>
    <col min="5" max="5" width="5.88671875" style="917" customWidth="1"/>
    <col min="6" max="6" width="19.109375" style="915" customWidth="1"/>
    <col min="7" max="7" width="20.44140625" style="917" customWidth="1"/>
    <col min="8" max="8" width="10.5546875" style="93" customWidth="1"/>
    <col min="9" max="9" width="10.5546875" style="914" customWidth="1"/>
    <col min="10" max="10" width="0" style="93" hidden="1" customWidth="1"/>
    <col min="11" max="11" width="14.33203125" style="927" hidden="1" customWidth="1"/>
    <col min="12" max="12" width="0" style="93" hidden="1" customWidth="1"/>
    <col min="13" max="13" width="18" style="158" hidden="1" customWidth="1" outlineLevel="1"/>
    <col min="14" max="26" width="9.109375" style="93" hidden="1" customWidth="1" outlineLevel="1"/>
    <col min="27" max="27" width="9.109375" style="93" collapsed="1"/>
    <col min="28" max="16384" width="9.109375" style="93"/>
  </cols>
  <sheetData>
    <row r="1" spans="2:24" ht="93.75" customHeight="1"/>
    <row r="2" spans="2:24" ht="9.9" customHeight="1" thickBot="1"/>
    <row r="3" spans="2:24" ht="60" customHeight="1" thickBot="1">
      <c r="B3" s="1446" t="s">
        <v>1553</v>
      </c>
      <c r="C3" s="1446"/>
      <c r="D3" s="1446"/>
      <c r="E3" s="1446"/>
      <c r="F3" s="1446"/>
      <c r="G3" s="1446"/>
      <c r="H3" s="1446"/>
      <c r="I3" s="1446"/>
      <c r="J3" s="1446"/>
      <c r="K3" s="1447"/>
    </row>
    <row r="4" spans="2:24" ht="20.100000000000001" customHeight="1">
      <c r="B4" s="1481" t="s">
        <v>388</v>
      </c>
      <c r="C4" s="1481"/>
      <c r="D4" s="1481"/>
      <c r="E4" s="1481"/>
      <c r="F4" s="1481"/>
      <c r="G4" s="1481"/>
      <c r="H4" s="1481"/>
      <c r="I4" s="1481"/>
    </row>
    <row r="5" spans="2:24" s="501" customFormat="1" ht="39.9" customHeight="1">
      <c r="B5" s="106"/>
      <c r="C5" s="106"/>
      <c r="D5" s="1480" t="s">
        <v>1554</v>
      </c>
      <c r="E5" s="1480"/>
      <c r="F5" s="1480"/>
      <c r="G5" s="1480"/>
      <c r="H5" s="1480"/>
      <c r="I5" s="1480"/>
      <c r="M5" s="915" t="s">
        <v>1452</v>
      </c>
    </row>
    <row r="6" spans="2:24" s="501" customFormat="1" ht="20.100000000000001" customHeight="1">
      <c r="B6" s="106"/>
      <c r="C6" s="106"/>
      <c r="D6" s="925" t="s">
        <v>1536</v>
      </c>
      <c r="E6" s="915"/>
      <c r="F6" s="915"/>
      <c r="G6" s="915"/>
      <c r="I6" s="918"/>
      <c r="M6" s="915" t="e">
        <f>Таблица2[[#Totals],[Кол-во материала по расчету]]-SUM('ОБЩАЯ СПЕЦИФИКАЦИЯ'!J14:J911)</f>
        <v>#VALUE!</v>
      </c>
      <c r="W6" s="501">
        <f ca="1">INDIRECT({"ТИП1"}&amp;"!J4")</f>
        <v>0</v>
      </c>
      <c r="X6" s="501">
        <f ca="1">INDIRECT({"ТИП2"}&amp;"!J4")</f>
        <v>0</v>
      </c>
    </row>
    <row r="7" spans="2:24" s="501" customFormat="1" ht="20.100000000000001" customHeight="1">
      <c r="B7" s="106"/>
      <c r="C7" s="106"/>
      <c r="D7" s="925" t="s">
        <v>1557</v>
      </c>
      <c r="E7" s="915"/>
      <c r="F7" s="915"/>
      <c r="G7" s="915"/>
      <c r="I7" s="918"/>
      <c r="K7" s="916"/>
      <c r="M7" s="158"/>
    </row>
    <row r="8" spans="2:24" s="501" customFormat="1" ht="9.9" customHeight="1">
      <c r="B8" s="106"/>
      <c r="C8" s="106"/>
      <c r="D8" s="919"/>
      <c r="E8" s="915"/>
      <c r="G8" s="915"/>
      <c r="I8" s="918"/>
      <c r="K8" s="916"/>
      <c r="M8" s="158"/>
    </row>
    <row r="9" spans="2:24" ht="39.6">
      <c r="B9" s="924" t="s">
        <v>1456</v>
      </c>
      <c r="C9" s="1046" t="s">
        <v>1458</v>
      </c>
      <c r="D9" s="924" t="s">
        <v>129</v>
      </c>
      <c r="E9" s="285" t="s">
        <v>1466</v>
      </c>
      <c r="F9" s="924" t="s">
        <v>1455</v>
      </c>
      <c r="G9" s="1040" t="s">
        <v>1457</v>
      </c>
      <c r="H9" s="285" t="s">
        <v>1468</v>
      </c>
      <c r="I9" s="928" t="s">
        <v>1467</v>
      </c>
      <c r="K9" s="929" t="s">
        <v>330</v>
      </c>
      <c r="M9" s="926" t="s">
        <v>1458</v>
      </c>
      <c r="N9" s="926" t="s">
        <v>1465</v>
      </c>
    </row>
    <row r="10" spans="2:24" s="501" customFormat="1" ht="20.100000000000001" hidden="1" customHeight="1">
      <c r="B10" s="159" t="s">
        <v>703</v>
      </c>
      <c r="C10" s="1038" t="s">
        <v>1549</v>
      </c>
      <c r="D10" s="105" t="s">
        <v>677</v>
      </c>
      <c r="E10" s="1047" t="s">
        <v>151</v>
      </c>
      <c r="F10" s="920">
        <v>0</v>
      </c>
      <c r="G10" s="1041" t="str">
        <f>IFERROR(_xlfn.CEILING.MATH(Таблица2[[#This Row],[Кол-во материала по расчету]],C10),"-")</f>
        <v>-</v>
      </c>
      <c r="H10" s="933"/>
      <c r="I10" s="921">
        <f>IFERROR(Таблица2[[#This Row],[Кол-во материала с учетом кратности упаковки*****]]*Таблица2[[#This Row],[Стоимость 
ед., руб. ]],0)</f>
        <v>0</v>
      </c>
      <c r="K10" s="916">
        <f t="shared" ref="K10:K73" si="0">IF(F10=0,0,1)</f>
        <v>0</v>
      </c>
      <c r="M10" s="158" t="s">
        <v>6</v>
      </c>
      <c r="N10" s="158" t="s">
        <v>703</v>
      </c>
    </row>
    <row r="11" spans="2:24" s="501" customFormat="1" ht="20.100000000000001" hidden="1" customHeight="1">
      <c r="B11" s="159" t="s">
        <v>702</v>
      </c>
      <c r="C11" s="1039" t="s">
        <v>1549</v>
      </c>
      <c r="D11" s="105" t="s">
        <v>344</v>
      </c>
      <c r="E11" s="1047" t="s">
        <v>151</v>
      </c>
      <c r="F11" s="920">
        <v>0</v>
      </c>
      <c r="G11" s="1041" t="str">
        <f>IFERROR(_xlfn.CEILING.MATH(Таблица2[[#This Row],[Кол-во материала по расчету]],C11),"-")</f>
        <v>-</v>
      </c>
      <c r="H11" s="933"/>
      <c r="I11" s="921">
        <f>IFERROR(Таблица2[[#This Row],[Кол-во материала с учетом кратности упаковки*****]]*Таблица2[[#This Row],[Стоимость 
ед., руб. ]],0)</f>
        <v>0</v>
      </c>
      <c r="K11" s="916">
        <f t="shared" si="0"/>
        <v>0</v>
      </c>
      <c r="M11" s="158" t="s">
        <v>6</v>
      </c>
      <c r="N11" s="158" t="s">
        <v>702</v>
      </c>
    </row>
    <row r="12" spans="2:24" s="501" customFormat="1" ht="20.100000000000001" hidden="1" customHeight="1">
      <c r="B12" s="159" t="s">
        <v>1091</v>
      </c>
      <c r="C12" s="1039" t="s">
        <v>1549</v>
      </c>
      <c r="D12" s="105" t="s">
        <v>343</v>
      </c>
      <c r="E12" s="1047" t="s">
        <v>151</v>
      </c>
      <c r="F12" s="920">
        <v>0</v>
      </c>
      <c r="G12" s="1041" t="str">
        <f>IFERROR(_xlfn.CEILING.MATH(Таблица2[[#This Row],[Кол-во материала по расчету]],C12),"-")</f>
        <v>-</v>
      </c>
      <c r="H12" s="933"/>
      <c r="I12" s="921">
        <f>IFERROR(Таблица2[[#This Row],[Кол-во материала с учетом кратности упаковки*****]]*Таблица2[[#This Row],[Стоимость 
ед., руб. ]],0)</f>
        <v>0</v>
      </c>
      <c r="K12" s="916">
        <f t="shared" si="0"/>
        <v>0</v>
      </c>
      <c r="M12" s="158" t="s">
        <v>6</v>
      </c>
      <c r="N12" s="158" t="s">
        <v>1091</v>
      </c>
    </row>
    <row r="13" spans="2:24" s="501" customFormat="1" ht="20.100000000000001" hidden="1" customHeight="1">
      <c r="B13" s="159" t="s">
        <v>296</v>
      </c>
      <c r="C13" s="1039" t="s">
        <v>1549</v>
      </c>
      <c r="D13" s="105" t="s">
        <v>341</v>
      </c>
      <c r="E13" s="1047" t="s">
        <v>151</v>
      </c>
      <c r="F13" s="920">
        <v>0</v>
      </c>
      <c r="G13" s="1041" t="str">
        <f>IFERROR(_xlfn.CEILING.MATH(Таблица2[[#This Row],[Кол-во материала по расчету]],C13),"-")</f>
        <v>-</v>
      </c>
      <c r="H13" s="933"/>
      <c r="I13" s="921">
        <f>IFERROR(Таблица2[[#This Row],[Кол-во материала с учетом кратности упаковки*****]]*Таблица2[[#This Row],[Стоимость 
ед., руб. ]],0)</f>
        <v>0</v>
      </c>
      <c r="K13" s="916">
        <f t="shared" si="0"/>
        <v>0</v>
      </c>
      <c r="M13" s="158" t="s">
        <v>6</v>
      </c>
      <c r="N13" s="158" t="s">
        <v>296</v>
      </c>
    </row>
    <row r="14" spans="2:24" s="501" customFormat="1" ht="20.100000000000001" hidden="1" customHeight="1">
      <c r="B14" s="159">
        <v>645010</v>
      </c>
      <c r="C14" s="1039">
        <v>20.16</v>
      </c>
      <c r="D14" s="105" t="s">
        <v>269</v>
      </c>
      <c r="E14" s="1047" t="s">
        <v>112</v>
      </c>
      <c r="F14" s="920">
        <v>0</v>
      </c>
      <c r="G14" s="1041">
        <f>IFERROR(_xlfn.CEILING.MATH(Таблица2[[#This Row],[Кол-во материала по расчету]],C14),"-")</f>
        <v>0</v>
      </c>
      <c r="H14" s="933"/>
      <c r="I14" s="921">
        <f>IFERROR(Таблица2[[#This Row],[Кол-во материала с учетом кратности упаковки*****]]*Таблица2[[#This Row],[Стоимость 
ед., руб. ]],0)</f>
        <v>0</v>
      </c>
      <c r="K14" s="916">
        <f t="shared" si="0"/>
        <v>0</v>
      </c>
      <c r="M14" s="158">
        <v>20.16</v>
      </c>
      <c r="N14" s="158">
        <v>645010</v>
      </c>
    </row>
    <row r="15" spans="2:24" s="501" customFormat="1" ht="20.100000000000001" hidden="1" customHeight="1">
      <c r="B15" s="159">
        <v>645011</v>
      </c>
      <c r="C15" s="1039">
        <v>10.08</v>
      </c>
      <c r="D15" s="105" t="s">
        <v>270</v>
      </c>
      <c r="E15" s="1047" t="s">
        <v>112</v>
      </c>
      <c r="F15" s="920">
        <v>0</v>
      </c>
      <c r="G15" s="1041">
        <f>IFERROR(_xlfn.CEILING.MATH(Таблица2[[#This Row],[Кол-во материала по расчету]],C15),"-")</f>
        <v>0</v>
      </c>
      <c r="H15" s="933"/>
      <c r="I15" s="921">
        <f>IFERROR(Таблица2[[#This Row],[Кол-во материала с учетом кратности упаковки*****]]*Таблица2[[#This Row],[Стоимость 
ед., руб. ]],0)</f>
        <v>0</v>
      </c>
      <c r="K15" s="916">
        <f t="shared" si="0"/>
        <v>0</v>
      </c>
      <c r="M15" s="158">
        <v>10.08</v>
      </c>
      <c r="N15" s="158">
        <v>645011</v>
      </c>
    </row>
    <row r="16" spans="2:24" s="501" customFormat="1" ht="20.100000000000001" hidden="1" customHeight="1">
      <c r="B16" s="159">
        <v>645013</v>
      </c>
      <c r="C16" s="1039">
        <v>10.8</v>
      </c>
      <c r="D16" s="105" t="s">
        <v>271</v>
      </c>
      <c r="E16" s="1047" t="s">
        <v>112</v>
      </c>
      <c r="F16" s="920">
        <v>0</v>
      </c>
      <c r="G16" s="1041">
        <f>IFERROR(_xlfn.CEILING.MATH(Таблица2[[#This Row],[Кол-во материала по расчету]],C16),"-")</f>
        <v>0</v>
      </c>
      <c r="H16" s="933"/>
      <c r="I16" s="921">
        <f>IFERROR(Таблица2[[#This Row],[Кол-во материала с учетом кратности упаковки*****]]*Таблица2[[#This Row],[Стоимость 
ед., руб. ]],0)</f>
        <v>0</v>
      </c>
      <c r="K16" s="916">
        <f t="shared" si="0"/>
        <v>0</v>
      </c>
      <c r="M16" s="158">
        <v>10.8</v>
      </c>
      <c r="N16" s="158">
        <v>645013</v>
      </c>
    </row>
    <row r="17" spans="2:14" s="501" customFormat="1" ht="20.100000000000001" hidden="1" customHeight="1">
      <c r="B17" s="159" t="s">
        <v>951</v>
      </c>
      <c r="C17" s="1039">
        <v>12.96</v>
      </c>
      <c r="D17" s="105" t="s">
        <v>945</v>
      </c>
      <c r="E17" s="1047" t="s">
        <v>112</v>
      </c>
      <c r="F17" s="920">
        <v>0</v>
      </c>
      <c r="G17" s="1041">
        <f>IFERROR(_xlfn.CEILING.MATH(Таблица2[[#This Row],[Кол-во материала по расчету]],C17),"-")</f>
        <v>0</v>
      </c>
      <c r="H17" s="933"/>
      <c r="I17" s="921">
        <f>IFERROR(Таблица2[[#This Row],[Кол-во материала с учетом кратности упаковки*****]]*Таблица2[[#This Row],[Стоимость 
ед., руб. ]],0)</f>
        <v>0</v>
      </c>
      <c r="K17" s="916">
        <f t="shared" si="0"/>
        <v>0</v>
      </c>
      <c r="M17" s="158">
        <v>12.96</v>
      </c>
      <c r="N17" s="158" t="s">
        <v>951</v>
      </c>
    </row>
    <row r="18" spans="2:14" s="501" customFormat="1" ht="20.100000000000001" hidden="1" customHeight="1">
      <c r="B18" s="159" t="s">
        <v>1087</v>
      </c>
      <c r="C18" s="1039">
        <v>5.76</v>
      </c>
      <c r="D18" s="105" t="s">
        <v>210</v>
      </c>
      <c r="E18" s="1047" t="s">
        <v>112</v>
      </c>
      <c r="F18" s="920">
        <v>0</v>
      </c>
      <c r="G18" s="1041">
        <f>IFERROR(_xlfn.CEILING.MATH(Таблица2[[#This Row],[Кол-во материала по расчету]],C18),"-")</f>
        <v>0</v>
      </c>
      <c r="H18" s="933"/>
      <c r="I18" s="921">
        <f>IFERROR(Таблица2[[#This Row],[Кол-во материала с учетом кратности упаковки*****]]*Таблица2[[#This Row],[Стоимость 
ед., руб. ]],0)</f>
        <v>0</v>
      </c>
      <c r="K18" s="916">
        <f t="shared" si="0"/>
        <v>0</v>
      </c>
      <c r="M18" s="158">
        <v>5.76</v>
      </c>
      <c r="N18" s="158" t="s">
        <v>1087</v>
      </c>
    </row>
    <row r="19" spans="2:14" s="501" customFormat="1" ht="20.100000000000001" hidden="1" customHeight="1">
      <c r="B19" s="159" t="s">
        <v>950</v>
      </c>
      <c r="C19" s="1039">
        <v>5.04</v>
      </c>
      <c r="D19" s="105" t="s">
        <v>949</v>
      </c>
      <c r="E19" s="1047" t="s">
        <v>112</v>
      </c>
      <c r="F19" s="920">
        <v>0</v>
      </c>
      <c r="G19" s="1041">
        <f>IFERROR(_xlfn.CEILING.MATH(Таблица2[[#This Row],[Кол-во материала по расчету]],C19),"-")</f>
        <v>0</v>
      </c>
      <c r="H19" s="933"/>
      <c r="I19" s="921">
        <f>IFERROR(Таблица2[[#This Row],[Кол-во материала с учетом кратности упаковки*****]]*Таблица2[[#This Row],[Стоимость 
ед., руб. ]],0)</f>
        <v>0</v>
      </c>
      <c r="K19" s="916">
        <f t="shared" si="0"/>
        <v>0</v>
      </c>
      <c r="M19" s="158">
        <v>5.04</v>
      </c>
      <c r="N19" s="158" t="s">
        <v>950</v>
      </c>
    </row>
    <row r="20" spans="2:14" s="501" customFormat="1" ht="20.100000000000001" hidden="1" customHeight="1">
      <c r="B20" s="159" t="s">
        <v>296</v>
      </c>
      <c r="C20" s="1039" t="s">
        <v>1549</v>
      </c>
      <c r="D20" s="105" t="s">
        <v>287</v>
      </c>
      <c r="E20" s="1047" t="s">
        <v>183</v>
      </c>
      <c r="F20" s="920">
        <v>0</v>
      </c>
      <c r="G20" s="1041" t="str">
        <f>IFERROR(_xlfn.CEILING.MATH(Таблица2[[#This Row],[Кол-во материала по расчету]],C20),"-")</f>
        <v>-</v>
      </c>
      <c r="H20" s="933"/>
      <c r="I20" s="921">
        <f>IFERROR(Таблица2[[#This Row],[Кол-во материала с учетом кратности упаковки*****]]*Таблица2[[#This Row],[Стоимость 
ед., руб. ]],0)</f>
        <v>0</v>
      </c>
      <c r="K20" s="916">
        <f t="shared" si="0"/>
        <v>0</v>
      </c>
      <c r="M20" s="158" t="s">
        <v>6</v>
      </c>
      <c r="N20" s="158" t="s">
        <v>296</v>
      </c>
    </row>
    <row r="21" spans="2:14" s="501" customFormat="1" ht="20.100000000000001" hidden="1" customHeight="1">
      <c r="B21" s="159" t="s">
        <v>990</v>
      </c>
      <c r="C21" s="1039" t="s">
        <v>1549</v>
      </c>
      <c r="D21" s="105" t="s">
        <v>1279</v>
      </c>
      <c r="E21" s="1047" t="s">
        <v>178</v>
      </c>
      <c r="F21" s="920">
        <v>0</v>
      </c>
      <c r="G21" s="1041" t="str">
        <f>IFERROR(_xlfn.CEILING.MATH(Таблица2[[#This Row],[Кол-во материала по расчету]],C21),"-")</f>
        <v>-</v>
      </c>
      <c r="H21" s="933"/>
      <c r="I21" s="921">
        <f>IFERROR(Таблица2[[#This Row],[Кол-во материала с учетом кратности упаковки*****]]*Таблица2[[#This Row],[Стоимость 
ед., руб. ]],0)</f>
        <v>0</v>
      </c>
      <c r="K21" s="916">
        <f t="shared" si="0"/>
        <v>0</v>
      </c>
      <c r="M21" s="158" t="s">
        <v>6</v>
      </c>
      <c r="N21" s="158" t="s">
        <v>990</v>
      </c>
    </row>
    <row r="22" spans="2:14" s="501" customFormat="1" ht="20.100000000000001" hidden="1" customHeight="1">
      <c r="B22" s="159" t="s">
        <v>986</v>
      </c>
      <c r="C22" s="1039" t="s">
        <v>1549</v>
      </c>
      <c r="D22" s="105" t="s">
        <v>1277</v>
      </c>
      <c r="E22" s="1047" t="s">
        <v>178</v>
      </c>
      <c r="F22" s="920">
        <v>0</v>
      </c>
      <c r="G22" s="1041" t="str">
        <f>IFERROR(_xlfn.CEILING.MATH(Таблица2[[#This Row],[Кол-во материала по расчету]],C22),"-")</f>
        <v>-</v>
      </c>
      <c r="H22" s="933"/>
      <c r="I22" s="921">
        <f>IFERROR(Таблица2[[#This Row],[Кол-во материала с учетом кратности упаковки*****]]*Таблица2[[#This Row],[Стоимость 
ед., руб. ]],0)</f>
        <v>0</v>
      </c>
      <c r="K22" s="916">
        <f t="shared" si="0"/>
        <v>0</v>
      </c>
      <c r="M22" s="158" t="s">
        <v>6</v>
      </c>
      <c r="N22" s="158" t="s">
        <v>986</v>
      </c>
    </row>
    <row r="23" spans="2:14" s="501" customFormat="1" ht="20.100000000000001" hidden="1" customHeight="1">
      <c r="B23" s="159" t="s">
        <v>1006</v>
      </c>
      <c r="C23" s="1039" t="s">
        <v>1549</v>
      </c>
      <c r="D23" s="105" t="s">
        <v>1274</v>
      </c>
      <c r="E23" s="1047" t="s">
        <v>178</v>
      </c>
      <c r="F23" s="920">
        <v>0</v>
      </c>
      <c r="G23" s="1041" t="str">
        <f>IFERROR(_xlfn.CEILING.MATH(Таблица2[[#This Row],[Кол-во материала по расчету]],C23),"-")</f>
        <v>-</v>
      </c>
      <c r="H23" s="933"/>
      <c r="I23" s="921">
        <f>IFERROR(Таблица2[[#This Row],[Кол-во материала с учетом кратности упаковки*****]]*Таблица2[[#This Row],[Стоимость 
ед., руб. ]],0)</f>
        <v>0</v>
      </c>
      <c r="K23" s="916">
        <f t="shared" si="0"/>
        <v>0</v>
      </c>
      <c r="M23" s="158" t="s">
        <v>6</v>
      </c>
      <c r="N23" s="158" t="s">
        <v>1006</v>
      </c>
    </row>
    <row r="24" spans="2:14" s="501" customFormat="1" ht="20.100000000000001" hidden="1" customHeight="1">
      <c r="B24" s="159" t="s">
        <v>985</v>
      </c>
      <c r="C24" s="1039" t="s">
        <v>1549</v>
      </c>
      <c r="D24" s="105" t="s">
        <v>1275</v>
      </c>
      <c r="E24" s="1047" t="s">
        <v>178</v>
      </c>
      <c r="F24" s="920">
        <v>0</v>
      </c>
      <c r="G24" s="1041" t="str">
        <f>IFERROR(_xlfn.CEILING.MATH(Таблица2[[#This Row],[Кол-во материала по расчету]],C24),"-")</f>
        <v>-</v>
      </c>
      <c r="H24" s="933"/>
      <c r="I24" s="921">
        <f>IFERROR(Таблица2[[#This Row],[Кол-во материала с учетом кратности упаковки*****]]*Таблица2[[#This Row],[Стоимость 
ед., руб. ]],0)</f>
        <v>0</v>
      </c>
      <c r="K24" s="916">
        <f t="shared" si="0"/>
        <v>0</v>
      </c>
      <c r="M24" s="158" t="s">
        <v>6</v>
      </c>
      <c r="N24" s="158" t="s">
        <v>985</v>
      </c>
    </row>
    <row r="25" spans="2:14" s="501" customFormat="1" ht="20.100000000000001" hidden="1" customHeight="1">
      <c r="B25" s="159" t="s">
        <v>1007</v>
      </c>
      <c r="C25" s="1039" t="s">
        <v>1549</v>
      </c>
      <c r="D25" s="105" t="s">
        <v>1276</v>
      </c>
      <c r="E25" s="1047" t="s">
        <v>178</v>
      </c>
      <c r="F25" s="920">
        <v>0</v>
      </c>
      <c r="G25" s="1041" t="str">
        <f>IFERROR(_xlfn.CEILING.MATH(Таблица2[[#This Row],[Кол-во материала по расчету]],C25),"-")</f>
        <v>-</v>
      </c>
      <c r="H25" s="933"/>
      <c r="I25" s="921">
        <f>IFERROR(Таблица2[[#This Row],[Кол-во материала с учетом кратности упаковки*****]]*Таблица2[[#This Row],[Стоимость 
ед., руб. ]],0)</f>
        <v>0</v>
      </c>
      <c r="K25" s="916">
        <f t="shared" si="0"/>
        <v>0</v>
      </c>
      <c r="M25" s="158" t="s">
        <v>6</v>
      </c>
      <c r="N25" s="158" t="s">
        <v>1007</v>
      </c>
    </row>
    <row r="26" spans="2:14" s="501" customFormat="1" ht="20.100000000000001" hidden="1" customHeight="1">
      <c r="B26" s="159" t="s">
        <v>989</v>
      </c>
      <c r="C26" s="1039" t="s">
        <v>1549</v>
      </c>
      <c r="D26" s="105" t="s">
        <v>1278</v>
      </c>
      <c r="E26" s="1047" t="s">
        <v>178</v>
      </c>
      <c r="F26" s="920">
        <v>0</v>
      </c>
      <c r="G26" s="1041" t="str">
        <f>IFERROR(_xlfn.CEILING.MATH(Таблица2[[#This Row],[Кол-во материала по расчету]],C26),"-")</f>
        <v>-</v>
      </c>
      <c r="H26" s="933"/>
      <c r="I26" s="921">
        <f>IFERROR(Таблица2[[#This Row],[Кол-во материала с учетом кратности упаковки*****]]*Таблица2[[#This Row],[Стоимость 
ед., руб. ]],0)</f>
        <v>0</v>
      </c>
      <c r="K26" s="916">
        <f t="shared" si="0"/>
        <v>0</v>
      </c>
      <c r="M26" s="158" t="s">
        <v>6</v>
      </c>
      <c r="N26" s="158" t="s">
        <v>989</v>
      </c>
    </row>
    <row r="27" spans="2:14" s="501" customFormat="1" ht="20.100000000000001" hidden="1" customHeight="1">
      <c r="B27" s="159" t="s">
        <v>981</v>
      </c>
      <c r="C27" s="1039" t="s">
        <v>1549</v>
      </c>
      <c r="D27" s="105" t="s">
        <v>1264</v>
      </c>
      <c r="E27" s="1047" t="s">
        <v>178</v>
      </c>
      <c r="F27" s="920">
        <v>0</v>
      </c>
      <c r="G27" s="1041" t="str">
        <f>IFERROR(_xlfn.CEILING.MATH(Таблица2[[#This Row],[Кол-во материала по расчету]],C27),"-")</f>
        <v>-</v>
      </c>
      <c r="H27" s="933"/>
      <c r="I27" s="921">
        <f>IFERROR(Таблица2[[#This Row],[Кол-во материала с учетом кратности упаковки*****]]*Таблица2[[#This Row],[Стоимость 
ед., руб. ]],0)</f>
        <v>0</v>
      </c>
      <c r="K27" s="916">
        <f t="shared" si="0"/>
        <v>0</v>
      </c>
      <c r="M27" s="158" t="s">
        <v>6</v>
      </c>
      <c r="N27" s="158" t="s">
        <v>981</v>
      </c>
    </row>
    <row r="28" spans="2:14" s="501" customFormat="1" ht="20.100000000000001" hidden="1" customHeight="1">
      <c r="B28" s="159" t="s">
        <v>750</v>
      </c>
      <c r="C28" s="1039" t="s">
        <v>1549</v>
      </c>
      <c r="D28" s="105" t="s">
        <v>1260</v>
      </c>
      <c r="E28" s="1047" t="s">
        <v>178</v>
      </c>
      <c r="F28" s="920">
        <v>0</v>
      </c>
      <c r="G28" s="1041" t="str">
        <f>IFERROR(_xlfn.CEILING.MATH(Таблица2[[#This Row],[Кол-во материала по расчету]],C28),"-")</f>
        <v>-</v>
      </c>
      <c r="H28" s="933"/>
      <c r="I28" s="921">
        <f>IFERROR(Таблица2[[#This Row],[Кол-во материала с учетом кратности упаковки*****]]*Таблица2[[#This Row],[Стоимость 
ед., руб. ]],0)</f>
        <v>0</v>
      </c>
      <c r="K28" s="916">
        <f t="shared" si="0"/>
        <v>0</v>
      </c>
      <c r="M28" s="158" t="s">
        <v>6</v>
      </c>
      <c r="N28" s="158" t="s">
        <v>750</v>
      </c>
    </row>
    <row r="29" spans="2:14" s="501" customFormat="1" ht="20.100000000000001" hidden="1" customHeight="1">
      <c r="B29" s="159" t="s">
        <v>751</v>
      </c>
      <c r="C29" s="1039" t="s">
        <v>1549</v>
      </c>
      <c r="D29" s="105" t="s">
        <v>1261</v>
      </c>
      <c r="E29" s="1047" t="s">
        <v>178</v>
      </c>
      <c r="F29" s="920">
        <v>0</v>
      </c>
      <c r="G29" s="1041" t="str">
        <f>IFERROR(_xlfn.CEILING.MATH(Таблица2[[#This Row],[Кол-во материала по расчету]],C29),"-")</f>
        <v>-</v>
      </c>
      <c r="H29" s="933"/>
      <c r="I29" s="921">
        <f>IFERROR(Таблица2[[#This Row],[Кол-во материала с учетом кратности упаковки*****]]*Таблица2[[#This Row],[Стоимость 
ед., руб. ]],0)</f>
        <v>0</v>
      </c>
      <c r="K29" s="916">
        <f t="shared" si="0"/>
        <v>0</v>
      </c>
      <c r="M29" s="158" t="s">
        <v>6</v>
      </c>
      <c r="N29" s="158" t="s">
        <v>751</v>
      </c>
    </row>
    <row r="30" spans="2:14" s="501" customFormat="1" ht="20.100000000000001" hidden="1" customHeight="1">
      <c r="B30" s="159" t="s">
        <v>752</v>
      </c>
      <c r="C30" s="1039" t="s">
        <v>1549</v>
      </c>
      <c r="D30" s="105" t="s">
        <v>1262</v>
      </c>
      <c r="E30" s="1047" t="s">
        <v>178</v>
      </c>
      <c r="F30" s="920">
        <v>0</v>
      </c>
      <c r="G30" s="1041" t="str">
        <f>IFERROR(_xlfn.CEILING.MATH(Таблица2[[#This Row],[Кол-во материала по расчету]],C30),"-")</f>
        <v>-</v>
      </c>
      <c r="H30" s="933"/>
      <c r="I30" s="921">
        <f>IFERROR(Таблица2[[#This Row],[Кол-во материала с учетом кратности упаковки*****]]*Таблица2[[#This Row],[Стоимость 
ед., руб. ]],0)</f>
        <v>0</v>
      </c>
      <c r="K30" s="916">
        <f t="shared" si="0"/>
        <v>0</v>
      </c>
      <c r="M30" s="158" t="s">
        <v>6</v>
      </c>
      <c r="N30" s="158" t="s">
        <v>752</v>
      </c>
    </row>
    <row r="31" spans="2:14" s="501" customFormat="1" ht="20.100000000000001" hidden="1" customHeight="1">
      <c r="B31" s="159" t="s">
        <v>753</v>
      </c>
      <c r="C31" s="1039" t="s">
        <v>1549</v>
      </c>
      <c r="D31" s="105" t="s">
        <v>1263</v>
      </c>
      <c r="E31" s="1047" t="s">
        <v>178</v>
      </c>
      <c r="F31" s="920">
        <v>0</v>
      </c>
      <c r="G31" s="1041" t="str">
        <f>IFERROR(_xlfn.CEILING.MATH(Таблица2[[#This Row],[Кол-во материала по расчету]],C31),"-")</f>
        <v>-</v>
      </c>
      <c r="H31" s="933"/>
      <c r="I31" s="921">
        <f>IFERROR(Таблица2[[#This Row],[Кол-во материала с учетом кратности упаковки*****]]*Таблица2[[#This Row],[Стоимость 
ед., руб. ]],0)</f>
        <v>0</v>
      </c>
      <c r="K31" s="916">
        <f t="shared" si="0"/>
        <v>0</v>
      </c>
      <c r="M31" s="158" t="s">
        <v>6</v>
      </c>
      <c r="N31" s="158" t="s">
        <v>753</v>
      </c>
    </row>
    <row r="32" spans="2:14" s="501" customFormat="1" ht="20.100000000000001" hidden="1" customHeight="1">
      <c r="B32" s="159" t="s">
        <v>749</v>
      </c>
      <c r="C32" s="1039" t="s">
        <v>1549</v>
      </c>
      <c r="D32" s="105" t="s">
        <v>1269</v>
      </c>
      <c r="E32" s="1047" t="s">
        <v>178</v>
      </c>
      <c r="F32" s="920">
        <v>0</v>
      </c>
      <c r="G32" s="1041" t="str">
        <f>IFERROR(_xlfn.CEILING.MATH(Таблица2[[#This Row],[Кол-во материала по расчету]],C32),"-")</f>
        <v>-</v>
      </c>
      <c r="H32" s="933"/>
      <c r="I32" s="921">
        <f>IFERROR(Таблица2[[#This Row],[Кол-во материала с учетом кратности упаковки*****]]*Таблица2[[#This Row],[Стоимость 
ед., руб. ]],0)</f>
        <v>0</v>
      </c>
      <c r="K32" s="916">
        <f t="shared" si="0"/>
        <v>0</v>
      </c>
      <c r="M32" s="158" t="s">
        <v>6</v>
      </c>
      <c r="N32" s="158" t="s">
        <v>749</v>
      </c>
    </row>
    <row r="33" spans="2:14" s="501" customFormat="1" ht="20.100000000000001" hidden="1" customHeight="1">
      <c r="B33" s="159" t="s">
        <v>746</v>
      </c>
      <c r="C33" s="1039" t="s">
        <v>1549</v>
      </c>
      <c r="D33" s="105" t="s">
        <v>1265</v>
      </c>
      <c r="E33" s="1047" t="s">
        <v>178</v>
      </c>
      <c r="F33" s="920">
        <v>0</v>
      </c>
      <c r="G33" s="1041" t="str">
        <f>IFERROR(_xlfn.CEILING.MATH(Таблица2[[#This Row],[Кол-во материала по расчету]],C33),"-")</f>
        <v>-</v>
      </c>
      <c r="H33" s="933"/>
      <c r="I33" s="921">
        <f>IFERROR(Таблица2[[#This Row],[Кол-во материала с учетом кратности упаковки*****]]*Таблица2[[#This Row],[Стоимость 
ед., руб. ]],0)</f>
        <v>0</v>
      </c>
      <c r="K33" s="916">
        <f t="shared" si="0"/>
        <v>0</v>
      </c>
      <c r="M33" s="158" t="s">
        <v>6</v>
      </c>
      <c r="N33" s="158" t="s">
        <v>746</v>
      </c>
    </row>
    <row r="34" spans="2:14" s="501" customFormat="1" ht="20.100000000000001" hidden="1" customHeight="1">
      <c r="B34" s="159" t="s">
        <v>747</v>
      </c>
      <c r="C34" s="1039" t="s">
        <v>1549</v>
      </c>
      <c r="D34" s="105" t="s">
        <v>1266</v>
      </c>
      <c r="E34" s="1047" t="s">
        <v>178</v>
      </c>
      <c r="F34" s="920">
        <v>0</v>
      </c>
      <c r="G34" s="1041" t="str">
        <f>IFERROR(_xlfn.CEILING.MATH(Таблица2[[#This Row],[Кол-во материала по расчету]],C34),"-")</f>
        <v>-</v>
      </c>
      <c r="H34" s="933"/>
      <c r="I34" s="921">
        <f>IFERROR(Таблица2[[#This Row],[Кол-во материала с учетом кратности упаковки*****]]*Таблица2[[#This Row],[Стоимость 
ед., руб. ]],0)</f>
        <v>0</v>
      </c>
      <c r="K34" s="916">
        <f t="shared" si="0"/>
        <v>0</v>
      </c>
      <c r="M34" s="158" t="s">
        <v>6</v>
      </c>
      <c r="N34" s="158" t="s">
        <v>747</v>
      </c>
    </row>
    <row r="35" spans="2:14" s="501" customFormat="1" ht="20.100000000000001" hidden="1" customHeight="1">
      <c r="B35" s="159" t="s">
        <v>748</v>
      </c>
      <c r="C35" s="1039" t="s">
        <v>1549</v>
      </c>
      <c r="D35" s="105" t="s">
        <v>1267</v>
      </c>
      <c r="E35" s="1047" t="s">
        <v>178</v>
      </c>
      <c r="F35" s="920">
        <v>0</v>
      </c>
      <c r="G35" s="1041" t="str">
        <f>IFERROR(_xlfn.CEILING.MATH(Таблица2[[#This Row],[Кол-во материала по расчету]],C35),"-")</f>
        <v>-</v>
      </c>
      <c r="H35" s="933"/>
      <c r="I35" s="921">
        <f>IFERROR(Таблица2[[#This Row],[Кол-во материала с учетом кратности упаковки*****]]*Таблица2[[#This Row],[Стоимость 
ед., руб. ]],0)</f>
        <v>0</v>
      </c>
      <c r="K35" s="916">
        <f t="shared" si="0"/>
        <v>0</v>
      </c>
      <c r="M35" s="158" t="s">
        <v>6</v>
      </c>
      <c r="N35" s="158" t="s">
        <v>748</v>
      </c>
    </row>
    <row r="36" spans="2:14" s="501" customFormat="1" ht="20.100000000000001" hidden="1" customHeight="1">
      <c r="B36" s="159" t="s">
        <v>798</v>
      </c>
      <c r="C36" s="1039" t="s">
        <v>1549</v>
      </c>
      <c r="D36" s="105" t="s">
        <v>1268</v>
      </c>
      <c r="E36" s="1047" t="s">
        <v>178</v>
      </c>
      <c r="F36" s="920">
        <v>0</v>
      </c>
      <c r="G36" s="1041" t="str">
        <f>IFERROR(_xlfn.CEILING.MATH(Таблица2[[#This Row],[Кол-во материала по расчету]],C36),"-")</f>
        <v>-</v>
      </c>
      <c r="H36" s="933"/>
      <c r="I36" s="921">
        <f>IFERROR(Таблица2[[#This Row],[Кол-во материала с учетом кратности упаковки*****]]*Таблица2[[#This Row],[Стоимость 
ед., руб. ]],0)</f>
        <v>0</v>
      </c>
      <c r="K36" s="916">
        <f t="shared" si="0"/>
        <v>0</v>
      </c>
      <c r="M36" s="158" t="s">
        <v>6</v>
      </c>
      <c r="N36" s="158" t="s">
        <v>798</v>
      </c>
    </row>
    <row r="37" spans="2:14" s="501" customFormat="1" ht="20.100000000000001" hidden="1" customHeight="1">
      <c r="B37" s="159" t="s">
        <v>982</v>
      </c>
      <c r="C37" s="1039" t="s">
        <v>1549</v>
      </c>
      <c r="D37" s="105" t="s">
        <v>1272</v>
      </c>
      <c r="E37" s="1047" t="s">
        <v>178</v>
      </c>
      <c r="F37" s="920">
        <v>0</v>
      </c>
      <c r="G37" s="1041" t="str">
        <f>IFERROR(_xlfn.CEILING.MATH(Таблица2[[#This Row],[Кол-во материала по расчету]],C37),"-")</f>
        <v>-</v>
      </c>
      <c r="H37" s="933"/>
      <c r="I37" s="921">
        <f>IFERROR(Таблица2[[#This Row],[Кол-во материала с учетом кратности упаковки*****]]*Таблица2[[#This Row],[Стоимость 
ед., руб. ]],0)</f>
        <v>0</v>
      </c>
      <c r="K37" s="916">
        <f t="shared" si="0"/>
        <v>0</v>
      </c>
      <c r="M37" s="158" t="s">
        <v>6</v>
      </c>
      <c r="N37" s="158" t="s">
        <v>982</v>
      </c>
    </row>
    <row r="38" spans="2:14" s="501" customFormat="1" ht="20.100000000000001" hidden="1" customHeight="1">
      <c r="B38" s="159" t="s">
        <v>983</v>
      </c>
      <c r="C38" s="1039" t="s">
        <v>1549</v>
      </c>
      <c r="D38" s="105" t="s">
        <v>1273</v>
      </c>
      <c r="E38" s="1047" t="s">
        <v>178</v>
      </c>
      <c r="F38" s="920">
        <v>0</v>
      </c>
      <c r="G38" s="1041" t="str">
        <f>IFERROR(_xlfn.CEILING.MATH(Таблица2[[#This Row],[Кол-во материала по расчету]],C38),"-")</f>
        <v>-</v>
      </c>
      <c r="H38" s="933"/>
      <c r="I38" s="921">
        <f>IFERROR(Таблица2[[#This Row],[Кол-во материала с учетом кратности упаковки*****]]*Таблица2[[#This Row],[Стоимость 
ед., руб. ]],0)</f>
        <v>0</v>
      </c>
      <c r="K38" s="916">
        <f t="shared" si="0"/>
        <v>0</v>
      </c>
      <c r="M38" s="158" t="s">
        <v>6</v>
      </c>
      <c r="N38" s="158" t="s">
        <v>983</v>
      </c>
    </row>
    <row r="39" spans="2:14" s="501" customFormat="1" ht="20.100000000000001" hidden="1" customHeight="1">
      <c r="B39" s="159" t="s">
        <v>978</v>
      </c>
      <c r="C39" s="1039" t="s">
        <v>1549</v>
      </c>
      <c r="D39" s="105" t="s">
        <v>552</v>
      </c>
      <c r="E39" s="1047" t="s">
        <v>178</v>
      </c>
      <c r="F39" s="920">
        <v>0</v>
      </c>
      <c r="G39" s="1041" t="str">
        <f>IFERROR(_xlfn.CEILING.MATH(Таблица2[[#This Row],[Кол-во материала по расчету]],C39),"-")</f>
        <v>-</v>
      </c>
      <c r="H39" s="933"/>
      <c r="I39" s="921">
        <f>IFERROR(Таблица2[[#This Row],[Кол-во материала с учетом кратности упаковки*****]]*Таблица2[[#This Row],[Стоимость 
ед., руб. ]],0)</f>
        <v>0</v>
      </c>
      <c r="K39" s="916">
        <f t="shared" si="0"/>
        <v>0</v>
      </c>
      <c r="M39" s="158" t="s">
        <v>6</v>
      </c>
      <c r="N39" s="158" t="s">
        <v>978</v>
      </c>
    </row>
    <row r="40" spans="2:14" s="501" customFormat="1" ht="20.100000000000001" hidden="1" customHeight="1">
      <c r="B40" s="159" t="s">
        <v>979</v>
      </c>
      <c r="C40" s="1039" t="s">
        <v>1549</v>
      </c>
      <c r="D40" s="105" t="s">
        <v>1270</v>
      </c>
      <c r="E40" s="1047" t="s">
        <v>178</v>
      </c>
      <c r="F40" s="920">
        <v>0</v>
      </c>
      <c r="G40" s="1041" t="str">
        <f>IFERROR(_xlfn.CEILING.MATH(Таблица2[[#This Row],[Кол-во материала по расчету]],C40),"-")</f>
        <v>-</v>
      </c>
      <c r="H40" s="933"/>
      <c r="I40" s="921">
        <f>IFERROR(Таблица2[[#This Row],[Кол-во материала с учетом кратности упаковки*****]]*Таблица2[[#This Row],[Стоимость 
ед., руб. ]],0)</f>
        <v>0</v>
      </c>
      <c r="K40" s="916">
        <f t="shared" si="0"/>
        <v>0</v>
      </c>
      <c r="M40" s="158" t="s">
        <v>6</v>
      </c>
      <c r="N40" s="158" t="s">
        <v>979</v>
      </c>
    </row>
    <row r="41" spans="2:14" s="501" customFormat="1" ht="20.100000000000001" hidden="1" customHeight="1">
      <c r="B41" s="159" t="s">
        <v>980</v>
      </c>
      <c r="C41" s="1039" t="s">
        <v>1549</v>
      </c>
      <c r="D41" s="105" t="s">
        <v>1271</v>
      </c>
      <c r="E41" s="1047" t="s">
        <v>178</v>
      </c>
      <c r="F41" s="920">
        <v>0</v>
      </c>
      <c r="G41" s="1041" t="str">
        <f>IFERROR(_xlfn.CEILING.MATH(Таблица2[[#This Row],[Кол-во материала по расчету]],C41),"-")</f>
        <v>-</v>
      </c>
      <c r="H41" s="933"/>
      <c r="I41" s="921">
        <f>IFERROR(Таблица2[[#This Row],[Кол-во материала с учетом кратности упаковки*****]]*Таблица2[[#This Row],[Стоимость 
ед., руб. ]],0)</f>
        <v>0</v>
      </c>
      <c r="K41" s="916">
        <f t="shared" si="0"/>
        <v>0</v>
      </c>
      <c r="M41" s="158" t="s">
        <v>6</v>
      </c>
      <c r="N41" s="158" t="s">
        <v>980</v>
      </c>
    </row>
    <row r="42" spans="2:14" s="501" customFormat="1" ht="20.100000000000001" hidden="1" customHeight="1">
      <c r="B42" s="159" t="s">
        <v>785</v>
      </c>
      <c r="C42" s="1039">
        <v>0.28799999999999998</v>
      </c>
      <c r="D42" s="105" t="s">
        <v>1444</v>
      </c>
      <c r="E42" s="1047" t="s">
        <v>178</v>
      </c>
      <c r="F42" s="920">
        <v>0</v>
      </c>
      <c r="G42" s="1041">
        <f>IFERROR(_xlfn.CEILING.MATH(Таблица2[[#This Row],[Кол-во материала по расчету]],C42),"-")</f>
        <v>0</v>
      </c>
      <c r="H42" s="933"/>
      <c r="I42" s="921">
        <f>IFERROR(Таблица2[[#This Row],[Кол-во материала с учетом кратности упаковки*****]]*Таблица2[[#This Row],[Стоимость 
ед., руб. ]],0)</f>
        <v>0</v>
      </c>
      <c r="K42" s="916">
        <f t="shared" si="0"/>
        <v>0</v>
      </c>
      <c r="M42" s="158">
        <v>0.28799999999999998</v>
      </c>
      <c r="N42" s="158" t="s">
        <v>785</v>
      </c>
    </row>
    <row r="43" spans="2:14" s="501" customFormat="1" ht="20.100000000000001" hidden="1" customHeight="1">
      <c r="B43" s="159" t="s">
        <v>786</v>
      </c>
      <c r="C43" s="1039">
        <v>0.28799999999999998</v>
      </c>
      <c r="D43" s="105" t="s">
        <v>1445</v>
      </c>
      <c r="E43" s="1047" t="s">
        <v>178</v>
      </c>
      <c r="F43" s="920">
        <v>0</v>
      </c>
      <c r="G43" s="1041">
        <f>IFERROR(_xlfn.CEILING.MATH(Таблица2[[#This Row],[Кол-во материала по расчету]],C43),"-")</f>
        <v>0</v>
      </c>
      <c r="H43" s="933"/>
      <c r="I43" s="921">
        <f>IFERROR(Таблица2[[#This Row],[Кол-во материала с учетом кратности упаковки*****]]*Таблица2[[#This Row],[Стоимость 
ед., руб. ]],0)</f>
        <v>0</v>
      </c>
      <c r="K43" s="916">
        <f t="shared" si="0"/>
        <v>0</v>
      </c>
      <c r="M43" s="158">
        <v>0.28799999999999998</v>
      </c>
      <c r="N43" s="158" t="s">
        <v>786</v>
      </c>
    </row>
    <row r="44" spans="2:14" s="501" customFormat="1" ht="20.100000000000001" hidden="1" customHeight="1">
      <c r="B44" s="159" t="s">
        <v>1073</v>
      </c>
      <c r="C44" s="1039">
        <v>0.2772</v>
      </c>
      <c r="D44" s="105" t="s">
        <v>1446</v>
      </c>
      <c r="E44" s="1047" t="s">
        <v>178</v>
      </c>
      <c r="F44" s="920">
        <v>0</v>
      </c>
      <c r="G44" s="1041">
        <f>IFERROR(_xlfn.CEILING.MATH(Таблица2[[#This Row],[Кол-во материала по расчету]],C44),"-")</f>
        <v>0</v>
      </c>
      <c r="H44" s="933"/>
      <c r="I44" s="921">
        <f>IFERROR(Таблица2[[#This Row],[Кол-во материала с учетом кратности упаковки*****]]*Таблица2[[#This Row],[Стоимость 
ед., руб. ]],0)</f>
        <v>0</v>
      </c>
      <c r="K44" s="916">
        <f t="shared" si="0"/>
        <v>0</v>
      </c>
      <c r="M44" s="158">
        <v>0.2772</v>
      </c>
      <c r="N44" s="158" t="s">
        <v>1073</v>
      </c>
    </row>
    <row r="45" spans="2:14" s="501" customFormat="1" ht="20.100000000000001" hidden="1" customHeight="1">
      <c r="B45" s="159" t="s">
        <v>1074</v>
      </c>
      <c r="C45" s="1039">
        <v>0.24479999999999999</v>
      </c>
      <c r="D45" s="105" t="s">
        <v>1447</v>
      </c>
      <c r="E45" s="1047" t="s">
        <v>178</v>
      </c>
      <c r="F45" s="920">
        <v>0</v>
      </c>
      <c r="G45" s="1041">
        <f>IFERROR(_xlfn.CEILING.MATH(Таблица2[[#This Row],[Кол-во материала по расчету]],C45),"-")</f>
        <v>0</v>
      </c>
      <c r="H45" s="933"/>
      <c r="I45" s="921">
        <f>IFERROR(Таблица2[[#This Row],[Кол-во материала с учетом кратности упаковки*****]]*Таблица2[[#This Row],[Стоимость 
ед., руб. ]],0)</f>
        <v>0</v>
      </c>
      <c r="K45" s="916">
        <f t="shared" si="0"/>
        <v>0</v>
      </c>
      <c r="M45" s="158">
        <v>0.24479999999999999</v>
      </c>
      <c r="N45" s="158" t="s">
        <v>1074</v>
      </c>
    </row>
    <row r="46" spans="2:14" s="501" customFormat="1" ht="20.100000000000001" hidden="1" customHeight="1">
      <c r="B46" s="159" t="s">
        <v>787</v>
      </c>
      <c r="C46" s="1039">
        <v>0.28799999999999998</v>
      </c>
      <c r="D46" s="105" t="s">
        <v>1448</v>
      </c>
      <c r="E46" s="1047" t="s">
        <v>178</v>
      </c>
      <c r="F46" s="920">
        <v>0</v>
      </c>
      <c r="G46" s="1041">
        <f>IFERROR(_xlfn.CEILING.MATH(Таблица2[[#This Row],[Кол-во материала по расчету]],C46),"-")</f>
        <v>0</v>
      </c>
      <c r="H46" s="933"/>
      <c r="I46" s="921">
        <f>IFERROR(Таблица2[[#This Row],[Кол-во материала с учетом кратности упаковки*****]]*Таблица2[[#This Row],[Стоимость 
ед., руб. ]],0)</f>
        <v>0</v>
      </c>
      <c r="K46" s="916">
        <f t="shared" si="0"/>
        <v>0</v>
      </c>
      <c r="M46" s="158">
        <v>0.28799999999999998</v>
      </c>
      <c r="N46" s="158" t="s">
        <v>787</v>
      </c>
    </row>
    <row r="47" spans="2:14" s="501" customFormat="1" ht="20.100000000000001" hidden="1" customHeight="1">
      <c r="B47" s="159" t="s">
        <v>788</v>
      </c>
      <c r="C47" s="1039">
        <v>0.28799999999999998</v>
      </c>
      <c r="D47" s="105" t="s">
        <v>1449</v>
      </c>
      <c r="E47" s="1047" t="s">
        <v>178</v>
      </c>
      <c r="F47" s="920">
        <v>0</v>
      </c>
      <c r="G47" s="1041">
        <f>IFERROR(_xlfn.CEILING.MATH(Таблица2[[#This Row],[Кол-во материала по расчету]],C47),"-")</f>
        <v>0</v>
      </c>
      <c r="H47" s="933"/>
      <c r="I47" s="921">
        <f>IFERROR(Таблица2[[#This Row],[Кол-во материала с учетом кратности упаковки*****]]*Таблица2[[#This Row],[Стоимость 
ед., руб. ]],0)</f>
        <v>0</v>
      </c>
      <c r="K47" s="916">
        <f t="shared" si="0"/>
        <v>0</v>
      </c>
      <c r="M47" s="158">
        <v>0.28799999999999998</v>
      </c>
      <c r="N47" s="158" t="s">
        <v>788</v>
      </c>
    </row>
    <row r="48" spans="2:14" s="501" customFormat="1" ht="20.100000000000001" hidden="1" customHeight="1">
      <c r="B48" s="159" t="s">
        <v>1075</v>
      </c>
      <c r="C48" s="1039">
        <v>0.2772</v>
      </c>
      <c r="D48" s="105" t="s">
        <v>1450</v>
      </c>
      <c r="E48" s="1047" t="s">
        <v>178</v>
      </c>
      <c r="F48" s="920">
        <v>0</v>
      </c>
      <c r="G48" s="1041">
        <f>IFERROR(_xlfn.CEILING.MATH(Таблица2[[#This Row],[Кол-во материала по расчету]],C48),"-")</f>
        <v>0</v>
      </c>
      <c r="H48" s="933"/>
      <c r="I48" s="921">
        <f>IFERROR(Таблица2[[#This Row],[Кол-во материала с учетом кратности упаковки*****]]*Таблица2[[#This Row],[Стоимость 
ед., руб. ]],0)</f>
        <v>0</v>
      </c>
      <c r="K48" s="916">
        <f t="shared" si="0"/>
        <v>0</v>
      </c>
      <c r="M48" s="158">
        <v>0.2772</v>
      </c>
      <c r="N48" s="158" t="s">
        <v>1075</v>
      </c>
    </row>
    <row r="49" spans="2:14" s="501" customFormat="1" ht="20.100000000000001" hidden="1" customHeight="1">
      <c r="B49" s="159" t="s">
        <v>1076</v>
      </c>
      <c r="C49" s="1039">
        <v>0.24479999999999999</v>
      </c>
      <c r="D49" s="105" t="s">
        <v>1443</v>
      </c>
      <c r="E49" s="1047" t="s">
        <v>178</v>
      </c>
      <c r="F49" s="920">
        <v>0</v>
      </c>
      <c r="G49" s="1041">
        <f>IFERROR(_xlfn.CEILING.MATH(Таблица2[[#This Row],[Кол-во материала по расчету]],C49),"-")</f>
        <v>0</v>
      </c>
      <c r="H49" s="933"/>
      <c r="I49" s="921">
        <f>IFERROR(Таблица2[[#This Row],[Кол-во материала с учетом кратности упаковки*****]]*Таблица2[[#This Row],[Стоимость 
ед., руб. ]],0)</f>
        <v>0</v>
      </c>
      <c r="K49" s="916">
        <f t="shared" si="0"/>
        <v>0</v>
      </c>
      <c r="M49" s="158">
        <v>0.24479999999999999</v>
      </c>
      <c r="N49" s="158" t="s">
        <v>1076</v>
      </c>
    </row>
    <row r="50" spans="2:14" s="501" customFormat="1" ht="20.100000000000001" hidden="1" customHeight="1">
      <c r="B50" s="159" t="s">
        <v>789</v>
      </c>
      <c r="C50" s="1039">
        <v>0.3024</v>
      </c>
      <c r="D50" s="105" t="s">
        <v>1442</v>
      </c>
      <c r="E50" s="1047" t="s">
        <v>178</v>
      </c>
      <c r="F50" s="920">
        <v>0</v>
      </c>
      <c r="G50" s="1041">
        <f>IFERROR(_xlfn.CEILING.MATH(Таблица2[[#This Row],[Кол-во материала по расчету]],C50),"-")</f>
        <v>0</v>
      </c>
      <c r="H50" s="933"/>
      <c r="I50" s="921">
        <f>IFERROR(Таблица2[[#This Row],[Кол-во материала с учетом кратности упаковки*****]]*Таблица2[[#This Row],[Стоимость 
ед., руб. ]],0)</f>
        <v>0</v>
      </c>
      <c r="K50" s="916">
        <f t="shared" si="0"/>
        <v>0</v>
      </c>
      <c r="M50" s="158">
        <v>0.3024</v>
      </c>
      <c r="N50" s="158" t="s">
        <v>789</v>
      </c>
    </row>
    <row r="51" spans="2:14" s="501" customFormat="1" ht="20.100000000000001" customHeight="1">
      <c r="B51" s="159" t="s">
        <v>797</v>
      </c>
      <c r="C51" s="1039">
        <v>2500</v>
      </c>
      <c r="D51" s="105" t="s">
        <v>189</v>
      </c>
      <c r="E51" s="1047" t="s">
        <v>151</v>
      </c>
      <c r="F51" s="920">
        <v>906</v>
      </c>
      <c r="G51" s="1041">
        <f>IFERROR(_xlfn.CEILING.MATH(Таблица2[[#This Row],[Кол-во материала по расчету]],C51),"-")</f>
        <v>2500</v>
      </c>
      <c r="H51" s="933"/>
      <c r="I51" s="921">
        <f>IFERROR(Таблица2[[#This Row],[Кол-во материала с учетом кратности упаковки*****]]*Таблица2[[#This Row],[Стоимость 
ед., руб. ]],0)</f>
        <v>0</v>
      </c>
      <c r="K51" s="916">
        <f t="shared" si="0"/>
        <v>1</v>
      </c>
      <c r="M51" s="158">
        <v>2500</v>
      </c>
      <c r="N51" s="158" t="s">
        <v>797</v>
      </c>
    </row>
    <row r="52" spans="2:14" s="501" customFormat="1" ht="20.100000000000001" hidden="1" customHeight="1">
      <c r="B52" s="159" t="s">
        <v>296</v>
      </c>
      <c r="C52" s="1039" t="s">
        <v>1549</v>
      </c>
      <c r="D52" s="105" t="s">
        <v>430</v>
      </c>
      <c r="E52" s="1047" t="s">
        <v>151</v>
      </c>
      <c r="F52" s="920">
        <v>0</v>
      </c>
      <c r="G52" s="1041" t="str">
        <f>IFERROR(_xlfn.CEILING.MATH(Таблица2[[#This Row],[Кол-во материала по расчету]],C52),"-")</f>
        <v>-</v>
      </c>
      <c r="H52" s="933"/>
      <c r="I52" s="921">
        <f>IFERROR(Таблица2[[#This Row],[Кол-во материала с учетом кратности упаковки*****]]*Таблица2[[#This Row],[Стоимость 
ед., руб. ]],0)</f>
        <v>0</v>
      </c>
      <c r="K52" s="916">
        <f t="shared" si="0"/>
        <v>0</v>
      </c>
      <c r="M52" s="158" t="s">
        <v>6</v>
      </c>
      <c r="N52" s="158" t="s">
        <v>296</v>
      </c>
    </row>
    <row r="53" spans="2:14" s="501" customFormat="1" ht="20.100000000000001" hidden="1" customHeight="1">
      <c r="B53" s="159" t="s">
        <v>743</v>
      </c>
      <c r="C53" s="1039">
        <v>4</v>
      </c>
      <c r="D53" s="105" t="s">
        <v>1491</v>
      </c>
      <c r="E53" s="1047" t="s">
        <v>151</v>
      </c>
      <c r="F53" s="920">
        <v>0</v>
      </c>
      <c r="G53" s="1041">
        <f>IFERROR(_xlfn.CEILING.MATH(Таблица2[[#This Row],[Кол-во материала по расчету]],C53),"-")</f>
        <v>0</v>
      </c>
      <c r="H53" s="933"/>
      <c r="I53" s="921">
        <f>IFERROR(Таблица2[[#This Row],[Кол-во материала с учетом кратности упаковки*****]]*Таблица2[[#This Row],[Стоимость 
ед., руб. ]],0)</f>
        <v>0</v>
      </c>
      <c r="K53" s="916">
        <f t="shared" si="0"/>
        <v>0</v>
      </c>
      <c r="M53" s="158">
        <v>4</v>
      </c>
      <c r="N53" s="158" t="s">
        <v>743</v>
      </c>
    </row>
    <row r="54" spans="2:14" s="501" customFormat="1" ht="20.100000000000001" hidden="1" customHeight="1">
      <c r="B54" s="159">
        <v>1768</v>
      </c>
      <c r="C54" s="1039">
        <v>15</v>
      </c>
      <c r="D54" s="105" t="s">
        <v>1435</v>
      </c>
      <c r="E54" s="1047" t="s">
        <v>112</v>
      </c>
      <c r="F54" s="920">
        <v>0</v>
      </c>
      <c r="G54" s="1041">
        <f>IFERROR(_xlfn.CEILING.MATH(Таблица2[[#This Row],[Кол-во материала по расчету]],C54),"-")</f>
        <v>0</v>
      </c>
      <c r="H54" s="933"/>
      <c r="I54" s="921">
        <f>IFERROR(Таблица2[[#This Row],[Кол-во материала с учетом кратности упаковки*****]]*Таблица2[[#This Row],[Стоимость 
ед., руб. ]],0)</f>
        <v>0</v>
      </c>
      <c r="K54" s="916">
        <f t="shared" si="0"/>
        <v>0</v>
      </c>
      <c r="M54" s="158">
        <v>15</v>
      </c>
      <c r="N54" s="158">
        <v>1768</v>
      </c>
    </row>
    <row r="55" spans="2:14" s="501" customFormat="1" ht="20.100000000000001" hidden="1" customHeight="1">
      <c r="B55" s="159" t="s">
        <v>1050</v>
      </c>
      <c r="C55" s="1039">
        <v>15</v>
      </c>
      <c r="D55" s="105" t="s">
        <v>1432</v>
      </c>
      <c r="E55" s="1047" t="s">
        <v>112</v>
      </c>
      <c r="F55" s="920">
        <v>0</v>
      </c>
      <c r="G55" s="1041">
        <f>IFERROR(_xlfn.CEILING.MATH(Таблица2[[#This Row],[Кол-во материала по расчету]],C55),"-")</f>
        <v>0</v>
      </c>
      <c r="H55" s="933"/>
      <c r="I55" s="921">
        <f>IFERROR(Таблица2[[#This Row],[Кол-во материала с учетом кратности упаковки*****]]*Таблица2[[#This Row],[Стоимость 
ед., руб. ]],0)</f>
        <v>0</v>
      </c>
      <c r="K55" s="916">
        <f t="shared" si="0"/>
        <v>0</v>
      </c>
      <c r="M55" s="158">
        <v>15</v>
      </c>
      <c r="N55" s="158" t="s">
        <v>1050</v>
      </c>
    </row>
    <row r="56" spans="2:14" s="501" customFormat="1" ht="20.100000000000001" hidden="1" customHeight="1">
      <c r="B56" s="159">
        <v>1790</v>
      </c>
      <c r="C56" s="1039">
        <v>15</v>
      </c>
      <c r="D56" s="105" t="s">
        <v>1431</v>
      </c>
      <c r="E56" s="1047" t="s">
        <v>112</v>
      </c>
      <c r="F56" s="920">
        <v>0</v>
      </c>
      <c r="G56" s="1041">
        <f>IFERROR(_xlfn.CEILING.MATH(Таблица2[[#This Row],[Кол-во материала по расчету]],C56),"-")</f>
        <v>0</v>
      </c>
      <c r="H56" s="933"/>
      <c r="I56" s="921">
        <f>IFERROR(Таблица2[[#This Row],[Кол-во материала с учетом кратности упаковки*****]]*Таблица2[[#This Row],[Стоимость 
ед., руб. ]],0)</f>
        <v>0</v>
      </c>
      <c r="K56" s="916">
        <f t="shared" si="0"/>
        <v>0</v>
      </c>
      <c r="M56" s="158">
        <v>15</v>
      </c>
      <c r="N56" s="158">
        <v>1790</v>
      </c>
    </row>
    <row r="57" spans="2:14" s="501" customFormat="1" ht="20.100000000000001" hidden="1" customHeight="1">
      <c r="B57" s="159" t="s">
        <v>296</v>
      </c>
      <c r="C57" s="1039" t="s">
        <v>1549</v>
      </c>
      <c r="D57" s="105" t="s">
        <v>526</v>
      </c>
      <c r="E57" s="1047" t="s">
        <v>183</v>
      </c>
      <c r="F57" s="920">
        <v>0</v>
      </c>
      <c r="G57" s="1041" t="str">
        <f>IFERROR(_xlfn.CEILING.MATH(Таблица2[[#This Row],[Кол-во материала по расчету]],C57),"-")</f>
        <v>-</v>
      </c>
      <c r="H57" s="933"/>
      <c r="I57" s="921">
        <f>IFERROR(Таблица2[[#This Row],[Кол-во материала с учетом кратности упаковки*****]]*Таблица2[[#This Row],[Стоимость 
ед., руб. ]],0)</f>
        <v>0</v>
      </c>
      <c r="K57" s="916">
        <f t="shared" si="0"/>
        <v>0</v>
      </c>
      <c r="M57" s="158" t="s">
        <v>6</v>
      </c>
      <c r="N57" s="158" t="s">
        <v>296</v>
      </c>
    </row>
    <row r="58" spans="2:14" s="501" customFormat="1" ht="20.100000000000001" hidden="1" customHeight="1">
      <c r="B58" s="159" t="s">
        <v>1116</v>
      </c>
      <c r="C58" s="1039">
        <v>1</v>
      </c>
      <c r="D58" s="105" t="s">
        <v>691</v>
      </c>
      <c r="E58" s="1047" t="s">
        <v>151</v>
      </c>
      <c r="F58" s="920">
        <v>0</v>
      </c>
      <c r="G58" s="1041">
        <f>IFERROR(_xlfn.CEILING.MATH(Таблица2[[#This Row],[Кол-во материала по расчету]],C58),"-")</f>
        <v>0</v>
      </c>
      <c r="H58" s="933"/>
      <c r="I58" s="921">
        <f>IFERROR(Таблица2[[#This Row],[Кол-во материала с учетом кратности упаковки*****]]*Таблица2[[#This Row],[Стоимость 
ед., руб. ]],0)</f>
        <v>0</v>
      </c>
      <c r="K58" s="916">
        <f t="shared" si="0"/>
        <v>0</v>
      </c>
      <c r="M58" s="158">
        <v>1</v>
      </c>
      <c r="N58" s="158" t="s">
        <v>1116</v>
      </c>
    </row>
    <row r="59" spans="2:14" s="501" customFormat="1" ht="20.100000000000001" hidden="1" customHeight="1">
      <c r="B59" s="159" t="s">
        <v>904</v>
      </c>
      <c r="C59" s="1039">
        <v>1</v>
      </c>
      <c r="D59" s="105" t="s">
        <v>1109</v>
      </c>
      <c r="E59" s="1047" t="s">
        <v>151</v>
      </c>
      <c r="F59" s="920">
        <v>0</v>
      </c>
      <c r="G59" s="1041">
        <f>IFERROR(_xlfn.CEILING.MATH(Таблица2[[#This Row],[Кол-во материала по расчету]],C59),"-")</f>
        <v>0</v>
      </c>
      <c r="H59" s="933"/>
      <c r="I59" s="921">
        <f>IFERROR(Таблица2[[#This Row],[Кол-во материала с учетом кратности упаковки*****]]*Таблица2[[#This Row],[Стоимость 
ед., руб. ]],0)</f>
        <v>0</v>
      </c>
      <c r="K59" s="916">
        <f t="shared" si="0"/>
        <v>0</v>
      </c>
      <c r="M59" s="158">
        <v>1</v>
      </c>
      <c r="N59" s="158" t="s">
        <v>904</v>
      </c>
    </row>
    <row r="60" spans="2:14" s="501" customFormat="1" ht="20.100000000000001" hidden="1" customHeight="1">
      <c r="B60" s="159" t="s">
        <v>903</v>
      </c>
      <c r="C60" s="1039">
        <v>1</v>
      </c>
      <c r="D60" s="105" t="s">
        <v>1108</v>
      </c>
      <c r="E60" s="1047" t="s">
        <v>151</v>
      </c>
      <c r="F60" s="920">
        <v>0</v>
      </c>
      <c r="G60" s="1041">
        <f>IFERROR(_xlfn.CEILING.MATH(Таблица2[[#This Row],[Кол-во материала по расчету]],C60),"-")</f>
        <v>0</v>
      </c>
      <c r="H60" s="933"/>
      <c r="I60" s="921">
        <f>IFERROR(Таблица2[[#This Row],[Кол-во материала с учетом кратности упаковки*****]]*Таблица2[[#This Row],[Стоимость 
ед., руб. ]],0)</f>
        <v>0</v>
      </c>
      <c r="K60" s="916">
        <f t="shared" si="0"/>
        <v>0</v>
      </c>
      <c r="M60" s="158">
        <v>1</v>
      </c>
      <c r="N60" s="158" t="s">
        <v>903</v>
      </c>
    </row>
    <row r="61" spans="2:14" s="501" customFormat="1" ht="20.100000000000001" hidden="1" customHeight="1">
      <c r="B61" s="159" t="s">
        <v>1092</v>
      </c>
      <c r="C61" s="1039">
        <v>1</v>
      </c>
      <c r="D61" s="105" t="s">
        <v>1114</v>
      </c>
      <c r="E61" s="1047" t="s">
        <v>151</v>
      </c>
      <c r="F61" s="920">
        <v>0</v>
      </c>
      <c r="G61" s="1041">
        <f>IFERROR(_xlfn.CEILING.MATH(Таблица2[[#This Row],[Кол-во материала по расчету]],C61),"-")</f>
        <v>0</v>
      </c>
      <c r="H61" s="933"/>
      <c r="I61" s="921">
        <f>IFERROR(Таблица2[[#This Row],[Кол-во материала с учетом кратности упаковки*****]]*Таблица2[[#This Row],[Стоимость 
ед., руб. ]],0)</f>
        <v>0</v>
      </c>
      <c r="K61" s="916">
        <f t="shared" si="0"/>
        <v>0</v>
      </c>
      <c r="M61" s="158">
        <v>1</v>
      </c>
      <c r="N61" s="158" t="s">
        <v>1092</v>
      </c>
    </row>
    <row r="62" spans="2:14" s="501" customFormat="1" ht="30" hidden="1" customHeight="1">
      <c r="B62" s="159" t="s">
        <v>1113</v>
      </c>
      <c r="C62" s="1039">
        <v>1</v>
      </c>
      <c r="D62" s="922" t="s">
        <v>1154</v>
      </c>
      <c r="E62" s="1047" t="s">
        <v>151</v>
      </c>
      <c r="F62" s="920">
        <v>0</v>
      </c>
      <c r="G62" s="1041">
        <f>IFERROR(_xlfn.CEILING.MATH(Таблица2[[#This Row],[Кол-во материала по расчету]],C62),"-")</f>
        <v>0</v>
      </c>
      <c r="H62" s="933"/>
      <c r="I62" s="921">
        <f>IFERROR(Таблица2[[#This Row],[Кол-во материала с учетом кратности упаковки*****]]*Таблица2[[#This Row],[Стоимость 
ед., руб. ]],0)</f>
        <v>0</v>
      </c>
      <c r="K62" s="916">
        <f t="shared" si="0"/>
        <v>0</v>
      </c>
      <c r="M62" s="158">
        <v>1</v>
      </c>
      <c r="N62" s="158" t="s">
        <v>1113</v>
      </c>
    </row>
    <row r="63" spans="2:14" s="501" customFormat="1" ht="30" hidden="1" customHeight="1">
      <c r="B63" s="159" t="s">
        <v>835</v>
      </c>
      <c r="C63" s="1039">
        <v>1</v>
      </c>
      <c r="D63" s="922" t="s">
        <v>1111</v>
      </c>
      <c r="E63" s="1047" t="s">
        <v>151</v>
      </c>
      <c r="F63" s="920">
        <v>0</v>
      </c>
      <c r="G63" s="1041">
        <f>IFERROR(_xlfn.CEILING.MATH(Таблица2[[#This Row],[Кол-во материала по расчету]],C63),"-")</f>
        <v>0</v>
      </c>
      <c r="H63" s="933"/>
      <c r="I63" s="921">
        <f>IFERROR(Таблица2[[#This Row],[Кол-во материала с учетом кратности упаковки*****]]*Таблица2[[#This Row],[Стоимость 
ед., руб. ]],0)</f>
        <v>0</v>
      </c>
      <c r="K63" s="916">
        <f t="shared" si="0"/>
        <v>0</v>
      </c>
      <c r="M63" s="158">
        <v>1</v>
      </c>
      <c r="N63" s="158" t="s">
        <v>835</v>
      </c>
    </row>
    <row r="64" spans="2:14" s="501" customFormat="1" ht="30" hidden="1" customHeight="1">
      <c r="B64" s="159" t="s">
        <v>1112</v>
      </c>
      <c r="C64" s="1039">
        <v>1</v>
      </c>
      <c r="D64" s="922" t="s">
        <v>1153</v>
      </c>
      <c r="E64" s="1047" t="s">
        <v>151</v>
      </c>
      <c r="F64" s="920">
        <v>0</v>
      </c>
      <c r="G64" s="1041">
        <f>IFERROR(_xlfn.CEILING.MATH(Таблица2[[#This Row],[Кол-во материала по расчету]],C64),"-")</f>
        <v>0</v>
      </c>
      <c r="H64" s="933"/>
      <c r="I64" s="921">
        <f>IFERROR(Таблица2[[#This Row],[Кол-во материала с учетом кратности упаковки*****]]*Таблица2[[#This Row],[Стоимость 
ед., руб. ]],0)</f>
        <v>0</v>
      </c>
      <c r="K64" s="916">
        <f t="shared" si="0"/>
        <v>0</v>
      </c>
      <c r="M64" s="158">
        <v>1</v>
      </c>
      <c r="N64" s="158" t="s">
        <v>1112</v>
      </c>
    </row>
    <row r="65" spans="2:14" s="501" customFormat="1" ht="30" hidden="1" customHeight="1">
      <c r="B65" s="159" t="s">
        <v>836</v>
      </c>
      <c r="C65" s="1039">
        <v>1</v>
      </c>
      <c r="D65" s="922" t="s">
        <v>1110</v>
      </c>
      <c r="E65" s="1047" t="s">
        <v>151</v>
      </c>
      <c r="F65" s="920">
        <v>0</v>
      </c>
      <c r="G65" s="1041">
        <f>IFERROR(_xlfn.CEILING.MATH(Таблица2[[#This Row],[Кол-во материала по расчету]],C65),"-")</f>
        <v>0</v>
      </c>
      <c r="H65" s="933"/>
      <c r="I65" s="921">
        <f>IFERROR(Таблица2[[#This Row],[Кол-во материала с учетом кратности упаковки*****]]*Таблица2[[#This Row],[Стоимость 
ед., руб. ]],0)</f>
        <v>0</v>
      </c>
      <c r="K65" s="916">
        <f t="shared" si="0"/>
        <v>0</v>
      </c>
      <c r="M65" s="158">
        <v>1</v>
      </c>
      <c r="N65" s="158" t="s">
        <v>836</v>
      </c>
    </row>
    <row r="66" spans="2:14" s="501" customFormat="1" ht="20.100000000000001" hidden="1" customHeight="1">
      <c r="B66" s="159" t="s">
        <v>1115</v>
      </c>
      <c r="C66" s="1039">
        <v>1</v>
      </c>
      <c r="D66" s="105" t="s">
        <v>692</v>
      </c>
      <c r="E66" s="1047" t="s">
        <v>151</v>
      </c>
      <c r="F66" s="920">
        <v>0</v>
      </c>
      <c r="G66" s="1041">
        <f>IFERROR(_xlfn.CEILING.MATH(Таблица2[[#This Row],[Кол-во материала по расчету]],C66),"-")</f>
        <v>0</v>
      </c>
      <c r="H66" s="933"/>
      <c r="I66" s="921">
        <f>IFERROR(Таблица2[[#This Row],[Кол-во материала с учетом кратности упаковки*****]]*Таблица2[[#This Row],[Стоимость 
ед., руб. ]],0)</f>
        <v>0</v>
      </c>
      <c r="K66" s="916">
        <f t="shared" si="0"/>
        <v>0</v>
      </c>
      <c r="M66" s="158">
        <v>1</v>
      </c>
      <c r="N66" s="158" t="s">
        <v>1115</v>
      </c>
    </row>
    <row r="67" spans="2:14" s="501" customFormat="1" ht="30" hidden="1" customHeight="1">
      <c r="B67" s="159" t="s">
        <v>839</v>
      </c>
      <c r="C67" s="1039">
        <v>1</v>
      </c>
      <c r="D67" s="922" t="s">
        <v>694</v>
      </c>
      <c r="E67" s="1047" t="s">
        <v>151</v>
      </c>
      <c r="F67" s="920">
        <v>0</v>
      </c>
      <c r="G67" s="1041">
        <f>IFERROR(_xlfn.CEILING.MATH(Таблица2[[#This Row],[Кол-во материала по расчету]],C67),"-")</f>
        <v>0</v>
      </c>
      <c r="H67" s="933"/>
      <c r="I67" s="921">
        <f>IFERROR(Таблица2[[#This Row],[Кол-во материала с учетом кратности упаковки*****]]*Таблица2[[#This Row],[Стоимость 
ед., руб. ]],0)</f>
        <v>0</v>
      </c>
      <c r="K67" s="916">
        <f t="shared" si="0"/>
        <v>0</v>
      </c>
      <c r="M67" s="158">
        <v>1</v>
      </c>
      <c r="N67" s="158" t="s">
        <v>839</v>
      </c>
    </row>
    <row r="68" spans="2:14" s="501" customFormat="1" ht="20.100000000000001" hidden="1" customHeight="1">
      <c r="B68" s="159" t="s">
        <v>838</v>
      </c>
      <c r="C68" s="1039">
        <v>1</v>
      </c>
      <c r="D68" s="105" t="s">
        <v>693</v>
      </c>
      <c r="E68" s="1047" t="s">
        <v>151</v>
      </c>
      <c r="F68" s="920">
        <v>0</v>
      </c>
      <c r="G68" s="1041">
        <f>IFERROR(_xlfn.CEILING.MATH(Таблица2[[#This Row],[Кол-во материала по расчету]],C68),"-")</f>
        <v>0</v>
      </c>
      <c r="H68" s="933"/>
      <c r="I68" s="921">
        <f>IFERROR(Таблица2[[#This Row],[Кол-во материала с учетом кратности упаковки*****]]*Таблица2[[#This Row],[Стоимость 
ед., руб. ]],0)</f>
        <v>0</v>
      </c>
      <c r="K68" s="916">
        <f t="shared" si="0"/>
        <v>0</v>
      </c>
      <c r="M68" s="158">
        <v>1</v>
      </c>
      <c r="N68" s="158" t="s">
        <v>838</v>
      </c>
    </row>
    <row r="69" spans="2:14" s="501" customFormat="1" ht="20.100000000000001" hidden="1" customHeight="1">
      <c r="B69" s="159" t="s">
        <v>766</v>
      </c>
      <c r="C69" s="1039">
        <v>100</v>
      </c>
      <c r="D69" s="105" t="s">
        <v>193</v>
      </c>
      <c r="E69" s="1047" t="s">
        <v>112</v>
      </c>
      <c r="F69" s="920">
        <v>0</v>
      </c>
      <c r="G69" s="1041">
        <f>IFERROR(_xlfn.CEILING.MATH(Таблица2[[#This Row],[Кол-во материала по расчету]],C69),"-")</f>
        <v>0</v>
      </c>
      <c r="H69" s="933"/>
      <c r="I69" s="921">
        <f>IFERROR(Таблица2[[#This Row],[Кол-во материала с учетом кратности упаковки*****]]*Таблица2[[#This Row],[Стоимость 
ед., руб. ]],0)</f>
        <v>0</v>
      </c>
      <c r="K69" s="916">
        <f t="shared" si="0"/>
        <v>0</v>
      </c>
      <c r="M69" s="158">
        <v>100</v>
      </c>
      <c r="N69" s="158" t="s">
        <v>766</v>
      </c>
    </row>
    <row r="70" spans="2:14" s="501" customFormat="1" ht="20.100000000000001" customHeight="1">
      <c r="B70" s="159" t="s">
        <v>704</v>
      </c>
      <c r="C70" s="1039">
        <v>100</v>
      </c>
      <c r="D70" s="105" t="s">
        <v>192</v>
      </c>
      <c r="E70" s="1047" t="s">
        <v>112</v>
      </c>
      <c r="F70" s="920">
        <v>6</v>
      </c>
      <c r="G70" s="1041">
        <f>IFERROR(_xlfn.CEILING.MATH(Таблица2[[#This Row],[Кол-во материала по расчету]],C70),"-")</f>
        <v>100</v>
      </c>
      <c r="H70" s="933"/>
      <c r="I70" s="921">
        <f>IFERROR(Таблица2[[#This Row],[Кол-во материала с учетом кратности упаковки*****]]*Таблица2[[#This Row],[Стоимость 
ед., руб. ]],0)</f>
        <v>0</v>
      </c>
      <c r="K70" s="916">
        <f t="shared" si="0"/>
        <v>1</v>
      </c>
      <c r="M70" s="158">
        <v>100</v>
      </c>
      <c r="N70" s="158" t="s">
        <v>704</v>
      </c>
    </row>
    <row r="71" spans="2:14" s="501" customFormat="1" ht="20.100000000000001" customHeight="1">
      <c r="B71" s="159" t="s">
        <v>977</v>
      </c>
      <c r="C71" s="1039">
        <v>12</v>
      </c>
      <c r="D71" s="105" t="s">
        <v>936</v>
      </c>
      <c r="E71" s="1047" t="s">
        <v>151</v>
      </c>
      <c r="F71" s="920">
        <v>57</v>
      </c>
      <c r="G71" s="1041">
        <f>IFERROR(_xlfn.CEILING.MATH(Таблица2[[#This Row],[Кол-во материала по расчету]],C71),"-")</f>
        <v>60</v>
      </c>
      <c r="H71" s="933"/>
      <c r="I71" s="921">
        <f>IFERROR(Таблица2[[#This Row],[Кол-во материала с учетом кратности упаковки*****]]*Таблица2[[#This Row],[Стоимость 
ед., руб. ]],0)</f>
        <v>0</v>
      </c>
      <c r="K71" s="916">
        <f t="shared" si="0"/>
        <v>1</v>
      </c>
      <c r="M71" s="158">
        <v>12</v>
      </c>
      <c r="N71" s="158" t="s">
        <v>977</v>
      </c>
    </row>
    <row r="72" spans="2:14" s="501" customFormat="1" ht="20.100000000000001" hidden="1" customHeight="1">
      <c r="B72" s="159" t="s">
        <v>296</v>
      </c>
      <c r="C72" s="1039" t="s">
        <v>1549</v>
      </c>
      <c r="D72" s="105" t="s">
        <v>282</v>
      </c>
      <c r="E72" s="1047" t="s">
        <v>183</v>
      </c>
      <c r="F72" s="920">
        <v>0</v>
      </c>
      <c r="G72" s="1041" t="str">
        <f>IFERROR(_xlfn.CEILING.MATH(Таблица2[[#This Row],[Кол-во материала по расчету]],C72),"-")</f>
        <v>-</v>
      </c>
      <c r="H72" s="933"/>
      <c r="I72" s="921">
        <f>IFERROR(Таблица2[[#This Row],[Кол-во материала с учетом кратности упаковки*****]]*Таблица2[[#This Row],[Стоимость 
ед., руб. ]],0)</f>
        <v>0</v>
      </c>
      <c r="K72" s="916">
        <f t="shared" si="0"/>
        <v>0</v>
      </c>
      <c r="M72" s="158" t="s">
        <v>6</v>
      </c>
      <c r="N72" s="158" t="s">
        <v>296</v>
      </c>
    </row>
    <row r="73" spans="2:14" s="501" customFormat="1" ht="20.100000000000001" customHeight="1">
      <c r="B73" s="159" t="s">
        <v>917</v>
      </c>
      <c r="C73" s="1039">
        <v>1</v>
      </c>
      <c r="D73" s="105" t="s">
        <v>1492</v>
      </c>
      <c r="E73" s="1047" t="s">
        <v>151</v>
      </c>
      <c r="F73" s="920">
        <v>8</v>
      </c>
      <c r="G73" s="1041">
        <f>IFERROR(_xlfn.CEILING.MATH(Таблица2[[#This Row],[Кол-во материала по расчету]],C73),"-")</f>
        <v>8</v>
      </c>
      <c r="H73" s="933"/>
      <c r="I73" s="921">
        <f>IFERROR(Таблица2[[#This Row],[Кол-во материала с учетом кратности упаковки*****]]*Таблица2[[#This Row],[Стоимость 
ед., руб. ]],0)</f>
        <v>0</v>
      </c>
      <c r="K73" s="916">
        <f t="shared" si="0"/>
        <v>1</v>
      </c>
      <c r="M73" s="158">
        <v>1</v>
      </c>
      <c r="N73" s="158" t="s">
        <v>917</v>
      </c>
    </row>
    <row r="74" spans="2:14" s="501" customFormat="1" ht="20.100000000000001" hidden="1" customHeight="1">
      <c r="B74" s="159" t="s">
        <v>701</v>
      </c>
      <c r="C74" s="1039">
        <v>1</v>
      </c>
      <c r="D74" s="105" t="s">
        <v>802</v>
      </c>
      <c r="E74" s="1047" t="s">
        <v>151</v>
      </c>
      <c r="F74" s="920">
        <v>0</v>
      </c>
      <c r="G74" s="1041">
        <f>IFERROR(_xlfn.CEILING.MATH(Таблица2[[#This Row],[Кол-во материала по расчету]],C74),"-")</f>
        <v>0</v>
      </c>
      <c r="H74" s="933"/>
      <c r="I74" s="921">
        <f>IFERROR(Таблица2[[#This Row],[Кол-во материала с учетом кратности упаковки*****]]*Таблица2[[#This Row],[Стоимость 
ед., руб. ]],0)</f>
        <v>0</v>
      </c>
      <c r="K74" s="916">
        <f t="shared" ref="K74:K137" si="1">IF(F74=0,0,1)</f>
        <v>0</v>
      </c>
      <c r="M74" s="158">
        <v>1</v>
      </c>
      <c r="N74" s="158" t="s">
        <v>701</v>
      </c>
    </row>
    <row r="75" spans="2:14" s="501" customFormat="1" ht="30" hidden="1" customHeight="1">
      <c r="B75" s="159" t="s">
        <v>1096</v>
      </c>
      <c r="C75" s="1039">
        <v>1</v>
      </c>
      <c r="D75" s="922" t="s">
        <v>911</v>
      </c>
      <c r="E75" s="1047" t="s">
        <v>151</v>
      </c>
      <c r="F75" s="920">
        <v>0</v>
      </c>
      <c r="G75" s="1041">
        <f>IFERROR(_xlfn.CEILING.MATH(Таблица2[[#This Row],[Кол-во материала по расчету]],C75),"-")</f>
        <v>0</v>
      </c>
      <c r="H75" s="933"/>
      <c r="I75" s="921">
        <f>IFERROR(Таблица2[[#This Row],[Кол-во материала с учетом кратности упаковки*****]]*Таблица2[[#This Row],[Стоимость 
ед., руб. ]],0)</f>
        <v>0</v>
      </c>
      <c r="K75" s="916">
        <f t="shared" si="1"/>
        <v>0</v>
      </c>
      <c r="M75" s="158">
        <v>1</v>
      </c>
      <c r="N75" s="158" t="s">
        <v>1096</v>
      </c>
    </row>
    <row r="76" spans="2:14" s="501" customFormat="1" ht="20.100000000000001" hidden="1" customHeight="1">
      <c r="B76" s="159" t="s">
        <v>1102</v>
      </c>
      <c r="C76" s="1039">
        <v>200</v>
      </c>
      <c r="D76" s="105" t="s">
        <v>249</v>
      </c>
      <c r="E76" s="1047" t="s">
        <v>151</v>
      </c>
      <c r="F76" s="920">
        <v>0</v>
      </c>
      <c r="G76" s="1041">
        <f>IFERROR(_xlfn.CEILING.MATH(Таблица2[[#This Row],[Кол-во материала по расчету]],C76),"-")</f>
        <v>0</v>
      </c>
      <c r="H76" s="933"/>
      <c r="I76" s="921">
        <f>IFERROR(Таблица2[[#This Row],[Кол-во материала с учетом кратности упаковки*****]]*Таблица2[[#This Row],[Стоимость 
ед., руб. ]],0)</f>
        <v>0</v>
      </c>
      <c r="K76" s="916">
        <f t="shared" si="1"/>
        <v>0</v>
      </c>
      <c r="M76" s="158">
        <v>200</v>
      </c>
      <c r="N76" s="158" t="s">
        <v>1102</v>
      </c>
    </row>
    <row r="77" spans="2:14" s="501" customFormat="1" ht="20.100000000000001" hidden="1" customHeight="1">
      <c r="B77" s="159" t="s">
        <v>710</v>
      </c>
      <c r="C77" s="1039">
        <v>1</v>
      </c>
      <c r="D77" s="105" t="s">
        <v>678</v>
      </c>
      <c r="E77" s="1047" t="s">
        <v>151</v>
      </c>
      <c r="F77" s="920">
        <v>0</v>
      </c>
      <c r="G77" s="1041">
        <f>IFERROR(_xlfn.CEILING.MATH(Таблица2[[#This Row],[Кол-во материала по расчету]],C77),"-")</f>
        <v>0</v>
      </c>
      <c r="H77" s="933"/>
      <c r="I77" s="921">
        <f>IFERROR(Таблица2[[#This Row],[Кол-во материала с учетом кратности упаковки*****]]*Таблица2[[#This Row],[Стоимость 
ед., руб. ]],0)</f>
        <v>0</v>
      </c>
      <c r="K77" s="916">
        <f t="shared" si="1"/>
        <v>0</v>
      </c>
      <c r="M77" s="158">
        <v>1</v>
      </c>
      <c r="N77" s="158" t="s">
        <v>710</v>
      </c>
    </row>
    <row r="78" spans="2:14" s="501" customFormat="1" ht="20.100000000000001" hidden="1" customHeight="1">
      <c r="B78" s="159" t="s">
        <v>712</v>
      </c>
      <c r="C78" s="1039">
        <v>1</v>
      </c>
      <c r="D78" s="105" t="s">
        <v>680</v>
      </c>
      <c r="E78" s="1047" t="s">
        <v>151</v>
      </c>
      <c r="F78" s="920">
        <v>0</v>
      </c>
      <c r="G78" s="1041">
        <f>IFERROR(_xlfn.CEILING.MATH(Таблица2[[#This Row],[Кол-во материала по расчету]],C78),"-")</f>
        <v>0</v>
      </c>
      <c r="H78" s="933"/>
      <c r="I78" s="921">
        <f>IFERROR(Таблица2[[#This Row],[Кол-во материала с учетом кратности упаковки*****]]*Таблица2[[#This Row],[Стоимость 
ед., руб. ]],0)</f>
        <v>0</v>
      </c>
      <c r="K78" s="916">
        <f t="shared" si="1"/>
        <v>0</v>
      </c>
      <c r="M78" s="158">
        <v>1</v>
      </c>
      <c r="N78" s="158" t="s">
        <v>712</v>
      </c>
    </row>
    <row r="79" spans="2:14" s="501" customFormat="1" ht="20.100000000000001" hidden="1" customHeight="1">
      <c r="B79" s="159" t="s">
        <v>711</v>
      </c>
      <c r="C79" s="1039">
        <v>1</v>
      </c>
      <c r="D79" s="105" t="s">
        <v>681</v>
      </c>
      <c r="E79" s="1047" t="s">
        <v>151</v>
      </c>
      <c r="F79" s="920">
        <v>0</v>
      </c>
      <c r="G79" s="1041">
        <f>IFERROR(_xlfn.CEILING.MATH(Таблица2[[#This Row],[Кол-во материала по расчету]],C79),"-")</f>
        <v>0</v>
      </c>
      <c r="H79" s="933"/>
      <c r="I79" s="921">
        <f>IFERROR(Таблица2[[#This Row],[Кол-во материала с учетом кратности упаковки*****]]*Таблица2[[#This Row],[Стоимость 
ед., руб. ]],0)</f>
        <v>0</v>
      </c>
      <c r="K79" s="916">
        <f t="shared" si="1"/>
        <v>0</v>
      </c>
      <c r="M79" s="158">
        <v>1</v>
      </c>
      <c r="N79" s="158" t="s">
        <v>711</v>
      </c>
    </row>
    <row r="80" spans="2:14" s="501" customFormat="1" ht="20.100000000000001" customHeight="1">
      <c r="B80" s="159">
        <v>685734</v>
      </c>
      <c r="C80" s="1039">
        <v>1</v>
      </c>
      <c r="D80" s="105" t="s">
        <v>1535</v>
      </c>
      <c r="E80" s="1047" t="s">
        <v>151</v>
      </c>
      <c r="F80" s="920">
        <v>87</v>
      </c>
      <c r="G80" s="1041">
        <f>IFERROR(_xlfn.CEILING.MATH(Таблица2[[#This Row],[Кол-во материала по расчету]],C80),"-")</f>
        <v>87</v>
      </c>
      <c r="H80" s="933"/>
      <c r="I80" s="921">
        <f>IFERROR(Таблица2[[#This Row],[Кол-во материала с учетом кратности упаковки*****]]*Таблица2[[#This Row],[Стоимость 
ед., руб. ]],0)</f>
        <v>0</v>
      </c>
      <c r="K80" s="916">
        <f t="shared" si="1"/>
        <v>1</v>
      </c>
      <c r="M80" s="158">
        <v>1</v>
      </c>
      <c r="N80" s="158">
        <v>685734</v>
      </c>
    </row>
    <row r="81" spans="2:14" s="501" customFormat="1" ht="20.100000000000001" hidden="1" customHeight="1">
      <c r="B81" s="159" t="s">
        <v>909</v>
      </c>
      <c r="C81" s="1039">
        <v>1</v>
      </c>
      <c r="D81" s="105" t="s">
        <v>908</v>
      </c>
      <c r="E81" s="1047" t="s">
        <v>151</v>
      </c>
      <c r="F81" s="920">
        <v>0</v>
      </c>
      <c r="G81" s="1041">
        <f>IFERROR(_xlfn.CEILING.MATH(Таблица2[[#This Row],[Кол-во материала по расчету]],C81),"-")</f>
        <v>0</v>
      </c>
      <c r="H81" s="933"/>
      <c r="I81" s="921">
        <f>IFERROR(Таблица2[[#This Row],[Кол-во материала с учетом кратности упаковки*****]]*Таблица2[[#This Row],[Стоимость 
ед., руб. ]],0)</f>
        <v>0</v>
      </c>
      <c r="K81" s="916">
        <f t="shared" si="1"/>
        <v>0</v>
      </c>
      <c r="M81" s="158">
        <v>1</v>
      </c>
      <c r="N81" s="158" t="s">
        <v>909</v>
      </c>
    </row>
    <row r="82" spans="2:14" s="501" customFormat="1" ht="20.100000000000001" hidden="1" customHeight="1">
      <c r="B82" s="159" t="s">
        <v>1089</v>
      </c>
      <c r="C82" s="1039">
        <v>800</v>
      </c>
      <c r="D82" s="105" t="s">
        <v>1088</v>
      </c>
      <c r="E82" s="1047" t="s">
        <v>151</v>
      </c>
      <c r="F82" s="920">
        <v>0</v>
      </c>
      <c r="G82" s="1041">
        <f>IFERROR(_xlfn.CEILING.MATH(Таблица2[[#This Row],[Кол-во материала по расчету]],C82),"-")</f>
        <v>0</v>
      </c>
      <c r="H82" s="933"/>
      <c r="I82" s="921">
        <f>IFERROR(Таблица2[[#This Row],[Кол-во материала с учетом кратности упаковки*****]]*Таблица2[[#This Row],[Стоимость 
ед., руб. ]],0)</f>
        <v>0</v>
      </c>
      <c r="K82" s="916">
        <f t="shared" si="1"/>
        <v>0</v>
      </c>
      <c r="M82" s="158">
        <v>800</v>
      </c>
      <c r="N82" s="158" t="s">
        <v>1089</v>
      </c>
    </row>
    <row r="83" spans="2:14" s="501" customFormat="1" ht="20.100000000000001" customHeight="1">
      <c r="B83" s="159" t="s">
        <v>796</v>
      </c>
      <c r="C83" s="1039">
        <v>800</v>
      </c>
      <c r="D83" s="105" t="s">
        <v>1090</v>
      </c>
      <c r="E83" s="1047" t="s">
        <v>151</v>
      </c>
      <c r="F83" s="920">
        <v>1597</v>
      </c>
      <c r="G83" s="1041">
        <f>IFERROR(_xlfn.CEILING.MATH(Таблица2[[#This Row],[Кол-во материала по расчету]],C83),"-")</f>
        <v>1600</v>
      </c>
      <c r="H83" s="933"/>
      <c r="I83" s="921">
        <f>IFERROR(Таблица2[[#This Row],[Кол-во материала с учетом кратности упаковки*****]]*Таблица2[[#This Row],[Стоимость 
ед., руб. ]],0)</f>
        <v>0</v>
      </c>
      <c r="K83" s="916">
        <f t="shared" si="1"/>
        <v>1</v>
      </c>
      <c r="M83" s="158">
        <v>800</v>
      </c>
      <c r="N83" s="158" t="s">
        <v>796</v>
      </c>
    </row>
    <row r="84" spans="2:14" s="501" customFormat="1" ht="20.100000000000001" hidden="1" customHeight="1">
      <c r="B84" s="159" t="s">
        <v>1100</v>
      </c>
      <c r="C84" s="1039">
        <v>19</v>
      </c>
      <c r="D84" s="105" t="s">
        <v>1099</v>
      </c>
      <c r="E84" s="1047" t="s">
        <v>264</v>
      </c>
      <c r="F84" s="920">
        <v>0</v>
      </c>
      <c r="G84" s="1041">
        <f>IFERROR(_xlfn.CEILING.MATH(Таблица2[[#This Row],[Кол-во материала по расчету]],C84),"-")</f>
        <v>0</v>
      </c>
      <c r="H84" s="933"/>
      <c r="I84" s="921">
        <f>IFERROR(Таблица2[[#This Row],[Кол-во материала с учетом кратности упаковки*****]]*Таблица2[[#This Row],[Стоимость 
ед., руб. ]],0)</f>
        <v>0</v>
      </c>
      <c r="K84" s="916">
        <f t="shared" si="1"/>
        <v>0</v>
      </c>
      <c r="M84" s="158">
        <v>19</v>
      </c>
      <c r="N84" s="158" t="s">
        <v>1100</v>
      </c>
    </row>
    <row r="85" spans="2:14" s="501" customFormat="1" ht="20.100000000000001" hidden="1" customHeight="1">
      <c r="B85" s="159">
        <v>38</v>
      </c>
      <c r="C85" s="1039">
        <v>54</v>
      </c>
      <c r="D85" s="105" t="s">
        <v>1433</v>
      </c>
      <c r="E85" s="1047" t="s">
        <v>112</v>
      </c>
      <c r="F85" s="920">
        <v>0</v>
      </c>
      <c r="G85" s="1041">
        <f>IFERROR(_xlfn.CEILING.MATH(Таблица2[[#This Row],[Кол-во материала по расчету]],C85),"-")</f>
        <v>0</v>
      </c>
      <c r="H85" s="933"/>
      <c r="I85" s="921">
        <f>IFERROR(Таблица2[[#This Row],[Кол-во материала с учетом кратности упаковки*****]]*Таблица2[[#This Row],[Стоимость 
ед., руб. ]],0)</f>
        <v>0</v>
      </c>
      <c r="K85" s="916">
        <f t="shared" si="1"/>
        <v>0</v>
      </c>
      <c r="M85" s="158">
        <v>54</v>
      </c>
      <c r="N85" s="158">
        <v>38</v>
      </c>
    </row>
    <row r="86" spans="2:14" s="501" customFormat="1" ht="20.100000000000001" hidden="1" customHeight="1">
      <c r="B86" s="159" t="s">
        <v>905</v>
      </c>
      <c r="C86" s="1039">
        <v>32.4</v>
      </c>
      <c r="D86" s="105" t="s">
        <v>902</v>
      </c>
      <c r="E86" s="1047" t="s">
        <v>151</v>
      </c>
      <c r="F86" s="920">
        <v>0</v>
      </c>
      <c r="G86" s="1041">
        <f>IFERROR(_xlfn.CEILING.MATH(Таблица2[[#This Row],[Кол-во материала по расчету]],C86),"-")</f>
        <v>0</v>
      </c>
      <c r="H86" s="933"/>
      <c r="I86" s="921">
        <f>IFERROR(Таблица2[[#This Row],[Кол-во материала с учетом кратности упаковки*****]]*Таблица2[[#This Row],[Стоимость 
ед., руб. ]],0)</f>
        <v>0</v>
      </c>
      <c r="K86" s="916">
        <f t="shared" si="1"/>
        <v>0</v>
      </c>
      <c r="M86" s="158">
        <v>32.4</v>
      </c>
      <c r="N86" s="158" t="s">
        <v>905</v>
      </c>
    </row>
    <row r="87" spans="2:14" s="501" customFormat="1" ht="20.100000000000001" hidden="1" customHeight="1">
      <c r="B87" s="159">
        <v>450122</v>
      </c>
      <c r="C87" s="1039">
        <v>7.92</v>
      </c>
      <c r="D87" s="105" t="s">
        <v>653</v>
      </c>
      <c r="E87" s="1047" t="s">
        <v>183</v>
      </c>
      <c r="F87" s="920">
        <v>0</v>
      </c>
      <c r="G87" s="1041">
        <f>IFERROR(_xlfn.CEILING.MATH(Таблица2[[#This Row],[Кол-во материала по расчету]],C87),"-")</f>
        <v>0</v>
      </c>
      <c r="H87" s="933"/>
      <c r="I87" s="921">
        <f>IFERROR(Таблица2[[#This Row],[Кол-во материала с учетом кратности упаковки*****]]*Таблица2[[#This Row],[Стоимость 
ед., руб. ]],0)</f>
        <v>0</v>
      </c>
      <c r="K87" s="916">
        <f t="shared" si="1"/>
        <v>0</v>
      </c>
      <c r="M87" s="158">
        <f>24*0.33</f>
        <v>7.92</v>
      </c>
      <c r="N87" s="158">
        <v>450122</v>
      </c>
    </row>
    <row r="88" spans="2:14" s="501" customFormat="1" ht="20.100000000000001" hidden="1" customHeight="1">
      <c r="B88" s="159" t="s">
        <v>762</v>
      </c>
      <c r="C88" s="1039">
        <v>20</v>
      </c>
      <c r="D88" s="105" t="s">
        <v>185</v>
      </c>
      <c r="E88" s="1047" t="s">
        <v>151</v>
      </c>
      <c r="F88" s="920">
        <v>0</v>
      </c>
      <c r="G88" s="1041">
        <f>IFERROR(_xlfn.CEILING.MATH(Таблица2[[#This Row],[Кол-во материала по расчету]],C88),"-")</f>
        <v>0</v>
      </c>
      <c r="H88" s="933"/>
      <c r="I88" s="921">
        <f>IFERROR(Таблица2[[#This Row],[Кол-во материала с учетом кратности упаковки*****]]*Таблица2[[#This Row],[Стоимость 
ед., руб. ]],0)</f>
        <v>0</v>
      </c>
      <c r="K88" s="916">
        <f t="shared" si="1"/>
        <v>0</v>
      </c>
      <c r="M88" s="158">
        <v>20</v>
      </c>
      <c r="N88" s="158" t="s">
        <v>762</v>
      </c>
    </row>
    <row r="89" spans="2:14" s="501" customFormat="1" ht="20.100000000000001" hidden="1" customHeight="1">
      <c r="B89" s="159" t="s">
        <v>296</v>
      </c>
      <c r="C89" s="1039">
        <v>1</v>
      </c>
      <c r="D89" s="105" t="s">
        <v>826</v>
      </c>
      <c r="E89" s="1047" t="s">
        <v>151</v>
      </c>
      <c r="F89" s="920">
        <v>0</v>
      </c>
      <c r="G89" s="1041">
        <f>IFERROR(_xlfn.CEILING.MATH(Таблица2[[#This Row],[Кол-во материала по расчету]],C89),"-")</f>
        <v>0</v>
      </c>
      <c r="H89" s="933"/>
      <c r="I89" s="921">
        <f>IFERROR(Таблица2[[#This Row],[Кол-во материала с учетом кратности упаковки*****]]*Таблица2[[#This Row],[Стоимость 
ед., руб. ]],0)</f>
        <v>0</v>
      </c>
      <c r="K89" s="916">
        <f t="shared" si="1"/>
        <v>0</v>
      </c>
      <c r="M89" s="158">
        <v>1</v>
      </c>
      <c r="N89" s="158" t="s">
        <v>296</v>
      </c>
    </row>
    <row r="90" spans="2:14" s="501" customFormat="1" ht="20.100000000000001" customHeight="1">
      <c r="B90" s="159" t="s">
        <v>714</v>
      </c>
      <c r="C90" s="1039">
        <v>1</v>
      </c>
      <c r="D90" s="105" t="s">
        <v>1494</v>
      </c>
      <c r="E90" s="1047" t="s">
        <v>151</v>
      </c>
      <c r="F90" s="920">
        <v>1</v>
      </c>
      <c r="G90" s="1041">
        <f>IFERROR(_xlfn.CEILING.MATH(Таблица2[[#This Row],[Кол-во материала по расчету]],C90),"-")</f>
        <v>1</v>
      </c>
      <c r="H90" s="933"/>
      <c r="I90" s="921">
        <f>IFERROR(Таблица2[[#This Row],[Кол-во материала с учетом кратности упаковки*****]]*Таблица2[[#This Row],[Стоимость 
ед., руб. ]],0)</f>
        <v>0</v>
      </c>
      <c r="K90" s="916">
        <f t="shared" si="1"/>
        <v>1</v>
      </c>
      <c r="M90" s="158">
        <v>1</v>
      </c>
      <c r="N90" s="158" t="s">
        <v>714</v>
      </c>
    </row>
    <row r="91" spans="2:14" s="501" customFormat="1" ht="20.100000000000001" customHeight="1">
      <c r="B91" s="159" t="s">
        <v>764</v>
      </c>
      <c r="C91" s="1039">
        <v>1</v>
      </c>
      <c r="D91" s="105" t="s">
        <v>1493</v>
      </c>
      <c r="E91" s="1047" t="s">
        <v>151</v>
      </c>
      <c r="F91" s="920">
        <v>2</v>
      </c>
      <c r="G91" s="1041">
        <f>IFERROR(_xlfn.CEILING.MATH(Таблица2[[#This Row],[Кол-во материала по расчету]],C91),"-")</f>
        <v>2</v>
      </c>
      <c r="H91" s="933"/>
      <c r="I91" s="921">
        <f>IFERROR(Таблица2[[#This Row],[Кол-во материала с учетом кратности упаковки*****]]*Таблица2[[#This Row],[Стоимость 
ед., руб. ]],0)</f>
        <v>0</v>
      </c>
      <c r="K91" s="916">
        <f t="shared" si="1"/>
        <v>1</v>
      </c>
      <c r="M91" s="158">
        <v>1</v>
      </c>
      <c r="N91" s="158" t="s">
        <v>764</v>
      </c>
    </row>
    <row r="92" spans="2:14" s="501" customFormat="1" ht="20.100000000000001" customHeight="1">
      <c r="B92" s="159">
        <v>528103</v>
      </c>
      <c r="C92" s="1039">
        <v>54</v>
      </c>
      <c r="D92" s="105" t="s">
        <v>1430</v>
      </c>
      <c r="E92" s="1047" t="s">
        <v>112</v>
      </c>
      <c r="F92" s="920">
        <v>2181</v>
      </c>
      <c r="G92" s="1041">
        <f>IFERROR(_xlfn.CEILING.MATH(Таблица2[[#This Row],[Кол-во материала по расчету]],C92),"-")</f>
        <v>2214</v>
      </c>
      <c r="H92" s="933"/>
      <c r="I92" s="921">
        <f>IFERROR(Таблица2[[#This Row],[Кол-во материала с учетом кратности упаковки*****]]*Таблица2[[#This Row],[Стоимость 
ед., руб. ]],0)</f>
        <v>0</v>
      </c>
      <c r="K92" s="916">
        <f t="shared" si="1"/>
        <v>1</v>
      </c>
      <c r="M92" s="158">
        <v>54</v>
      </c>
      <c r="N92" s="158">
        <v>528103</v>
      </c>
    </row>
    <row r="93" spans="2:14" s="501" customFormat="1" ht="20.100000000000001" hidden="1" customHeight="1">
      <c r="B93" s="159">
        <v>578227</v>
      </c>
      <c r="C93" s="1039">
        <v>32.4</v>
      </c>
      <c r="D93" s="105" t="s">
        <v>1429</v>
      </c>
      <c r="E93" s="1047" t="s">
        <v>112</v>
      </c>
      <c r="F93" s="920">
        <v>0</v>
      </c>
      <c r="G93" s="1041">
        <f>IFERROR(_xlfn.CEILING.MATH(Таблица2[[#This Row],[Кол-во материала по расчету]],C93),"-")</f>
        <v>0</v>
      </c>
      <c r="H93" s="933"/>
      <c r="I93" s="921">
        <f>IFERROR(Таблица2[[#This Row],[Кол-во материала с учетом кратности упаковки*****]]*Таблица2[[#This Row],[Стоимость 
ед., руб. ]],0)</f>
        <v>0</v>
      </c>
      <c r="K93" s="916">
        <f t="shared" si="1"/>
        <v>0</v>
      </c>
      <c r="M93" s="158">
        <v>32.4</v>
      </c>
      <c r="N93" s="158">
        <v>578227</v>
      </c>
    </row>
    <row r="94" spans="2:14" s="501" customFormat="1" ht="20.100000000000001" customHeight="1">
      <c r="B94" s="159" t="s">
        <v>296</v>
      </c>
      <c r="C94" s="1039">
        <v>50</v>
      </c>
      <c r="D94" s="105" t="s">
        <v>198</v>
      </c>
      <c r="E94" s="1047" t="s">
        <v>151</v>
      </c>
      <c r="F94" s="920">
        <v>513</v>
      </c>
      <c r="G94" s="1041">
        <f>IFERROR(_xlfn.CEILING.MATH(Таблица2[[#This Row],[Кол-во материала по расчету]],C94),"-")</f>
        <v>550</v>
      </c>
      <c r="H94" s="933"/>
      <c r="I94" s="921">
        <f>IFERROR(Таблица2[[#This Row],[Кол-во материала с учетом кратности упаковки*****]]*Таблица2[[#This Row],[Стоимость 
ед., руб. ]],0)</f>
        <v>0</v>
      </c>
      <c r="K94" s="916">
        <f t="shared" si="1"/>
        <v>1</v>
      </c>
      <c r="M94" s="158">
        <v>50</v>
      </c>
      <c r="N94" s="158" t="s">
        <v>296</v>
      </c>
    </row>
    <row r="95" spans="2:14" s="501" customFormat="1" ht="20.100000000000001" customHeight="1">
      <c r="B95" s="159" t="s">
        <v>707</v>
      </c>
      <c r="C95" s="1039">
        <v>10</v>
      </c>
      <c r="D95" s="105" t="s">
        <v>1495</v>
      </c>
      <c r="E95" s="1047" t="s">
        <v>151</v>
      </c>
      <c r="F95" s="920">
        <v>22</v>
      </c>
      <c r="G95" s="1041">
        <f>IFERROR(_xlfn.CEILING.MATH(Таблица2[[#This Row],[Кол-во материала по расчету]],C95),"-")</f>
        <v>30</v>
      </c>
      <c r="H95" s="933"/>
      <c r="I95" s="921">
        <f>IFERROR(Таблица2[[#This Row],[Кол-во материала с учетом кратности упаковки*****]]*Таблица2[[#This Row],[Стоимость 
ед., руб. ]],0)</f>
        <v>0</v>
      </c>
      <c r="K95" s="916">
        <f t="shared" si="1"/>
        <v>1</v>
      </c>
      <c r="M95" s="158">
        <v>10</v>
      </c>
      <c r="N95" s="158" t="s">
        <v>707</v>
      </c>
    </row>
    <row r="96" spans="2:14" s="501" customFormat="1" ht="20.100000000000001" customHeight="1">
      <c r="B96" s="159" t="s">
        <v>706</v>
      </c>
      <c r="C96" s="1039">
        <v>10</v>
      </c>
      <c r="D96" s="105" t="s">
        <v>1496</v>
      </c>
      <c r="E96" s="1047" t="s">
        <v>151</v>
      </c>
      <c r="F96" s="920">
        <v>6</v>
      </c>
      <c r="G96" s="1041">
        <f>IFERROR(_xlfn.CEILING.MATH(Таблица2[[#This Row],[Кол-во материала по расчету]],C96),"-")</f>
        <v>10</v>
      </c>
      <c r="H96" s="933"/>
      <c r="I96" s="921">
        <f>IFERROR(Таблица2[[#This Row],[Кол-во материала с учетом кратности упаковки*****]]*Таблица2[[#This Row],[Стоимость 
ед., руб. ]],0)</f>
        <v>0</v>
      </c>
      <c r="K96" s="916">
        <f t="shared" si="1"/>
        <v>1</v>
      </c>
      <c r="M96" s="158">
        <v>10</v>
      </c>
      <c r="N96" s="158" t="s">
        <v>706</v>
      </c>
    </row>
    <row r="97" spans="2:14" s="501" customFormat="1" ht="30" hidden="1" customHeight="1">
      <c r="B97" s="159" t="s">
        <v>1148</v>
      </c>
      <c r="C97" s="1039">
        <v>1</v>
      </c>
      <c r="D97" s="922" t="s">
        <v>1147</v>
      </c>
      <c r="E97" s="1047" t="s">
        <v>151</v>
      </c>
      <c r="F97" s="920">
        <v>0</v>
      </c>
      <c r="G97" s="1041">
        <f>IFERROR(_xlfn.CEILING.MATH(Таблица2[[#This Row],[Кол-во материала по расчету]],C97),"-")</f>
        <v>0</v>
      </c>
      <c r="H97" s="933"/>
      <c r="I97" s="921">
        <f>IFERROR(Таблица2[[#This Row],[Кол-во материала с учетом кратности упаковки*****]]*Таблица2[[#This Row],[Стоимость 
ед., руб. ]],0)</f>
        <v>0</v>
      </c>
      <c r="K97" s="916">
        <f t="shared" si="1"/>
        <v>0</v>
      </c>
      <c r="M97" s="158">
        <v>1</v>
      </c>
      <c r="N97" s="158" t="s">
        <v>1148</v>
      </c>
    </row>
    <row r="98" spans="2:14" s="501" customFormat="1" ht="20.100000000000001" customHeight="1">
      <c r="B98" s="159" t="s">
        <v>744</v>
      </c>
      <c r="C98" s="1039">
        <v>1</v>
      </c>
      <c r="D98" s="105" t="s">
        <v>1504</v>
      </c>
      <c r="E98" s="1047" t="s">
        <v>151</v>
      </c>
      <c r="F98" s="920">
        <v>9</v>
      </c>
      <c r="G98" s="1041">
        <f>IFERROR(_xlfn.CEILING.MATH(Таблица2[[#This Row],[Кол-во материала по расчету]],C98),"-")</f>
        <v>9</v>
      </c>
      <c r="H98" s="933"/>
      <c r="I98" s="921">
        <f>IFERROR(Таблица2[[#This Row],[Кол-во материала с учетом кратности упаковки*****]]*Таблица2[[#This Row],[Стоимость 
ед., руб. ]],0)</f>
        <v>0</v>
      </c>
      <c r="K98" s="916">
        <f t="shared" si="1"/>
        <v>1</v>
      </c>
      <c r="M98" s="158">
        <v>1</v>
      </c>
      <c r="N98" s="158" t="s">
        <v>744</v>
      </c>
    </row>
    <row r="99" spans="2:14" s="501" customFormat="1" ht="20.100000000000001" hidden="1" customHeight="1">
      <c r="B99" s="159" t="s">
        <v>296</v>
      </c>
      <c r="C99" s="1039" t="s">
        <v>1549</v>
      </c>
      <c r="D99" s="105" t="s">
        <v>1331</v>
      </c>
      <c r="E99" s="913" t="s">
        <v>112</v>
      </c>
      <c r="F99" s="920">
        <v>0</v>
      </c>
      <c r="G99" s="1041" t="str">
        <f>IFERROR(_xlfn.CEILING.MATH(Таблица2[[#This Row],[Кол-во материала по расчету]],C99),"-")</f>
        <v>-</v>
      </c>
      <c r="H99" s="933"/>
      <c r="I99" s="921">
        <f>IFERROR(Таблица2[[#This Row],[Кол-во материала с учетом кратности упаковки*****]]*Таблица2[[#This Row],[Стоимость 
ед., руб. ]],0)</f>
        <v>0</v>
      </c>
      <c r="K99" s="916">
        <f t="shared" si="1"/>
        <v>0</v>
      </c>
      <c r="M99" s="158" t="s">
        <v>6</v>
      </c>
      <c r="N99" s="158" t="s">
        <v>296</v>
      </c>
    </row>
    <row r="100" spans="2:14" s="501" customFormat="1" ht="20.100000000000001" hidden="1" customHeight="1">
      <c r="B100" s="159" t="s">
        <v>296</v>
      </c>
      <c r="C100" s="1039" t="s">
        <v>1549</v>
      </c>
      <c r="D100" s="105" t="s">
        <v>1335</v>
      </c>
      <c r="E100" s="913" t="s">
        <v>112</v>
      </c>
      <c r="F100" s="920">
        <v>0</v>
      </c>
      <c r="G100" s="1041" t="str">
        <f>IFERROR(_xlfn.CEILING.MATH(Таблица2[[#This Row],[Кол-во материала по расчету]],C100),"-")</f>
        <v>-</v>
      </c>
      <c r="H100" s="933"/>
      <c r="I100" s="921">
        <f>IFERROR(Таблица2[[#This Row],[Кол-во материала с учетом кратности упаковки*****]]*Таблица2[[#This Row],[Стоимость 
ед., руб. ]],0)</f>
        <v>0</v>
      </c>
      <c r="K100" s="916">
        <f t="shared" si="1"/>
        <v>0</v>
      </c>
      <c r="M100" s="158" t="s">
        <v>6</v>
      </c>
      <c r="N100" s="158" t="s">
        <v>296</v>
      </c>
    </row>
    <row r="101" spans="2:14" s="501" customFormat="1" ht="20.100000000000001" hidden="1" customHeight="1">
      <c r="B101" s="159" t="s">
        <v>296</v>
      </c>
      <c r="C101" s="1039" t="s">
        <v>1549</v>
      </c>
      <c r="D101" s="105" t="s">
        <v>1340</v>
      </c>
      <c r="E101" s="913" t="s">
        <v>112</v>
      </c>
      <c r="F101" s="920">
        <v>0</v>
      </c>
      <c r="G101" s="1041" t="str">
        <f>IFERROR(_xlfn.CEILING.MATH(Таблица2[[#This Row],[Кол-во материала по расчету]],C101),"-")</f>
        <v>-</v>
      </c>
      <c r="H101" s="933"/>
      <c r="I101" s="921">
        <f>IFERROR(Таблица2[[#This Row],[Кол-во материала с учетом кратности упаковки*****]]*Таблица2[[#This Row],[Стоимость 
ед., руб. ]],0)</f>
        <v>0</v>
      </c>
      <c r="K101" s="916">
        <f t="shared" si="1"/>
        <v>0</v>
      </c>
      <c r="M101" s="158" t="s">
        <v>6</v>
      </c>
      <c r="N101" s="158" t="s">
        <v>296</v>
      </c>
    </row>
    <row r="102" spans="2:14" s="501" customFormat="1" ht="20.100000000000001" hidden="1" customHeight="1">
      <c r="B102" s="159" t="s">
        <v>1070</v>
      </c>
      <c r="C102" s="1039">
        <v>52.5</v>
      </c>
      <c r="D102" s="105" t="s">
        <v>1330</v>
      </c>
      <c r="E102" s="913" t="s">
        <v>112</v>
      </c>
      <c r="F102" s="920">
        <v>0</v>
      </c>
      <c r="G102" s="1041">
        <f>IFERROR(_xlfn.CEILING.MATH(Таблица2[[#This Row],[Кол-во материала по расчету]],C102),"-")</f>
        <v>0</v>
      </c>
      <c r="H102" s="933"/>
      <c r="I102" s="921">
        <f>IFERROR(Таблица2[[#This Row],[Кол-во материала с учетом кратности упаковки*****]]*Таблица2[[#This Row],[Стоимость 
ед., руб. ]],0)</f>
        <v>0</v>
      </c>
      <c r="K102" s="916">
        <f t="shared" si="1"/>
        <v>0</v>
      </c>
      <c r="M102" s="158">
        <v>52.5</v>
      </c>
      <c r="N102" s="158" t="s">
        <v>1070</v>
      </c>
    </row>
    <row r="103" spans="2:14" s="501" customFormat="1" ht="20.100000000000001" hidden="1" customHeight="1">
      <c r="B103" s="159" t="s">
        <v>1071</v>
      </c>
      <c r="C103" s="1039">
        <v>42</v>
      </c>
      <c r="D103" s="105" t="s">
        <v>1334</v>
      </c>
      <c r="E103" s="913" t="s">
        <v>112</v>
      </c>
      <c r="F103" s="920">
        <v>0</v>
      </c>
      <c r="G103" s="1041">
        <f>IFERROR(_xlfn.CEILING.MATH(Таблица2[[#This Row],[Кол-во материала по расчету]],C103),"-")</f>
        <v>0</v>
      </c>
      <c r="H103" s="933"/>
      <c r="I103" s="921">
        <f>IFERROR(Таблица2[[#This Row],[Кол-во материала с учетом кратности упаковки*****]]*Таблица2[[#This Row],[Стоимость 
ед., руб. ]],0)</f>
        <v>0</v>
      </c>
      <c r="K103" s="916">
        <f t="shared" si="1"/>
        <v>0</v>
      </c>
      <c r="M103" s="158">
        <v>42</v>
      </c>
      <c r="N103" s="158" t="s">
        <v>1071</v>
      </c>
    </row>
    <row r="104" spans="2:14" s="501" customFormat="1" ht="20.100000000000001" hidden="1" customHeight="1">
      <c r="B104" s="159" t="s">
        <v>296</v>
      </c>
      <c r="C104" s="1039" t="s">
        <v>1549</v>
      </c>
      <c r="D104" s="105" t="s">
        <v>1338</v>
      </c>
      <c r="E104" s="913" t="s">
        <v>112</v>
      </c>
      <c r="F104" s="920">
        <v>0</v>
      </c>
      <c r="G104" s="1041" t="str">
        <f>IFERROR(_xlfn.CEILING.MATH(Таблица2[[#This Row],[Кол-во материала по расчету]],C104),"-")</f>
        <v>-</v>
      </c>
      <c r="H104" s="933"/>
      <c r="I104" s="921">
        <f>IFERROR(Таблица2[[#This Row],[Кол-во материала с учетом кратности упаковки*****]]*Таблица2[[#This Row],[Стоимость 
ед., руб. ]],0)</f>
        <v>0</v>
      </c>
      <c r="K104" s="916">
        <f t="shared" si="1"/>
        <v>0</v>
      </c>
      <c r="M104" s="158" t="s">
        <v>6</v>
      </c>
      <c r="N104" s="158" t="s">
        <v>296</v>
      </c>
    </row>
    <row r="105" spans="2:14" s="501" customFormat="1" ht="20.100000000000001" hidden="1" customHeight="1">
      <c r="B105" s="159" t="s">
        <v>296</v>
      </c>
      <c r="C105" s="1039" t="s">
        <v>1549</v>
      </c>
      <c r="D105" s="105" t="s">
        <v>1341</v>
      </c>
      <c r="E105" s="913" t="s">
        <v>112</v>
      </c>
      <c r="F105" s="920">
        <v>0</v>
      </c>
      <c r="G105" s="1041" t="str">
        <f>IFERROR(_xlfn.CEILING.MATH(Таблица2[[#This Row],[Кол-во материала по расчету]],C105),"-")</f>
        <v>-</v>
      </c>
      <c r="H105" s="933"/>
      <c r="I105" s="921">
        <f>IFERROR(Таблица2[[#This Row],[Кол-во материала с учетом кратности упаковки*****]]*Таблица2[[#This Row],[Стоимость 
ед., руб. ]],0)</f>
        <v>0</v>
      </c>
      <c r="K105" s="916">
        <f t="shared" si="1"/>
        <v>0</v>
      </c>
      <c r="M105" s="158" t="s">
        <v>6</v>
      </c>
      <c r="N105" s="158" t="s">
        <v>296</v>
      </c>
    </row>
    <row r="106" spans="2:14" s="501" customFormat="1" ht="20.100000000000001" hidden="1" customHeight="1">
      <c r="B106" s="159" t="s">
        <v>1035</v>
      </c>
      <c r="C106" s="1039">
        <v>51.25</v>
      </c>
      <c r="D106" s="105" t="s">
        <v>1347</v>
      </c>
      <c r="E106" s="913" t="s">
        <v>112</v>
      </c>
      <c r="F106" s="920">
        <v>0</v>
      </c>
      <c r="G106" s="1041">
        <f>IFERROR(_xlfn.CEILING.MATH(Таблица2[[#This Row],[Кол-во материала по расчету]],C106),"-")</f>
        <v>0</v>
      </c>
      <c r="H106" s="933"/>
      <c r="I106" s="921">
        <f>IFERROR(Таблица2[[#This Row],[Кол-во материала с учетом кратности упаковки*****]]*Таблица2[[#This Row],[Стоимость 
ед., руб. ]],0)</f>
        <v>0</v>
      </c>
      <c r="K106" s="916">
        <f t="shared" si="1"/>
        <v>0</v>
      </c>
      <c r="M106" s="158">
        <v>51.25</v>
      </c>
      <c r="N106" s="158" t="s">
        <v>1035</v>
      </c>
    </row>
    <row r="107" spans="2:14" s="501" customFormat="1" ht="20.100000000000001" hidden="1" customHeight="1">
      <c r="B107" s="159">
        <v>670878</v>
      </c>
      <c r="C107" s="1039">
        <v>42</v>
      </c>
      <c r="D107" s="105" t="s">
        <v>1348</v>
      </c>
      <c r="E107" s="913" t="s">
        <v>112</v>
      </c>
      <c r="F107" s="920">
        <v>0</v>
      </c>
      <c r="G107" s="1041">
        <f>IFERROR(_xlfn.CEILING.MATH(Таблица2[[#This Row],[Кол-во материала по расчету]],C107),"-")</f>
        <v>0</v>
      </c>
      <c r="H107" s="933"/>
      <c r="I107" s="921">
        <f>IFERROR(Таблица2[[#This Row],[Кол-во материала с учетом кратности упаковки*****]]*Таблица2[[#This Row],[Стоимость 
ед., руб. ]],0)</f>
        <v>0</v>
      </c>
      <c r="K107" s="916">
        <f t="shared" si="1"/>
        <v>0</v>
      </c>
      <c r="M107" s="158">
        <v>42</v>
      </c>
      <c r="N107" s="158">
        <v>670878</v>
      </c>
    </row>
    <row r="108" spans="2:14" s="501" customFormat="1" ht="20.100000000000001" hidden="1" customHeight="1">
      <c r="B108" s="159">
        <v>670879</v>
      </c>
      <c r="C108" s="1039">
        <v>31.5</v>
      </c>
      <c r="D108" s="105" t="s">
        <v>1349</v>
      </c>
      <c r="E108" s="913" t="s">
        <v>112</v>
      </c>
      <c r="F108" s="920">
        <v>0</v>
      </c>
      <c r="G108" s="1041">
        <f>IFERROR(_xlfn.CEILING.MATH(Таблица2[[#This Row],[Кол-во материала по расчету]],C108),"-")</f>
        <v>0</v>
      </c>
      <c r="H108" s="933"/>
      <c r="I108" s="921">
        <f>IFERROR(Таблица2[[#This Row],[Кол-во материала с учетом кратности упаковки*****]]*Таблица2[[#This Row],[Стоимость 
ед., руб. ]],0)</f>
        <v>0</v>
      </c>
      <c r="K108" s="916">
        <f t="shared" si="1"/>
        <v>0</v>
      </c>
      <c r="M108" s="158">
        <v>31.5</v>
      </c>
      <c r="N108" s="158">
        <v>670879</v>
      </c>
    </row>
    <row r="109" spans="2:14" s="501" customFormat="1" ht="20.100000000000001" hidden="1" customHeight="1">
      <c r="B109" s="159" t="s">
        <v>296</v>
      </c>
      <c r="C109" s="1039" t="s">
        <v>1549</v>
      </c>
      <c r="D109" s="105" t="s">
        <v>1342</v>
      </c>
      <c r="E109" s="913" t="s">
        <v>112</v>
      </c>
      <c r="F109" s="920">
        <v>0</v>
      </c>
      <c r="G109" s="1041" t="str">
        <f>IFERROR(_xlfn.CEILING.MATH(Таблица2[[#This Row],[Кол-во материала по расчету]],C109),"-")</f>
        <v>-</v>
      </c>
      <c r="H109" s="933"/>
      <c r="I109" s="921">
        <f>IFERROR(Таблица2[[#This Row],[Кол-во материала с учетом кратности упаковки*****]]*Таблица2[[#This Row],[Стоимость 
ед., руб. ]],0)</f>
        <v>0</v>
      </c>
      <c r="K109" s="916">
        <f t="shared" si="1"/>
        <v>0</v>
      </c>
      <c r="M109" s="158" t="s">
        <v>6</v>
      </c>
      <c r="N109" s="158" t="s">
        <v>296</v>
      </c>
    </row>
    <row r="110" spans="2:14" s="501" customFormat="1" ht="20.100000000000001" hidden="1" customHeight="1">
      <c r="B110" s="159" t="s">
        <v>1051</v>
      </c>
      <c r="C110" s="1039">
        <v>31.5</v>
      </c>
      <c r="D110" s="105" t="s">
        <v>1345</v>
      </c>
      <c r="E110" s="913" t="s">
        <v>112</v>
      </c>
      <c r="F110" s="920">
        <v>0</v>
      </c>
      <c r="G110" s="1041">
        <f>IFERROR(_xlfn.CEILING.MATH(Таблица2[[#This Row],[Кол-во материала по расчету]],C110),"-")</f>
        <v>0</v>
      </c>
      <c r="H110" s="933"/>
      <c r="I110" s="921">
        <f>IFERROR(Таблица2[[#This Row],[Кол-во материала с учетом кратности упаковки*****]]*Таблица2[[#This Row],[Стоимость 
ед., руб. ]],0)</f>
        <v>0</v>
      </c>
      <c r="K110" s="916">
        <f t="shared" si="1"/>
        <v>0</v>
      </c>
      <c r="M110" s="158">
        <v>31.5</v>
      </c>
      <c r="N110" s="158" t="s">
        <v>1051</v>
      </c>
    </row>
    <row r="111" spans="2:14" s="501" customFormat="1" ht="20.100000000000001" hidden="1" customHeight="1">
      <c r="B111" s="159" t="s">
        <v>1052</v>
      </c>
      <c r="C111" s="1039">
        <v>31.5</v>
      </c>
      <c r="D111" s="105" t="s">
        <v>1346</v>
      </c>
      <c r="E111" s="913" t="s">
        <v>112</v>
      </c>
      <c r="F111" s="920">
        <v>0</v>
      </c>
      <c r="G111" s="1041">
        <f>IFERROR(_xlfn.CEILING.MATH(Таблица2[[#This Row],[Кол-во материала по расчету]],C111),"-")</f>
        <v>0</v>
      </c>
      <c r="H111" s="933"/>
      <c r="I111" s="921">
        <f>IFERROR(Таблица2[[#This Row],[Кол-во материала с учетом кратности упаковки*****]]*Таблица2[[#This Row],[Стоимость 
ед., руб. ]],0)</f>
        <v>0</v>
      </c>
      <c r="K111" s="916">
        <f t="shared" si="1"/>
        <v>0</v>
      </c>
      <c r="M111" s="158">
        <v>31.5</v>
      </c>
      <c r="N111" s="158" t="s">
        <v>1052</v>
      </c>
    </row>
    <row r="112" spans="2:14" s="501" customFormat="1" ht="20.100000000000001" hidden="1" customHeight="1">
      <c r="B112" s="159">
        <v>670881</v>
      </c>
      <c r="C112" s="1039">
        <v>31.5</v>
      </c>
      <c r="D112" s="105" t="s">
        <v>1344</v>
      </c>
      <c r="E112" s="913" t="s">
        <v>112</v>
      </c>
      <c r="F112" s="920">
        <v>0</v>
      </c>
      <c r="G112" s="1041">
        <f>IFERROR(_xlfn.CEILING.MATH(Таблица2[[#This Row],[Кол-во материала по расчету]],C112),"-")</f>
        <v>0</v>
      </c>
      <c r="H112" s="933"/>
      <c r="I112" s="921">
        <f>IFERROR(Таблица2[[#This Row],[Кол-во материала с учетом кратности упаковки*****]]*Таблица2[[#This Row],[Стоимость 
ед., руб. ]],0)</f>
        <v>0</v>
      </c>
      <c r="K112" s="916">
        <f t="shared" si="1"/>
        <v>0</v>
      </c>
      <c r="M112" s="158">
        <v>31.5</v>
      </c>
      <c r="N112" s="158">
        <v>670881</v>
      </c>
    </row>
    <row r="113" spans="2:14" s="501" customFormat="1" ht="20.100000000000001" customHeight="1">
      <c r="B113" s="159" t="s">
        <v>296</v>
      </c>
      <c r="C113" s="1039">
        <v>52.5</v>
      </c>
      <c r="D113" s="105" t="s">
        <v>1328</v>
      </c>
      <c r="E113" s="913" t="s">
        <v>112</v>
      </c>
      <c r="F113" s="920">
        <v>2270</v>
      </c>
      <c r="G113" s="1041">
        <f>IFERROR(_xlfn.CEILING.MATH(Таблица2[[#This Row],[Кол-во материала по расчету]],C113),"-")</f>
        <v>2310</v>
      </c>
      <c r="H113" s="933"/>
      <c r="I113" s="921">
        <f>IFERROR(Таблица2[[#This Row],[Кол-во материала с учетом кратности упаковки*****]]*Таблица2[[#This Row],[Стоимость 
ед., руб. ]],0)</f>
        <v>0</v>
      </c>
      <c r="K113" s="916">
        <f t="shared" si="1"/>
        <v>1</v>
      </c>
      <c r="M113" s="158">
        <v>52.5</v>
      </c>
      <c r="N113" s="158" t="s">
        <v>296</v>
      </c>
    </row>
    <row r="114" spans="2:14" s="501" customFormat="1" ht="20.100000000000001" hidden="1" customHeight="1">
      <c r="B114" s="159">
        <v>500464</v>
      </c>
      <c r="C114" s="1039">
        <v>42</v>
      </c>
      <c r="D114" s="105" t="s">
        <v>1332</v>
      </c>
      <c r="E114" s="913" t="s">
        <v>112</v>
      </c>
      <c r="F114" s="920">
        <v>0</v>
      </c>
      <c r="G114" s="1041">
        <f>IFERROR(_xlfn.CEILING.MATH(Таблица2[[#This Row],[Кол-во материала по расчету]],C114),"-")</f>
        <v>0</v>
      </c>
      <c r="H114" s="933"/>
      <c r="I114" s="921">
        <f>IFERROR(Таблица2[[#This Row],[Кол-во материала с учетом кратности упаковки*****]]*Таблица2[[#This Row],[Стоимость 
ед., руб. ]],0)</f>
        <v>0</v>
      </c>
      <c r="K114" s="916">
        <f t="shared" si="1"/>
        <v>0</v>
      </c>
      <c r="M114" s="158">
        <v>42</v>
      </c>
      <c r="N114" s="158">
        <v>500464</v>
      </c>
    </row>
    <row r="115" spans="2:14" s="501" customFormat="1" ht="20.100000000000001" hidden="1" customHeight="1">
      <c r="B115" s="159" t="s">
        <v>1072</v>
      </c>
      <c r="C115" s="1039">
        <v>31.5</v>
      </c>
      <c r="D115" s="105" t="s">
        <v>1336</v>
      </c>
      <c r="E115" s="913" t="s">
        <v>112</v>
      </c>
      <c r="F115" s="920">
        <v>0</v>
      </c>
      <c r="G115" s="1041">
        <f>IFERROR(_xlfn.CEILING.MATH(Таблица2[[#This Row],[Кол-во материала по расчету]],C115),"-")</f>
        <v>0</v>
      </c>
      <c r="H115" s="933"/>
      <c r="I115" s="921">
        <f>IFERROR(Таблица2[[#This Row],[Кол-во материала с учетом кратности упаковки*****]]*Таблица2[[#This Row],[Стоимость 
ед., руб. ]],0)</f>
        <v>0</v>
      </c>
      <c r="K115" s="916">
        <f t="shared" si="1"/>
        <v>0</v>
      </c>
      <c r="M115" s="158">
        <v>31.5</v>
      </c>
      <c r="N115" s="158" t="s">
        <v>1072</v>
      </c>
    </row>
    <row r="116" spans="2:14" s="501" customFormat="1" ht="20.100000000000001" hidden="1" customHeight="1">
      <c r="B116" s="159" t="s">
        <v>1053</v>
      </c>
      <c r="C116" s="1039">
        <v>31.5</v>
      </c>
      <c r="D116" s="105" t="s">
        <v>1343</v>
      </c>
      <c r="E116" s="913" t="s">
        <v>112</v>
      </c>
      <c r="F116" s="920">
        <v>0</v>
      </c>
      <c r="G116" s="1041">
        <f>IFERROR(_xlfn.CEILING.MATH(Таблица2[[#This Row],[Кол-во материала по расчету]],C116),"-")</f>
        <v>0</v>
      </c>
      <c r="H116" s="933"/>
      <c r="I116" s="921">
        <f>IFERROR(Таблица2[[#This Row],[Кол-во материала с учетом кратности упаковки*****]]*Таблица2[[#This Row],[Стоимость 
ед., руб. ]],0)</f>
        <v>0</v>
      </c>
      <c r="K116" s="916">
        <f t="shared" si="1"/>
        <v>0</v>
      </c>
      <c r="M116" s="158">
        <v>31.5</v>
      </c>
      <c r="N116" s="158" t="s">
        <v>1053</v>
      </c>
    </row>
    <row r="117" spans="2:14" s="501" customFormat="1" ht="20.100000000000001" hidden="1" customHeight="1">
      <c r="B117" s="159" t="s">
        <v>1068</v>
      </c>
      <c r="C117" s="1039">
        <v>52.5</v>
      </c>
      <c r="D117" s="105" t="s">
        <v>1329</v>
      </c>
      <c r="E117" s="913" t="s">
        <v>112</v>
      </c>
      <c r="F117" s="920">
        <v>0</v>
      </c>
      <c r="G117" s="1041">
        <f>IFERROR(_xlfn.CEILING.MATH(Таблица2[[#This Row],[Кол-во материала по расчету]],C117),"-")</f>
        <v>0</v>
      </c>
      <c r="H117" s="933"/>
      <c r="I117" s="921">
        <f>IFERROR(Таблица2[[#This Row],[Кол-во материала с учетом кратности упаковки*****]]*Таблица2[[#This Row],[Стоимость 
ед., руб. ]],0)</f>
        <v>0</v>
      </c>
      <c r="K117" s="916">
        <f t="shared" si="1"/>
        <v>0</v>
      </c>
      <c r="M117" s="158">
        <v>52.5</v>
      </c>
      <c r="N117" s="158" t="s">
        <v>1068</v>
      </c>
    </row>
    <row r="118" spans="2:14" s="501" customFormat="1" ht="20.100000000000001" hidden="1" customHeight="1">
      <c r="B118" s="159" t="s">
        <v>1069</v>
      </c>
      <c r="C118" s="1039">
        <v>42</v>
      </c>
      <c r="D118" s="105" t="s">
        <v>1333</v>
      </c>
      <c r="E118" s="913" t="s">
        <v>112</v>
      </c>
      <c r="F118" s="920">
        <v>0</v>
      </c>
      <c r="G118" s="1041">
        <f>IFERROR(_xlfn.CEILING.MATH(Таблица2[[#This Row],[Кол-во материала по расчету]],C118),"-")</f>
        <v>0</v>
      </c>
      <c r="H118" s="933"/>
      <c r="I118" s="921">
        <f>IFERROR(Таблица2[[#This Row],[Кол-во материала с учетом кратности упаковки*****]]*Таблица2[[#This Row],[Стоимость 
ед., руб. ]],0)</f>
        <v>0</v>
      </c>
      <c r="K118" s="916">
        <f t="shared" si="1"/>
        <v>0</v>
      </c>
      <c r="M118" s="158">
        <v>42</v>
      </c>
      <c r="N118" s="158" t="s">
        <v>1069</v>
      </c>
    </row>
    <row r="119" spans="2:14" s="501" customFormat="1" ht="20.100000000000001" hidden="1" customHeight="1">
      <c r="B119" s="159" t="s">
        <v>296</v>
      </c>
      <c r="C119" s="1039" t="s">
        <v>1549</v>
      </c>
      <c r="D119" s="105" t="s">
        <v>1337</v>
      </c>
      <c r="E119" s="913" t="s">
        <v>112</v>
      </c>
      <c r="F119" s="920">
        <v>0</v>
      </c>
      <c r="G119" s="1041" t="str">
        <f>IFERROR(_xlfn.CEILING.MATH(Таблица2[[#This Row],[Кол-во материала по расчету]],C119),"-")</f>
        <v>-</v>
      </c>
      <c r="H119" s="933"/>
      <c r="I119" s="921">
        <f>IFERROR(Таблица2[[#This Row],[Кол-во материала с учетом кратности упаковки*****]]*Таблица2[[#This Row],[Стоимость 
ед., руб. ]],0)</f>
        <v>0</v>
      </c>
      <c r="K119" s="916">
        <f t="shared" si="1"/>
        <v>0</v>
      </c>
      <c r="M119" s="158" t="s">
        <v>6</v>
      </c>
      <c r="N119" s="158" t="s">
        <v>296</v>
      </c>
    </row>
    <row r="120" spans="2:14" s="501" customFormat="1" ht="20.100000000000001" hidden="1" customHeight="1">
      <c r="B120" s="159" t="s">
        <v>296</v>
      </c>
      <c r="C120" s="1039" t="s">
        <v>1549</v>
      </c>
      <c r="D120" s="105" t="s">
        <v>1339</v>
      </c>
      <c r="E120" s="913" t="s">
        <v>112</v>
      </c>
      <c r="F120" s="920">
        <v>0</v>
      </c>
      <c r="G120" s="1041" t="str">
        <f>IFERROR(_xlfn.CEILING.MATH(Таблица2[[#This Row],[Кол-во материала по расчету]],C120),"-")</f>
        <v>-</v>
      </c>
      <c r="H120" s="933"/>
      <c r="I120" s="921">
        <f>IFERROR(Таблица2[[#This Row],[Кол-во материала с учетом кратности упаковки*****]]*Таблица2[[#This Row],[Стоимость 
ед., руб. ]],0)</f>
        <v>0</v>
      </c>
      <c r="K120" s="916">
        <f t="shared" si="1"/>
        <v>0</v>
      </c>
      <c r="M120" s="158" t="s">
        <v>6</v>
      </c>
      <c r="N120" s="158" t="s">
        <v>296</v>
      </c>
    </row>
    <row r="121" spans="2:14" s="501" customFormat="1" ht="20.100000000000001" hidden="1" customHeight="1">
      <c r="B121" s="159" t="s">
        <v>1095</v>
      </c>
      <c r="C121" s="1039">
        <v>52.5</v>
      </c>
      <c r="D121" s="105" t="s">
        <v>350</v>
      </c>
      <c r="E121" s="913" t="s">
        <v>112</v>
      </c>
      <c r="F121" s="920">
        <v>0</v>
      </c>
      <c r="G121" s="1041">
        <f>IFERROR(_xlfn.CEILING.MATH(Таблица2[[#This Row],[Кол-во материала по расчету]],C121),"-")</f>
        <v>0</v>
      </c>
      <c r="H121" s="933"/>
      <c r="I121" s="921">
        <f>IFERROR(Таблица2[[#This Row],[Кол-во материала с учетом кратности упаковки*****]]*Таблица2[[#This Row],[Стоимость 
ед., руб. ]],0)</f>
        <v>0</v>
      </c>
      <c r="K121" s="916">
        <f t="shared" si="1"/>
        <v>0</v>
      </c>
      <c r="M121" s="158">
        <v>52.5</v>
      </c>
      <c r="N121" s="158" t="s">
        <v>1095</v>
      </c>
    </row>
    <row r="122" spans="2:14" s="501" customFormat="1" ht="20.100000000000001" customHeight="1">
      <c r="B122" s="159" t="s">
        <v>793</v>
      </c>
      <c r="C122" s="1039">
        <v>20</v>
      </c>
      <c r="D122" s="105" t="s">
        <v>1503</v>
      </c>
      <c r="E122" s="913" t="s">
        <v>112</v>
      </c>
      <c r="F122" s="920">
        <v>65</v>
      </c>
      <c r="G122" s="1041">
        <f>IFERROR(_xlfn.CEILING.MATH(Таблица2[[#This Row],[Кол-во материала по расчету]],C122),"-")</f>
        <v>80</v>
      </c>
      <c r="H122" s="933"/>
      <c r="I122" s="921">
        <f>IFERROR(Таблица2[[#This Row],[Кол-во материала с учетом кратности упаковки*****]]*Таблица2[[#This Row],[Стоимость 
ед., руб. ]],0)</f>
        <v>0</v>
      </c>
      <c r="K122" s="916">
        <f t="shared" si="1"/>
        <v>1</v>
      </c>
      <c r="M122" s="158">
        <v>20</v>
      </c>
      <c r="N122" s="158" t="s">
        <v>793</v>
      </c>
    </row>
    <row r="123" spans="2:14" s="501" customFormat="1" ht="20.100000000000001" customHeight="1">
      <c r="B123" s="159" t="s">
        <v>700</v>
      </c>
      <c r="C123" s="1039">
        <v>2</v>
      </c>
      <c r="D123" s="105" t="s">
        <v>272</v>
      </c>
      <c r="E123" s="913" t="s">
        <v>112</v>
      </c>
      <c r="F123" s="920">
        <v>107.39</v>
      </c>
      <c r="G123" s="1041">
        <f>IFERROR(_xlfn.CEILING.MATH(Таблица2[[#This Row],[Кол-во материала по расчету]],C123),"-")</f>
        <v>108</v>
      </c>
      <c r="H123" s="933"/>
      <c r="I123" s="921">
        <f>IFERROR(Таблица2[[#This Row],[Кол-во материала с учетом кратности упаковки*****]]*Таблица2[[#This Row],[Стоимость 
ед., руб. ]],0)</f>
        <v>0</v>
      </c>
      <c r="K123" s="916">
        <f t="shared" si="1"/>
        <v>1</v>
      </c>
      <c r="M123" s="158">
        <v>2</v>
      </c>
      <c r="N123" s="158" t="s">
        <v>700</v>
      </c>
    </row>
    <row r="124" spans="2:14" s="501" customFormat="1" ht="30" hidden="1" customHeight="1">
      <c r="B124" s="159" t="s">
        <v>1129</v>
      </c>
      <c r="C124" s="1039">
        <v>1</v>
      </c>
      <c r="D124" s="922" t="s">
        <v>1128</v>
      </c>
      <c r="E124" s="1047" t="s">
        <v>151</v>
      </c>
      <c r="F124" s="920">
        <v>0</v>
      </c>
      <c r="G124" s="1041">
        <f>IFERROR(_xlfn.CEILING.MATH(Таблица2[[#This Row],[Кол-во материала по расчету]],C124),"-")</f>
        <v>0</v>
      </c>
      <c r="H124" s="933"/>
      <c r="I124" s="921">
        <f>IFERROR(Таблица2[[#This Row],[Кол-во материала с учетом кратности упаковки*****]]*Таблица2[[#This Row],[Стоимость 
ед., руб. ]],0)</f>
        <v>0</v>
      </c>
      <c r="K124" s="916">
        <f t="shared" si="1"/>
        <v>0</v>
      </c>
      <c r="M124" s="158">
        <v>1</v>
      </c>
      <c r="N124" s="158" t="s">
        <v>1129</v>
      </c>
    </row>
    <row r="125" spans="2:14" s="501" customFormat="1" ht="30" hidden="1" customHeight="1">
      <c r="B125" s="159" t="s">
        <v>1107</v>
      </c>
      <c r="C125" s="1039">
        <v>300</v>
      </c>
      <c r="D125" s="922" t="s">
        <v>1104</v>
      </c>
      <c r="E125" s="913" t="s">
        <v>112</v>
      </c>
      <c r="F125" s="920">
        <v>0</v>
      </c>
      <c r="G125" s="1041">
        <f>IFERROR(_xlfn.CEILING.MATH(Таблица2[[#This Row],[Кол-во материала по расчету]],C125),"-")</f>
        <v>0</v>
      </c>
      <c r="H125" s="933">
        <v>200</v>
      </c>
      <c r="I125" s="921">
        <f>IFERROR(Таблица2[[#This Row],[Кол-во материала с учетом кратности упаковки*****]]*Таблица2[[#This Row],[Стоимость 
ед., руб. ]],0)</f>
        <v>0</v>
      </c>
      <c r="K125" s="916">
        <f t="shared" si="1"/>
        <v>0</v>
      </c>
      <c r="M125" s="158">
        <v>300</v>
      </c>
      <c r="N125" s="158" t="s">
        <v>1107</v>
      </c>
    </row>
    <row r="126" spans="2:14" s="501" customFormat="1" ht="30" hidden="1" customHeight="1">
      <c r="B126" s="159" t="s">
        <v>1106</v>
      </c>
      <c r="C126" s="1039">
        <v>300</v>
      </c>
      <c r="D126" s="922" t="s">
        <v>1105</v>
      </c>
      <c r="E126" s="913" t="s">
        <v>112</v>
      </c>
      <c r="F126" s="920">
        <v>0</v>
      </c>
      <c r="G126" s="1041">
        <f>IFERROR(_xlfn.CEILING.MATH(Таблица2[[#This Row],[Кол-во материала по расчету]],C126),"-")</f>
        <v>0</v>
      </c>
      <c r="H126" s="933"/>
      <c r="I126" s="921">
        <f>IFERROR(Таблица2[[#This Row],[Кол-во материала с учетом кратности упаковки*****]]*Таблица2[[#This Row],[Стоимость 
ед., руб. ]],0)</f>
        <v>0</v>
      </c>
      <c r="K126" s="916">
        <f t="shared" si="1"/>
        <v>0</v>
      </c>
      <c r="M126" s="158">
        <v>300</v>
      </c>
      <c r="N126" s="158" t="s">
        <v>1106</v>
      </c>
    </row>
    <row r="127" spans="2:14" s="501" customFormat="1" ht="20.100000000000001" hidden="1" customHeight="1">
      <c r="B127" s="159">
        <v>51182</v>
      </c>
      <c r="C127" s="1039">
        <v>16.957350000000002</v>
      </c>
      <c r="D127" s="105" t="s">
        <v>1322</v>
      </c>
      <c r="E127" s="913" t="s">
        <v>112</v>
      </c>
      <c r="F127" s="920">
        <v>0</v>
      </c>
      <c r="G127" s="1041">
        <f>IFERROR(_xlfn.CEILING.MATH(Таблица2[[#This Row],[Кол-во материала по расчету]],C127),"-")</f>
        <v>0</v>
      </c>
      <c r="H127" s="933"/>
      <c r="I127" s="921">
        <f>IFERROR(Таблица2[[#This Row],[Кол-во материала с учетом кратности упаковки*****]]*Таблица2[[#This Row],[Стоимость 
ед., руб. ]],0)</f>
        <v>0</v>
      </c>
      <c r="K127" s="916">
        <f t="shared" si="1"/>
        <v>0</v>
      </c>
      <c r="M127" s="158">
        <v>16.957350000000002</v>
      </c>
      <c r="N127" s="158">
        <v>51182</v>
      </c>
    </row>
    <row r="128" spans="2:14" s="501" customFormat="1" ht="20.100000000000001" hidden="1" customHeight="1">
      <c r="B128" s="159">
        <v>55587</v>
      </c>
      <c r="C128" s="1039">
        <v>36.740924999999997</v>
      </c>
      <c r="D128" s="105" t="s">
        <v>1315</v>
      </c>
      <c r="E128" s="913" t="s">
        <v>112</v>
      </c>
      <c r="F128" s="920">
        <v>0</v>
      </c>
      <c r="G128" s="1041">
        <f>IFERROR(_xlfn.CEILING.MATH(Таблица2[[#This Row],[Кол-во материала по расчету]],C128),"-")</f>
        <v>0</v>
      </c>
      <c r="H128" s="933"/>
      <c r="I128" s="921">
        <f>IFERROR(Таблица2[[#This Row],[Кол-во материала с учетом кратности упаковки*****]]*Таблица2[[#This Row],[Стоимость 
ед., руб. ]],0)</f>
        <v>0</v>
      </c>
      <c r="K128" s="916">
        <f t="shared" si="1"/>
        <v>0</v>
      </c>
      <c r="M128" s="158">
        <v>36.740924999999997</v>
      </c>
      <c r="N128" s="158">
        <v>55587</v>
      </c>
    </row>
    <row r="129" spans="2:14" s="501" customFormat="1" ht="20.100000000000001" hidden="1" customHeight="1">
      <c r="B129" s="159">
        <v>55588</v>
      </c>
      <c r="C129" s="1039">
        <v>28.262250000000002</v>
      </c>
      <c r="D129" s="105" t="s">
        <v>1316</v>
      </c>
      <c r="E129" s="913" t="s">
        <v>112</v>
      </c>
      <c r="F129" s="920">
        <v>0</v>
      </c>
      <c r="G129" s="1041">
        <f>IFERROR(_xlfn.CEILING.MATH(Таблица2[[#This Row],[Кол-во материала по расчету]],C129),"-")</f>
        <v>0</v>
      </c>
      <c r="H129" s="933"/>
      <c r="I129" s="921">
        <f>IFERROR(Таблица2[[#This Row],[Кол-во материала с учетом кратности упаковки*****]]*Таблица2[[#This Row],[Стоимость 
ед., руб. ]],0)</f>
        <v>0</v>
      </c>
      <c r="K129" s="916">
        <f t="shared" si="1"/>
        <v>0</v>
      </c>
      <c r="M129" s="923">
        <v>28.262250000000002</v>
      </c>
      <c r="N129" s="158">
        <v>55588</v>
      </c>
    </row>
    <row r="130" spans="2:14" s="501" customFormat="1" ht="20.100000000000001" hidden="1" customHeight="1">
      <c r="B130" s="159">
        <v>56424</v>
      </c>
      <c r="C130" s="1039">
        <v>22.6098</v>
      </c>
      <c r="D130" s="105" t="s">
        <v>1317</v>
      </c>
      <c r="E130" s="913" t="s">
        <v>112</v>
      </c>
      <c r="F130" s="920">
        <v>0</v>
      </c>
      <c r="G130" s="1041">
        <f>IFERROR(_xlfn.CEILING.MATH(Таблица2[[#This Row],[Кол-во материала по расчету]],C130),"-")</f>
        <v>0</v>
      </c>
      <c r="H130" s="933"/>
      <c r="I130" s="921">
        <f>IFERROR(Таблица2[[#This Row],[Кол-во материала с учетом кратности упаковки*****]]*Таблица2[[#This Row],[Стоимость 
ед., руб. ]],0)</f>
        <v>0</v>
      </c>
      <c r="K130" s="916">
        <f t="shared" si="1"/>
        <v>0</v>
      </c>
      <c r="M130" s="912">
        <v>22.6098</v>
      </c>
      <c r="N130" s="158">
        <v>56424</v>
      </c>
    </row>
    <row r="131" spans="2:14" s="501" customFormat="1" ht="20.100000000000001" hidden="1" customHeight="1">
      <c r="B131" s="159">
        <v>55589</v>
      </c>
      <c r="C131" s="1039">
        <v>28.262250000000002</v>
      </c>
      <c r="D131" s="105" t="s">
        <v>1318</v>
      </c>
      <c r="E131" s="913" t="s">
        <v>112</v>
      </c>
      <c r="F131" s="920">
        <v>0</v>
      </c>
      <c r="G131" s="1041">
        <f>IFERROR(_xlfn.CEILING.MATH(Таблица2[[#This Row],[Кол-во материала по расчету]],C131),"-")</f>
        <v>0</v>
      </c>
      <c r="H131" s="933"/>
      <c r="I131" s="921">
        <f>IFERROR(Таблица2[[#This Row],[Кол-во материала с учетом кратности упаковки*****]]*Таблица2[[#This Row],[Стоимость 
ед., руб. ]],0)</f>
        <v>0</v>
      </c>
      <c r="K131" s="916">
        <f t="shared" si="1"/>
        <v>0</v>
      </c>
      <c r="M131" s="912">
        <v>28.262250000000002</v>
      </c>
      <c r="N131" s="158">
        <v>55589</v>
      </c>
    </row>
    <row r="132" spans="2:14" s="501" customFormat="1" ht="20.100000000000001" hidden="1" customHeight="1">
      <c r="B132" s="159">
        <v>55591</v>
      </c>
      <c r="C132" s="1039">
        <v>22.6098</v>
      </c>
      <c r="D132" s="105" t="s">
        <v>1319</v>
      </c>
      <c r="E132" s="913" t="s">
        <v>112</v>
      </c>
      <c r="F132" s="920">
        <v>0</v>
      </c>
      <c r="G132" s="1041">
        <f>IFERROR(_xlfn.CEILING.MATH(Таблица2[[#This Row],[Кол-во материала по расчету]],C132),"-")</f>
        <v>0</v>
      </c>
      <c r="H132" s="933"/>
      <c r="I132" s="921">
        <f>IFERROR(Таблица2[[#This Row],[Кол-во материала с учетом кратности упаковки*****]]*Таблица2[[#This Row],[Стоимость 
ед., руб. ]],0)</f>
        <v>0</v>
      </c>
      <c r="K132" s="916">
        <f t="shared" si="1"/>
        <v>0</v>
      </c>
      <c r="M132" s="912">
        <v>22.6098</v>
      </c>
      <c r="N132" s="158">
        <v>55591</v>
      </c>
    </row>
    <row r="133" spans="2:14" s="501" customFormat="1" ht="20.100000000000001" hidden="1" customHeight="1">
      <c r="B133" s="159">
        <v>56423</v>
      </c>
      <c r="C133" s="1039">
        <v>19.7835</v>
      </c>
      <c r="D133" s="105" t="s">
        <v>1320</v>
      </c>
      <c r="E133" s="913" t="s">
        <v>112</v>
      </c>
      <c r="F133" s="920">
        <v>0</v>
      </c>
      <c r="G133" s="1041">
        <f>IFERROR(_xlfn.CEILING.MATH(Таблица2[[#This Row],[Кол-во материала по расчету]],C133),"-")</f>
        <v>0</v>
      </c>
      <c r="H133" s="933"/>
      <c r="I133" s="921">
        <f>IFERROR(Таблица2[[#This Row],[Кол-во материала с учетом кратности упаковки*****]]*Таблица2[[#This Row],[Стоимость 
ед., руб. ]],0)</f>
        <v>0</v>
      </c>
      <c r="K133" s="916">
        <f t="shared" si="1"/>
        <v>0</v>
      </c>
      <c r="M133" s="912">
        <v>19.7835</v>
      </c>
      <c r="N133" s="158">
        <v>56423</v>
      </c>
    </row>
    <row r="134" spans="2:14" s="501" customFormat="1" ht="20.100000000000001" hidden="1" customHeight="1">
      <c r="B134" s="159">
        <v>55592</v>
      </c>
      <c r="C134" s="1039">
        <v>16.957350000000002</v>
      </c>
      <c r="D134" s="105" t="s">
        <v>1321</v>
      </c>
      <c r="E134" s="913" t="s">
        <v>112</v>
      </c>
      <c r="F134" s="920">
        <v>0</v>
      </c>
      <c r="G134" s="1041">
        <f>IFERROR(_xlfn.CEILING.MATH(Таблица2[[#This Row],[Кол-во материала по расчету]],C134),"-")</f>
        <v>0</v>
      </c>
      <c r="H134" s="933"/>
      <c r="I134" s="921">
        <f>IFERROR(Таблица2[[#This Row],[Кол-во материала с учетом кратности упаковки*****]]*Таблица2[[#This Row],[Стоимость 
ед., руб. ]],0)</f>
        <v>0</v>
      </c>
      <c r="K134" s="916">
        <f t="shared" si="1"/>
        <v>0</v>
      </c>
      <c r="M134" s="912">
        <v>16.957350000000002</v>
      </c>
      <c r="N134" s="158">
        <v>55592</v>
      </c>
    </row>
    <row r="135" spans="2:14" s="501" customFormat="1" ht="20.100000000000001" hidden="1" customHeight="1">
      <c r="B135" s="159">
        <v>695164</v>
      </c>
      <c r="C135" s="1039">
        <v>33.914700000000003</v>
      </c>
      <c r="D135" s="105" t="s">
        <v>1314</v>
      </c>
      <c r="E135" s="913" t="s">
        <v>112</v>
      </c>
      <c r="F135" s="920">
        <v>0</v>
      </c>
      <c r="G135" s="1041">
        <f>IFERROR(_xlfn.CEILING.MATH(Таблица2[[#This Row],[Кол-во материала по расчету]],C135),"-")</f>
        <v>0</v>
      </c>
      <c r="H135" s="933"/>
      <c r="I135" s="921">
        <f>IFERROR(Таблица2[[#This Row],[Кол-во материала с учетом кратности упаковки*****]]*Таблица2[[#This Row],[Стоимость 
ед., руб. ]],0)</f>
        <v>0</v>
      </c>
      <c r="K135" s="916">
        <f t="shared" si="1"/>
        <v>0</v>
      </c>
      <c r="M135" s="912">
        <v>33.914700000000003</v>
      </c>
      <c r="N135" s="158">
        <v>695164</v>
      </c>
    </row>
    <row r="136" spans="2:14" s="501" customFormat="1" ht="20.100000000000001" hidden="1" customHeight="1">
      <c r="B136" s="159">
        <v>644856</v>
      </c>
      <c r="C136" s="1039">
        <v>110.222775</v>
      </c>
      <c r="D136" s="105" t="s">
        <v>1301</v>
      </c>
      <c r="E136" s="913" t="s">
        <v>112</v>
      </c>
      <c r="F136" s="920">
        <v>0</v>
      </c>
      <c r="G136" s="1041">
        <f>IFERROR(_xlfn.CEILING.MATH(Таблица2[[#This Row],[Кол-во материала по расчету]],C136),"-")</f>
        <v>0</v>
      </c>
      <c r="H136" s="933"/>
      <c r="I136" s="921">
        <f>IFERROR(Таблица2[[#This Row],[Кол-во материала с учетом кратности упаковки*****]]*Таблица2[[#This Row],[Стоимость 
ед., руб. ]],0)</f>
        <v>0</v>
      </c>
      <c r="K136" s="916">
        <f t="shared" si="1"/>
        <v>0</v>
      </c>
      <c r="M136" s="912">
        <v>110.222775</v>
      </c>
      <c r="N136" s="158">
        <v>644856</v>
      </c>
    </row>
    <row r="137" spans="2:14" s="501" customFormat="1" ht="20.100000000000001" hidden="1" customHeight="1">
      <c r="B137" s="159">
        <v>644866</v>
      </c>
      <c r="C137" s="1039">
        <v>84.786749999999998</v>
      </c>
      <c r="D137" s="105" t="s">
        <v>1302</v>
      </c>
      <c r="E137" s="913" t="s">
        <v>112</v>
      </c>
      <c r="F137" s="920">
        <v>0</v>
      </c>
      <c r="G137" s="1041">
        <f>IFERROR(_xlfn.CEILING.MATH(Таблица2[[#This Row],[Кол-во материала по расчету]],C137),"-")</f>
        <v>0</v>
      </c>
      <c r="H137" s="933"/>
      <c r="I137" s="921">
        <f>IFERROR(Таблица2[[#This Row],[Кол-во материала с учетом кратности упаковки*****]]*Таблица2[[#This Row],[Стоимость 
ед., руб. ]],0)</f>
        <v>0</v>
      </c>
      <c r="K137" s="916">
        <f t="shared" si="1"/>
        <v>0</v>
      </c>
      <c r="M137" s="912">
        <v>84.786749999999998</v>
      </c>
      <c r="N137" s="158">
        <v>644866</v>
      </c>
    </row>
    <row r="138" spans="2:14" s="501" customFormat="1" ht="20.100000000000001" hidden="1" customHeight="1">
      <c r="B138" s="159" t="s">
        <v>1078</v>
      </c>
      <c r="C138" s="1039">
        <v>67.829400000000007</v>
      </c>
      <c r="D138" s="105" t="s">
        <v>1303</v>
      </c>
      <c r="E138" s="913" t="s">
        <v>112</v>
      </c>
      <c r="F138" s="920">
        <v>0</v>
      </c>
      <c r="G138" s="1041">
        <f>IFERROR(_xlfn.CEILING.MATH(Таблица2[[#This Row],[Кол-во материала по расчету]],C138),"-")</f>
        <v>0</v>
      </c>
      <c r="H138" s="933"/>
      <c r="I138" s="921">
        <f>IFERROR(Таблица2[[#This Row],[Кол-во материала с учетом кратности упаковки*****]]*Таблица2[[#This Row],[Стоимость 
ед., руб. ]],0)</f>
        <v>0</v>
      </c>
      <c r="K138" s="916">
        <f t="shared" ref="K138:K201" si="2">IF(F138=0,0,1)</f>
        <v>0</v>
      </c>
      <c r="M138" s="912">
        <v>67.829400000000007</v>
      </c>
      <c r="N138" s="158" t="s">
        <v>1078</v>
      </c>
    </row>
    <row r="139" spans="2:14" s="501" customFormat="1" ht="20.100000000000001" hidden="1" customHeight="1">
      <c r="B139" s="159">
        <v>644869</v>
      </c>
      <c r="C139" s="1039">
        <v>67.829400000000007</v>
      </c>
      <c r="D139" s="105" t="s">
        <v>1304</v>
      </c>
      <c r="E139" s="913" t="s">
        <v>112</v>
      </c>
      <c r="F139" s="920">
        <v>0</v>
      </c>
      <c r="G139" s="1041">
        <f>IFERROR(_xlfn.CEILING.MATH(Таблица2[[#This Row],[Кол-во материала по расчету]],C139),"-")</f>
        <v>0</v>
      </c>
      <c r="H139" s="933"/>
      <c r="I139" s="921">
        <f>IFERROR(Таблица2[[#This Row],[Кол-во материала с учетом кратности упаковки*****]]*Таблица2[[#This Row],[Стоимость 
ед., руб. ]],0)</f>
        <v>0</v>
      </c>
      <c r="K139" s="916">
        <f t="shared" si="2"/>
        <v>0</v>
      </c>
      <c r="M139" s="912">
        <v>67.829400000000007</v>
      </c>
      <c r="N139" s="158">
        <v>644869</v>
      </c>
    </row>
    <row r="140" spans="2:14" s="501" customFormat="1" ht="20.100000000000001" hidden="1" customHeight="1">
      <c r="B140" s="159" t="s">
        <v>1079</v>
      </c>
      <c r="C140" s="1039">
        <v>59.350724999999997</v>
      </c>
      <c r="D140" s="105" t="s">
        <v>1305</v>
      </c>
      <c r="E140" s="913" t="s">
        <v>112</v>
      </c>
      <c r="F140" s="920">
        <v>0</v>
      </c>
      <c r="G140" s="1041">
        <f>IFERROR(_xlfn.CEILING.MATH(Таблица2[[#This Row],[Кол-во материала по расчету]],C140),"-")</f>
        <v>0</v>
      </c>
      <c r="H140" s="933"/>
      <c r="I140" s="921">
        <f>IFERROR(Таблица2[[#This Row],[Кол-во материала с учетом кратности упаковки*****]]*Таблица2[[#This Row],[Стоимость 
ед., руб. ]],0)</f>
        <v>0</v>
      </c>
      <c r="K140" s="916">
        <f t="shared" si="2"/>
        <v>0</v>
      </c>
      <c r="M140" s="912">
        <v>59.350724999999997</v>
      </c>
      <c r="N140" s="158" t="s">
        <v>1079</v>
      </c>
    </row>
    <row r="141" spans="2:14" s="501" customFormat="1" ht="20.100000000000001" hidden="1" customHeight="1">
      <c r="B141" s="159">
        <v>644872</v>
      </c>
      <c r="C141" s="1039">
        <v>56.524500000000003</v>
      </c>
      <c r="D141" s="105" t="s">
        <v>1306</v>
      </c>
      <c r="E141" s="913" t="s">
        <v>112</v>
      </c>
      <c r="F141" s="920">
        <v>0</v>
      </c>
      <c r="G141" s="1041">
        <f>IFERROR(_xlfn.CEILING.MATH(Таблица2[[#This Row],[Кол-во материала по расчету]],C141),"-")</f>
        <v>0</v>
      </c>
      <c r="H141" s="933"/>
      <c r="I141" s="921">
        <f>IFERROR(Таблица2[[#This Row],[Кол-во материала с учетом кратности упаковки*****]]*Таблица2[[#This Row],[Стоимость 
ед., руб. ]],0)</f>
        <v>0</v>
      </c>
      <c r="K141" s="916">
        <f t="shared" si="2"/>
        <v>0</v>
      </c>
      <c r="M141" s="912">
        <v>56.524500000000003</v>
      </c>
      <c r="N141" s="158">
        <v>644872</v>
      </c>
    </row>
    <row r="142" spans="2:14" s="501" customFormat="1" ht="20.100000000000001" hidden="1" customHeight="1">
      <c r="B142" s="159" t="s">
        <v>1080</v>
      </c>
      <c r="C142" s="1039">
        <v>50.872050000000002</v>
      </c>
      <c r="D142" s="105" t="s">
        <v>1307</v>
      </c>
      <c r="E142" s="913" t="s">
        <v>112</v>
      </c>
      <c r="F142" s="920">
        <v>0</v>
      </c>
      <c r="G142" s="1041">
        <f>IFERROR(_xlfn.CEILING.MATH(Таблица2[[#This Row],[Кол-во материала по расчету]],C142),"-")</f>
        <v>0</v>
      </c>
      <c r="H142" s="933"/>
      <c r="I142" s="921">
        <f>IFERROR(Таблица2[[#This Row],[Кол-во материала с учетом кратности упаковки*****]]*Таблица2[[#This Row],[Стоимость 
ед., руб. ]],0)</f>
        <v>0</v>
      </c>
      <c r="K142" s="916">
        <f t="shared" si="2"/>
        <v>0</v>
      </c>
      <c r="M142" s="912">
        <v>50.872050000000002</v>
      </c>
      <c r="N142" s="158" t="s">
        <v>1080</v>
      </c>
    </row>
    <row r="143" spans="2:14" s="501" customFormat="1" ht="20.100000000000001" hidden="1" customHeight="1">
      <c r="B143" s="159">
        <v>644875</v>
      </c>
      <c r="C143" s="1039">
        <v>45.2196</v>
      </c>
      <c r="D143" s="105" t="s">
        <v>1308</v>
      </c>
      <c r="E143" s="913" t="s">
        <v>112</v>
      </c>
      <c r="F143" s="920">
        <v>0</v>
      </c>
      <c r="G143" s="1041">
        <f>IFERROR(_xlfn.CEILING.MATH(Таблица2[[#This Row],[Кол-во материала по расчету]],C143),"-")</f>
        <v>0</v>
      </c>
      <c r="H143" s="933"/>
      <c r="I143" s="921">
        <f>IFERROR(Таблица2[[#This Row],[Кол-во материала с учетом кратности упаковки*****]]*Таблица2[[#This Row],[Стоимость 
ед., руб. ]],0)</f>
        <v>0</v>
      </c>
      <c r="K143" s="916">
        <f t="shared" si="2"/>
        <v>0</v>
      </c>
      <c r="M143" s="158">
        <v>45.2196</v>
      </c>
      <c r="N143" s="158">
        <v>644875</v>
      </c>
    </row>
    <row r="144" spans="2:14" s="501" customFormat="1" ht="20.100000000000001" hidden="1" customHeight="1">
      <c r="B144" s="159" t="s">
        <v>1081</v>
      </c>
      <c r="C144" s="1039">
        <v>45.2196</v>
      </c>
      <c r="D144" s="105" t="s">
        <v>1309</v>
      </c>
      <c r="E144" s="913" t="s">
        <v>112</v>
      </c>
      <c r="F144" s="920">
        <v>0</v>
      </c>
      <c r="G144" s="1041">
        <f>IFERROR(_xlfn.CEILING.MATH(Таблица2[[#This Row],[Кол-во материала по расчету]],C144),"-")</f>
        <v>0</v>
      </c>
      <c r="H144" s="933"/>
      <c r="I144" s="921">
        <f>IFERROR(Таблица2[[#This Row],[Кол-во материала с учетом кратности упаковки*****]]*Таблица2[[#This Row],[Стоимость 
ед., руб. ]],0)</f>
        <v>0</v>
      </c>
      <c r="K144" s="916">
        <f t="shared" si="2"/>
        <v>0</v>
      </c>
      <c r="M144" s="158">
        <v>45.2196</v>
      </c>
      <c r="N144" s="158" t="s">
        <v>1081</v>
      </c>
    </row>
    <row r="145" spans="2:14" s="501" customFormat="1" ht="20.100000000000001" hidden="1" customHeight="1">
      <c r="B145" s="159">
        <v>644878</v>
      </c>
      <c r="C145" s="1039">
        <v>39.567149999999998</v>
      </c>
      <c r="D145" s="105" t="s">
        <v>1310</v>
      </c>
      <c r="E145" s="913" t="s">
        <v>112</v>
      </c>
      <c r="F145" s="920">
        <v>0</v>
      </c>
      <c r="G145" s="1041">
        <f>IFERROR(_xlfn.CEILING.MATH(Таблица2[[#This Row],[Кол-во материала по расчету]],C145),"-")</f>
        <v>0</v>
      </c>
      <c r="H145" s="933"/>
      <c r="I145" s="921">
        <f>IFERROR(Таблица2[[#This Row],[Кол-во материала с учетом кратности упаковки*****]]*Таблица2[[#This Row],[Стоимость 
ед., руб. ]],0)</f>
        <v>0</v>
      </c>
      <c r="K145" s="916">
        <f t="shared" si="2"/>
        <v>0</v>
      </c>
      <c r="M145" s="158">
        <v>39.567149999999998</v>
      </c>
      <c r="N145" s="158">
        <v>644878</v>
      </c>
    </row>
    <row r="146" spans="2:14" s="501" customFormat="1" ht="20.100000000000001" hidden="1" customHeight="1">
      <c r="B146" s="159" t="s">
        <v>1082</v>
      </c>
      <c r="C146" s="1039">
        <v>39.567149999999998</v>
      </c>
      <c r="D146" s="105" t="s">
        <v>1311</v>
      </c>
      <c r="E146" s="913" t="s">
        <v>112</v>
      </c>
      <c r="F146" s="920">
        <v>0</v>
      </c>
      <c r="G146" s="1041">
        <f>IFERROR(_xlfn.CEILING.MATH(Таблица2[[#This Row],[Кол-во материала по расчету]],C146),"-")</f>
        <v>0</v>
      </c>
      <c r="H146" s="933"/>
      <c r="I146" s="921">
        <f>IFERROR(Таблица2[[#This Row],[Кол-во материала с учетом кратности упаковки*****]]*Таблица2[[#This Row],[Стоимость 
ед., руб. ]],0)</f>
        <v>0</v>
      </c>
      <c r="K146" s="916">
        <f t="shared" si="2"/>
        <v>0</v>
      </c>
      <c r="M146" s="158">
        <v>39.567149999999998</v>
      </c>
      <c r="N146" s="158" t="s">
        <v>1082</v>
      </c>
    </row>
    <row r="147" spans="2:14" s="501" customFormat="1" ht="20.100000000000001" hidden="1" customHeight="1">
      <c r="B147" s="159">
        <v>644882</v>
      </c>
      <c r="C147" s="1039">
        <v>33.914700000000003</v>
      </c>
      <c r="D147" s="105" t="s">
        <v>1312</v>
      </c>
      <c r="E147" s="913" t="s">
        <v>112</v>
      </c>
      <c r="F147" s="920">
        <v>0</v>
      </c>
      <c r="G147" s="1041">
        <f>IFERROR(_xlfn.CEILING.MATH(Таблица2[[#This Row],[Кол-во материала по расчету]],C147),"-")</f>
        <v>0</v>
      </c>
      <c r="H147" s="933"/>
      <c r="I147" s="921">
        <f>IFERROR(Таблица2[[#This Row],[Кол-во материала с учетом кратности упаковки*****]]*Таблица2[[#This Row],[Стоимость 
ед., руб. ]],0)</f>
        <v>0</v>
      </c>
      <c r="K147" s="916">
        <f t="shared" si="2"/>
        <v>0</v>
      </c>
      <c r="M147" s="158">
        <v>33.914700000000003</v>
      </c>
      <c r="N147" s="158">
        <v>644882</v>
      </c>
    </row>
    <row r="148" spans="2:14" s="501" customFormat="1" ht="20.100000000000001" hidden="1" customHeight="1">
      <c r="B148" s="159" t="s">
        <v>1083</v>
      </c>
      <c r="C148" s="1039">
        <v>33.914700000000003</v>
      </c>
      <c r="D148" s="105" t="s">
        <v>1313</v>
      </c>
      <c r="E148" s="913" t="s">
        <v>112</v>
      </c>
      <c r="F148" s="920">
        <v>0</v>
      </c>
      <c r="G148" s="1041">
        <f>IFERROR(_xlfn.CEILING.MATH(Таблица2[[#This Row],[Кол-во материала по расчету]],C148),"-")</f>
        <v>0</v>
      </c>
      <c r="H148" s="933"/>
      <c r="I148" s="921">
        <f>IFERROR(Таблица2[[#This Row],[Кол-во материала с учетом кратности упаковки*****]]*Таблица2[[#This Row],[Стоимость 
ед., руб. ]],0)</f>
        <v>0</v>
      </c>
      <c r="K148" s="916">
        <f t="shared" si="2"/>
        <v>0</v>
      </c>
      <c r="M148" s="158">
        <v>33.914700000000003</v>
      </c>
      <c r="N148" s="158" t="s">
        <v>1083</v>
      </c>
    </row>
    <row r="149" spans="2:14" s="501" customFormat="1" ht="20.100000000000001" hidden="1" customHeight="1">
      <c r="B149" s="159">
        <v>695158</v>
      </c>
      <c r="C149" s="1039">
        <v>33.914700000000003</v>
      </c>
      <c r="D149" s="105" t="s">
        <v>1295</v>
      </c>
      <c r="E149" s="913" t="s">
        <v>112</v>
      </c>
      <c r="F149" s="920">
        <v>0</v>
      </c>
      <c r="G149" s="1041">
        <f>IFERROR(_xlfn.CEILING.MATH(Таблица2[[#This Row],[Кол-во материала по расчету]],C149),"-")</f>
        <v>0</v>
      </c>
      <c r="H149" s="933"/>
      <c r="I149" s="921">
        <f>IFERROR(Таблица2[[#This Row],[Кол-во материала с учетом кратности упаковки*****]]*Таблица2[[#This Row],[Стоимость 
ед., руб. ]],0)</f>
        <v>0</v>
      </c>
      <c r="K149" s="916">
        <f t="shared" si="2"/>
        <v>0</v>
      </c>
      <c r="M149" s="158">
        <v>33.914700000000003</v>
      </c>
      <c r="N149" s="158">
        <v>695158</v>
      </c>
    </row>
    <row r="150" spans="2:14" s="501" customFormat="1" ht="20.100000000000001" hidden="1" customHeight="1">
      <c r="B150" s="159">
        <v>644719</v>
      </c>
      <c r="C150" s="1039">
        <v>28.262250000000002</v>
      </c>
      <c r="D150" s="105" t="s">
        <v>1296</v>
      </c>
      <c r="E150" s="913" t="s">
        <v>112</v>
      </c>
      <c r="F150" s="920">
        <v>0</v>
      </c>
      <c r="G150" s="1041">
        <f>IFERROR(_xlfn.CEILING.MATH(Таблица2[[#This Row],[Кол-во материала по расчету]],C150),"-")</f>
        <v>0</v>
      </c>
      <c r="H150" s="933"/>
      <c r="I150" s="921">
        <f>IFERROR(Таблица2[[#This Row],[Кол-во материала с учетом кратности упаковки*****]]*Таблица2[[#This Row],[Стоимость 
ед., руб. ]],0)</f>
        <v>0</v>
      </c>
      <c r="K150" s="916">
        <f t="shared" si="2"/>
        <v>0</v>
      </c>
      <c r="M150" s="158">
        <v>28.262250000000002</v>
      </c>
      <c r="N150" s="158">
        <v>644719</v>
      </c>
    </row>
    <row r="151" spans="2:14" s="501" customFormat="1" ht="20.100000000000001" hidden="1" customHeight="1">
      <c r="B151" s="159">
        <v>644720</v>
      </c>
      <c r="C151" s="1039">
        <v>28.262250000000002</v>
      </c>
      <c r="D151" s="105" t="s">
        <v>1297</v>
      </c>
      <c r="E151" s="913" t="s">
        <v>112</v>
      </c>
      <c r="F151" s="920">
        <v>0</v>
      </c>
      <c r="G151" s="1041">
        <f>IFERROR(_xlfn.CEILING.MATH(Таблица2[[#This Row],[Кол-во материала по расчету]],C151),"-")</f>
        <v>0</v>
      </c>
      <c r="H151" s="933"/>
      <c r="I151" s="921">
        <f>IFERROR(Таблица2[[#This Row],[Кол-во материала с учетом кратности упаковки*****]]*Таблица2[[#This Row],[Стоимость 
ед., руб. ]],0)</f>
        <v>0</v>
      </c>
      <c r="K151" s="916">
        <f t="shared" si="2"/>
        <v>0</v>
      </c>
      <c r="M151" s="158">
        <v>28.262250000000002</v>
      </c>
      <c r="N151" s="158">
        <v>644720</v>
      </c>
    </row>
    <row r="152" spans="2:14" s="501" customFormat="1" ht="20.100000000000001" hidden="1" customHeight="1">
      <c r="B152" s="159">
        <v>644721</v>
      </c>
      <c r="C152" s="1039">
        <v>22.6098</v>
      </c>
      <c r="D152" s="105" t="s">
        <v>1298</v>
      </c>
      <c r="E152" s="913" t="s">
        <v>112</v>
      </c>
      <c r="F152" s="920">
        <v>0</v>
      </c>
      <c r="G152" s="1041">
        <f>IFERROR(_xlfn.CEILING.MATH(Таблица2[[#This Row],[Кол-во материала по расчету]],C152),"-")</f>
        <v>0</v>
      </c>
      <c r="H152" s="933"/>
      <c r="I152" s="921">
        <f>IFERROR(Таблица2[[#This Row],[Кол-во материала с учетом кратности упаковки*****]]*Таблица2[[#This Row],[Стоимость 
ед., руб. ]],0)</f>
        <v>0</v>
      </c>
      <c r="K152" s="916">
        <f t="shared" si="2"/>
        <v>0</v>
      </c>
      <c r="M152" s="158">
        <v>22.6098</v>
      </c>
      <c r="N152" s="158">
        <v>644721</v>
      </c>
    </row>
    <row r="153" spans="2:14" s="501" customFormat="1" ht="20.100000000000001" hidden="1" customHeight="1">
      <c r="B153" s="159">
        <v>644722</v>
      </c>
      <c r="C153" s="1039">
        <v>22.6098</v>
      </c>
      <c r="D153" s="105" t="s">
        <v>1299</v>
      </c>
      <c r="E153" s="913" t="s">
        <v>112</v>
      </c>
      <c r="F153" s="920">
        <v>0</v>
      </c>
      <c r="G153" s="1041">
        <f>IFERROR(_xlfn.CEILING.MATH(Таблица2[[#This Row],[Кол-во материала по расчету]],C153),"-")</f>
        <v>0</v>
      </c>
      <c r="H153" s="933"/>
      <c r="I153" s="921">
        <f>IFERROR(Таблица2[[#This Row],[Кол-во материала с учетом кратности упаковки*****]]*Таблица2[[#This Row],[Стоимость 
ед., руб. ]],0)</f>
        <v>0</v>
      </c>
      <c r="K153" s="916">
        <f t="shared" si="2"/>
        <v>0</v>
      </c>
      <c r="M153" s="158">
        <v>22.6098</v>
      </c>
      <c r="N153" s="158">
        <v>644722</v>
      </c>
    </row>
    <row r="154" spans="2:14" s="501" customFormat="1" ht="20.100000000000001" hidden="1" customHeight="1">
      <c r="B154" s="159">
        <v>644723</v>
      </c>
      <c r="C154" s="1039">
        <v>22.6098</v>
      </c>
      <c r="D154" s="105" t="s">
        <v>1300</v>
      </c>
      <c r="E154" s="913" t="s">
        <v>112</v>
      </c>
      <c r="F154" s="920">
        <v>0</v>
      </c>
      <c r="G154" s="1041">
        <f>IFERROR(_xlfn.CEILING.MATH(Таблица2[[#This Row],[Кол-во материала по расчету]],C154),"-")</f>
        <v>0</v>
      </c>
      <c r="H154" s="933"/>
      <c r="I154" s="921">
        <f>IFERROR(Таблица2[[#This Row],[Кол-во материала с учетом кратности упаковки*****]]*Таблица2[[#This Row],[Стоимость 
ед., руб. ]],0)</f>
        <v>0</v>
      </c>
      <c r="K154" s="916">
        <f t="shared" si="2"/>
        <v>0</v>
      </c>
      <c r="M154" s="158">
        <v>22.6098</v>
      </c>
      <c r="N154" s="158">
        <v>644723</v>
      </c>
    </row>
    <row r="155" spans="2:14" s="501" customFormat="1" ht="20.100000000000001" hidden="1" customHeight="1">
      <c r="B155" s="159">
        <v>644711</v>
      </c>
      <c r="C155" s="1039">
        <v>110.222775</v>
      </c>
      <c r="D155" s="105" t="s">
        <v>1282</v>
      </c>
      <c r="E155" s="913" t="s">
        <v>112</v>
      </c>
      <c r="F155" s="920">
        <v>0</v>
      </c>
      <c r="G155" s="1041">
        <f>IFERROR(_xlfn.CEILING.MATH(Таблица2[[#This Row],[Кол-во материала по расчету]],C155),"-")</f>
        <v>0</v>
      </c>
      <c r="H155" s="933"/>
      <c r="I155" s="921">
        <f>IFERROR(Таблица2[[#This Row],[Кол-во материала с учетом кратности упаковки*****]]*Таблица2[[#This Row],[Стоимость 
ед., руб. ]],0)</f>
        <v>0</v>
      </c>
      <c r="K155" s="916">
        <f t="shared" si="2"/>
        <v>0</v>
      </c>
      <c r="M155" s="158">
        <v>110.222775</v>
      </c>
      <c r="N155" s="158">
        <v>644711</v>
      </c>
    </row>
    <row r="156" spans="2:14" s="501" customFormat="1" ht="20.100000000000001" hidden="1" customHeight="1">
      <c r="B156" s="159">
        <v>644712</v>
      </c>
      <c r="C156" s="1039">
        <v>84.786749999999998</v>
      </c>
      <c r="D156" s="105" t="s">
        <v>1283</v>
      </c>
      <c r="E156" s="913" t="s">
        <v>112</v>
      </c>
      <c r="F156" s="920">
        <v>0</v>
      </c>
      <c r="G156" s="1041">
        <f>IFERROR(_xlfn.CEILING.MATH(Таблица2[[#This Row],[Кол-во материала по расчету]],C156),"-")</f>
        <v>0</v>
      </c>
      <c r="H156" s="933"/>
      <c r="I156" s="921">
        <f>IFERROR(Таблица2[[#This Row],[Кол-во материала с учетом кратности упаковки*****]]*Таблица2[[#This Row],[Стоимость 
ед., руб. ]],0)</f>
        <v>0</v>
      </c>
      <c r="K156" s="916">
        <f t="shared" si="2"/>
        <v>0</v>
      </c>
      <c r="M156" s="158">
        <v>84.786749999999998</v>
      </c>
      <c r="N156" s="158">
        <v>644712</v>
      </c>
    </row>
    <row r="157" spans="2:14" s="501" customFormat="1" ht="20.100000000000001" hidden="1" customHeight="1">
      <c r="B157" s="159">
        <v>696460</v>
      </c>
      <c r="C157" s="1039">
        <v>67.829400000000007</v>
      </c>
      <c r="D157" s="105" t="s">
        <v>1284</v>
      </c>
      <c r="E157" s="913" t="s">
        <v>112</v>
      </c>
      <c r="F157" s="920">
        <v>0</v>
      </c>
      <c r="G157" s="1041">
        <f>IFERROR(_xlfn.CEILING.MATH(Таблица2[[#This Row],[Кол-во материала по расчету]],C157),"-")</f>
        <v>0</v>
      </c>
      <c r="H157" s="933"/>
      <c r="I157" s="921">
        <f>IFERROR(Таблица2[[#This Row],[Кол-во материала с учетом кратности упаковки*****]]*Таблица2[[#This Row],[Стоимость 
ед., руб. ]],0)</f>
        <v>0</v>
      </c>
      <c r="K157" s="916">
        <f t="shared" si="2"/>
        <v>0</v>
      </c>
      <c r="M157" s="158">
        <v>67.829400000000007</v>
      </c>
      <c r="N157" s="158">
        <v>696460</v>
      </c>
    </row>
    <row r="158" spans="2:14" s="501" customFormat="1" ht="20.100000000000001" hidden="1" customHeight="1">
      <c r="B158" s="159">
        <v>644713</v>
      </c>
      <c r="C158" s="1039">
        <v>67.829400000000007</v>
      </c>
      <c r="D158" s="105" t="s">
        <v>1285</v>
      </c>
      <c r="E158" s="913" t="s">
        <v>112</v>
      </c>
      <c r="F158" s="920">
        <v>0</v>
      </c>
      <c r="G158" s="1041">
        <f>IFERROR(_xlfn.CEILING.MATH(Таблица2[[#This Row],[Кол-во материала по расчету]],C158),"-")</f>
        <v>0</v>
      </c>
      <c r="H158" s="933"/>
      <c r="I158" s="921">
        <f>IFERROR(Таблица2[[#This Row],[Кол-во материала с учетом кратности упаковки*****]]*Таблица2[[#This Row],[Стоимость 
ед., руб. ]],0)</f>
        <v>0</v>
      </c>
      <c r="K158" s="916">
        <f t="shared" si="2"/>
        <v>0</v>
      </c>
      <c r="M158" s="158">
        <v>67.829400000000007</v>
      </c>
      <c r="N158" s="158">
        <v>644713</v>
      </c>
    </row>
    <row r="159" spans="2:14" s="501" customFormat="1" ht="20.100000000000001" hidden="1" customHeight="1">
      <c r="B159" s="159">
        <v>693711</v>
      </c>
      <c r="C159" s="1039">
        <v>59.350724999999997</v>
      </c>
      <c r="D159" s="105" t="s">
        <v>1286</v>
      </c>
      <c r="E159" s="913" t="s">
        <v>112</v>
      </c>
      <c r="F159" s="920">
        <v>0</v>
      </c>
      <c r="G159" s="1041">
        <f>IFERROR(_xlfn.CEILING.MATH(Таблица2[[#This Row],[Кол-во материала по расчету]],C159),"-")</f>
        <v>0</v>
      </c>
      <c r="H159" s="933"/>
      <c r="I159" s="921">
        <f>IFERROR(Таблица2[[#This Row],[Кол-во материала с учетом кратности упаковки*****]]*Таблица2[[#This Row],[Стоимость 
ед., руб. ]],0)</f>
        <v>0</v>
      </c>
      <c r="K159" s="916">
        <f t="shared" si="2"/>
        <v>0</v>
      </c>
      <c r="M159" s="158">
        <v>59.350724999999997</v>
      </c>
      <c r="N159" s="158">
        <v>693711</v>
      </c>
    </row>
    <row r="160" spans="2:14" s="501" customFormat="1" ht="20.100000000000001" hidden="1" customHeight="1">
      <c r="B160" s="159">
        <v>644714</v>
      </c>
      <c r="C160" s="1039">
        <v>56.524500000000003</v>
      </c>
      <c r="D160" s="105" t="s">
        <v>1287</v>
      </c>
      <c r="E160" s="913" t="s">
        <v>112</v>
      </c>
      <c r="F160" s="920">
        <v>0</v>
      </c>
      <c r="G160" s="1041">
        <f>IFERROR(_xlfn.CEILING.MATH(Таблица2[[#This Row],[Кол-во материала по расчету]],C160),"-")</f>
        <v>0</v>
      </c>
      <c r="H160" s="933"/>
      <c r="I160" s="921">
        <f>IFERROR(Таблица2[[#This Row],[Кол-во материала с учетом кратности упаковки*****]]*Таблица2[[#This Row],[Стоимость 
ед., руб. ]],0)</f>
        <v>0</v>
      </c>
      <c r="K160" s="916">
        <f t="shared" si="2"/>
        <v>0</v>
      </c>
      <c r="M160" s="158">
        <v>56.524500000000003</v>
      </c>
      <c r="N160" s="158">
        <v>644714</v>
      </c>
    </row>
    <row r="161" spans="2:14" s="501" customFormat="1" ht="20.100000000000001" hidden="1" customHeight="1">
      <c r="B161" s="159">
        <v>696170</v>
      </c>
      <c r="C161" s="1039">
        <v>50.872050000000002</v>
      </c>
      <c r="D161" s="105" t="s">
        <v>1288</v>
      </c>
      <c r="E161" s="913" t="s">
        <v>112</v>
      </c>
      <c r="F161" s="920">
        <v>0</v>
      </c>
      <c r="G161" s="1041">
        <f>IFERROR(_xlfn.CEILING.MATH(Таблица2[[#This Row],[Кол-во материала по расчету]],C161),"-")</f>
        <v>0</v>
      </c>
      <c r="H161" s="933"/>
      <c r="I161" s="921">
        <f>IFERROR(Таблица2[[#This Row],[Кол-во материала с учетом кратности упаковки*****]]*Таблица2[[#This Row],[Стоимость 
ед., руб. ]],0)</f>
        <v>0</v>
      </c>
      <c r="K161" s="916">
        <f t="shared" si="2"/>
        <v>0</v>
      </c>
      <c r="M161" s="158">
        <v>50.872050000000002</v>
      </c>
      <c r="N161" s="158">
        <v>696170</v>
      </c>
    </row>
    <row r="162" spans="2:14" s="501" customFormat="1" ht="20.100000000000001" hidden="1" customHeight="1">
      <c r="B162" s="159">
        <v>644715</v>
      </c>
      <c r="C162" s="1039">
        <v>45.2196</v>
      </c>
      <c r="D162" s="105" t="s">
        <v>1289</v>
      </c>
      <c r="E162" s="913" t="s">
        <v>112</v>
      </c>
      <c r="F162" s="920">
        <v>0</v>
      </c>
      <c r="G162" s="1041">
        <f>IFERROR(_xlfn.CEILING.MATH(Таблица2[[#This Row],[Кол-во материала по расчету]],C162),"-")</f>
        <v>0</v>
      </c>
      <c r="H162" s="933"/>
      <c r="I162" s="921">
        <f>IFERROR(Таблица2[[#This Row],[Кол-во материала с учетом кратности упаковки*****]]*Таблица2[[#This Row],[Стоимость 
ед., руб. ]],0)</f>
        <v>0</v>
      </c>
      <c r="K162" s="916">
        <f t="shared" si="2"/>
        <v>0</v>
      </c>
      <c r="M162" s="158">
        <v>45.2196</v>
      </c>
      <c r="N162" s="158">
        <v>644715</v>
      </c>
    </row>
    <row r="163" spans="2:14" s="501" customFormat="1" ht="20.100000000000001" hidden="1" customHeight="1">
      <c r="B163" s="159">
        <v>696171</v>
      </c>
      <c r="C163" s="1039">
        <v>45.2196</v>
      </c>
      <c r="D163" s="105" t="s">
        <v>1290</v>
      </c>
      <c r="E163" s="913" t="s">
        <v>112</v>
      </c>
      <c r="F163" s="920">
        <v>0</v>
      </c>
      <c r="G163" s="1041">
        <f>IFERROR(_xlfn.CEILING.MATH(Таблица2[[#This Row],[Кол-во материала по расчету]],C163),"-")</f>
        <v>0</v>
      </c>
      <c r="H163" s="933"/>
      <c r="I163" s="921">
        <f>IFERROR(Таблица2[[#This Row],[Кол-во материала с учетом кратности упаковки*****]]*Таблица2[[#This Row],[Стоимость 
ед., руб. ]],0)</f>
        <v>0</v>
      </c>
      <c r="K163" s="916">
        <f t="shared" si="2"/>
        <v>0</v>
      </c>
      <c r="M163" s="158">
        <v>45.2196</v>
      </c>
      <c r="N163" s="158">
        <v>696171</v>
      </c>
    </row>
    <row r="164" spans="2:14" s="501" customFormat="1" ht="20.100000000000001" hidden="1" customHeight="1">
      <c r="B164" s="159">
        <v>644716</v>
      </c>
      <c r="C164" s="1039">
        <v>39.567149999999998</v>
      </c>
      <c r="D164" s="105" t="s">
        <v>1291</v>
      </c>
      <c r="E164" s="913" t="s">
        <v>112</v>
      </c>
      <c r="F164" s="920">
        <v>0</v>
      </c>
      <c r="G164" s="1041">
        <f>IFERROR(_xlfn.CEILING.MATH(Таблица2[[#This Row],[Кол-во материала по расчету]],C164),"-")</f>
        <v>0</v>
      </c>
      <c r="H164" s="933"/>
      <c r="I164" s="921">
        <f>IFERROR(Таблица2[[#This Row],[Кол-во материала с учетом кратности упаковки*****]]*Таблица2[[#This Row],[Стоимость 
ед., руб. ]],0)</f>
        <v>0</v>
      </c>
      <c r="K164" s="916">
        <f t="shared" si="2"/>
        <v>0</v>
      </c>
      <c r="M164" s="158">
        <v>39.567149999999998</v>
      </c>
      <c r="N164" s="158">
        <v>644716</v>
      </c>
    </row>
    <row r="165" spans="2:14" s="501" customFormat="1" ht="20.100000000000001" hidden="1" customHeight="1">
      <c r="B165" s="159">
        <v>646992</v>
      </c>
      <c r="C165" s="1039">
        <v>39.567149999999998</v>
      </c>
      <c r="D165" s="105" t="s">
        <v>1292</v>
      </c>
      <c r="E165" s="913" t="s">
        <v>112</v>
      </c>
      <c r="F165" s="920">
        <v>0</v>
      </c>
      <c r="G165" s="1041">
        <f>IFERROR(_xlfn.CEILING.MATH(Таблица2[[#This Row],[Кол-во материала по расчету]],C165),"-")</f>
        <v>0</v>
      </c>
      <c r="H165" s="933"/>
      <c r="I165" s="921">
        <f>IFERROR(Таблица2[[#This Row],[Кол-во материала с учетом кратности упаковки*****]]*Таблица2[[#This Row],[Стоимость 
ед., руб. ]],0)</f>
        <v>0</v>
      </c>
      <c r="K165" s="916">
        <f t="shared" si="2"/>
        <v>0</v>
      </c>
      <c r="M165" s="158">
        <v>39.567149999999998</v>
      </c>
      <c r="N165" s="158">
        <v>646992</v>
      </c>
    </row>
    <row r="166" spans="2:14" s="501" customFormat="1" ht="20.100000000000001" hidden="1" customHeight="1">
      <c r="B166" s="159">
        <v>644717</v>
      </c>
      <c r="C166" s="1039">
        <v>33.914700000000003</v>
      </c>
      <c r="D166" s="105" t="s">
        <v>1293</v>
      </c>
      <c r="E166" s="913" t="s">
        <v>112</v>
      </c>
      <c r="F166" s="920">
        <v>0</v>
      </c>
      <c r="G166" s="1041">
        <f>IFERROR(_xlfn.CEILING.MATH(Таблица2[[#This Row],[Кол-во материала по расчету]],C166),"-")</f>
        <v>0</v>
      </c>
      <c r="H166" s="933"/>
      <c r="I166" s="921">
        <f>IFERROR(Таблица2[[#This Row],[Кол-во материала с учетом кратности упаковки*****]]*Таблица2[[#This Row],[Стоимость 
ед., руб. ]],0)</f>
        <v>0</v>
      </c>
      <c r="K166" s="916">
        <f t="shared" si="2"/>
        <v>0</v>
      </c>
      <c r="M166" s="158">
        <v>33.914700000000003</v>
      </c>
      <c r="N166" s="158">
        <v>644717</v>
      </c>
    </row>
    <row r="167" spans="2:14" s="501" customFormat="1" ht="20.100000000000001" hidden="1" customHeight="1">
      <c r="B167" s="159">
        <v>696172</v>
      </c>
      <c r="C167" s="1039">
        <v>33.914700000000003</v>
      </c>
      <c r="D167" s="105" t="s">
        <v>1294</v>
      </c>
      <c r="E167" s="913" t="s">
        <v>112</v>
      </c>
      <c r="F167" s="920">
        <v>0</v>
      </c>
      <c r="G167" s="1041">
        <f>IFERROR(_xlfn.CEILING.MATH(Таблица2[[#This Row],[Кол-во материала по расчету]],C167),"-")</f>
        <v>0</v>
      </c>
      <c r="H167" s="933"/>
      <c r="I167" s="921">
        <f>IFERROR(Таблица2[[#This Row],[Кол-во материала с учетом кратности упаковки*****]]*Таблица2[[#This Row],[Стоимость 
ед., руб. ]],0)</f>
        <v>0</v>
      </c>
      <c r="K167" s="916">
        <f t="shared" si="2"/>
        <v>0</v>
      </c>
      <c r="M167" s="158">
        <v>33.914700000000003</v>
      </c>
      <c r="N167" s="158">
        <v>696172</v>
      </c>
    </row>
    <row r="168" spans="2:14" s="501" customFormat="1" ht="20.100000000000001" hidden="1" customHeight="1">
      <c r="B168" s="159">
        <v>489560</v>
      </c>
      <c r="C168" s="1039">
        <v>6.7392000000000003</v>
      </c>
      <c r="D168" s="105" t="s">
        <v>1323</v>
      </c>
      <c r="E168" s="1047" t="s">
        <v>178</v>
      </c>
      <c r="F168" s="920">
        <v>0</v>
      </c>
      <c r="G168" s="1041">
        <f>IFERROR(_xlfn.CEILING.MATH(Таблица2[[#This Row],[Кол-во материала по расчету]],C168),"-")</f>
        <v>0</v>
      </c>
      <c r="H168" s="933"/>
      <c r="I168" s="921">
        <f>IFERROR(Таблица2[[#This Row],[Кол-во материала с учетом кратности упаковки*****]]*Таблица2[[#This Row],[Стоимость 
ед., руб. ]],0)</f>
        <v>0</v>
      </c>
      <c r="K168" s="916">
        <f t="shared" si="2"/>
        <v>0</v>
      </c>
      <c r="M168" s="158">
        <v>6.7392000000000003</v>
      </c>
      <c r="N168" s="158">
        <v>489560</v>
      </c>
    </row>
    <row r="169" spans="2:14" s="501" customFormat="1" ht="20.100000000000001" hidden="1" customHeight="1">
      <c r="B169" s="159">
        <v>469114</v>
      </c>
      <c r="C169" s="1039">
        <v>6.9119999999999999</v>
      </c>
      <c r="D169" s="105" t="s">
        <v>1324</v>
      </c>
      <c r="E169" s="1047" t="s">
        <v>178</v>
      </c>
      <c r="F169" s="920">
        <v>0</v>
      </c>
      <c r="G169" s="1041">
        <f>IFERROR(_xlfn.CEILING.MATH(Таблица2[[#This Row],[Кол-во материала по расчету]],C169),"-")</f>
        <v>0</v>
      </c>
      <c r="H169" s="933"/>
      <c r="I169" s="921">
        <f>IFERROR(Таблица2[[#This Row],[Кол-во материала с учетом кратности упаковки*****]]*Таблица2[[#This Row],[Стоимость 
ед., руб. ]],0)</f>
        <v>0</v>
      </c>
      <c r="K169" s="916">
        <f t="shared" si="2"/>
        <v>0</v>
      </c>
      <c r="M169" s="158">
        <v>6.9119999999999999</v>
      </c>
      <c r="N169" s="158">
        <v>469114</v>
      </c>
    </row>
    <row r="170" spans="2:14" s="501" customFormat="1" ht="20.100000000000001" hidden="1" customHeight="1">
      <c r="B170" s="159">
        <v>469115</v>
      </c>
      <c r="C170" s="1039">
        <v>6.9119999999999999</v>
      </c>
      <c r="D170" s="105" t="s">
        <v>1325</v>
      </c>
      <c r="E170" s="1047" t="s">
        <v>178</v>
      </c>
      <c r="F170" s="920">
        <v>0</v>
      </c>
      <c r="G170" s="1041">
        <f>IFERROR(_xlfn.CEILING.MATH(Таблица2[[#This Row],[Кол-во материала по расчету]],C170),"-")</f>
        <v>0</v>
      </c>
      <c r="H170" s="933"/>
      <c r="I170" s="921">
        <f>IFERROR(Таблица2[[#This Row],[Кол-во материала с учетом кратности упаковки*****]]*Таблица2[[#This Row],[Стоимость 
ед., руб. ]],0)</f>
        <v>0</v>
      </c>
      <c r="K170" s="916">
        <f t="shared" si="2"/>
        <v>0</v>
      </c>
      <c r="M170" s="158">
        <v>6.9119999999999999</v>
      </c>
      <c r="N170" s="158">
        <v>469115</v>
      </c>
    </row>
    <row r="171" spans="2:14" s="501" customFormat="1" ht="20.100000000000001" hidden="1" customHeight="1">
      <c r="B171" s="159">
        <v>469116</v>
      </c>
      <c r="C171" s="1039">
        <v>6.9119999999999999</v>
      </c>
      <c r="D171" s="105" t="s">
        <v>1326</v>
      </c>
      <c r="E171" s="1047" t="s">
        <v>178</v>
      </c>
      <c r="F171" s="920">
        <v>0</v>
      </c>
      <c r="G171" s="1041">
        <f>IFERROR(_xlfn.CEILING.MATH(Таблица2[[#This Row],[Кол-во материала по расчету]],C171),"-")</f>
        <v>0</v>
      </c>
      <c r="H171" s="933"/>
      <c r="I171" s="921">
        <f>IFERROR(Таблица2[[#This Row],[Кол-во материала с учетом кратности упаковки*****]]*Таблица2[[#This Row],[Стоимость 
ед., руб. ]],0)</f>
        <v>0</v>
      </c>
      <c r="K171" s="916">
        <f t="shared" si="2"/>
        <v>0</v>
      </c>
      <c r="M171" s="158">
        <v>6.9119999999999999</v>
      </c>
      <c r="N171" s="158">
        <v>469116</v>
      </c>
    </row>
    <row r="172" spans="2:14" s="501" customFormat="1" ht="20.100000000000001" hidden="1" customHeight="1">
      <c r="B172" s="159">
        <v>469117</v>
      </c>
      <c r="C172" s="1039">
        <v>6.6528</v>
      </c>
      <c r="D172" s="105" t="s">
        <v>1327</v>
      </c>
      <c r="E172" s="1047" t="s">
        <v>178</v>
      </c>
      <c r="F172" s="920">
        <v>0</v>
      </c>
      <c r="G172" s="1041">
        <f>IFERROR(_xlfn.CEILING.MATH(Таблица2[[#This Row],[Кол-во материала по расчету]],C172),"-")</f>
        <v>0</v>
      </c>
      <c r="H172" s="933"/>
      <c r="I172" s="921">
        <f>IFERROR(Таблица2[[#This Row],[Кол-во материала с учетом кратности упаковки*****]]*Таблица2[[#This Row],[Стоимость 
ед., руб. ]],0)</f>
        <v>0</v>
      </c>
      <c r="K172" s="916">
        <f t="shared" si="2"/>
        <v>0</v>
      </c>
      <c r="M172" s="158">
        <v>6.6528</v>
      </c>
      <c r="N172" s="158">
        <v>469117</v>
      </c>
    </row>
    <row r="173" spans="2:14" s="501" customFormat="1" ht="20.100000000000001" hidden="1" customHeight="1">
      <c r="B173" s="159" t="s">
        <v>761</v>
      </c>
      <c r="C173" s="1039">
        <v>16</v>
      </c>
      <c r="D173" s="105" t="s">
        <v>182</v>
      </c>
      <c r="E173" s="1047" t="s">
        <v>183</v>
      </c>
      <c r="F173" s="920">
        <v>0</v>
      </c>
      <c r="G173" s="1041">
        <f>IFERROR(_xlfn.CEILING.MATH(Таблица2[[#This Row],[Кол-во материала по расчету]],C173),"-")</f>
        <v>0</v>
      </c>
      <c r="H173" s="933"/>
      <c r="I173" s="921">
        <f>IFERROR(Таблица2[[#This Row],[Кол-во материала с учетом кратности упаковки*****]]*Таблица2[[#This Row],[Стоимость 
ед., руб. ]],0)</f>
        <v>0</v>
      </c>
      <c r="K173" s="916">
        <f t="shared" si="2"/>
        <v>0</v>
      </c>
      <c r="M173" s="158">
        <v>16</v>
      </c>
      <c r="N173" s="158" t="s">
        <v>761</v>
      </c>
    </row>
    <row r="174" spans="2:14" s="501" customFormat="1" ht="20.100000000000001" customHeight="1">
      <c r="B174" s="159" t="s">
        <v>713</v>
      </c>
      <c r="C174" s="1039">
        <v>1</v>
      </c>
      <c r="D174" s="105" t="s">
        <v>561</v>
      </c>
      <c r="E174" s="1047" t="s">
        <v>151</v>
      </c>
      <c r="F174" s="920">
        <v>1</v>
      </c>
      <c r="G174" s="1041">
        <f>IFERROR(_xlfn.CEILING.MATH(Таблица2[[#This Row],[Кол-во материала по расчету]],C174),"-")</f>
        <v>1</v>
      </c>
      <c r="H174" s="933"/>
      <c r="I174" s="921">
        <f>IFERROR(Таблица2[[#This Row],[Кол-во материала с учетом кратности упаковки*****]]*Таблица2[[#This Row],[Стоимость 
ед., руб. ]],0)</f>
        <v>0</v>
      </c>
      <c r="K174" s="916">
        <f t="shared" si="2"/>
        <v>1</v>
      </c>
      <c r="M174" s="158">
        <v>1</v>
      </c>
      <c r="N174" s="158" t="s">
        <v>713</v>
      </c>
    </row>
    <row r="175" spans="2:14" s="501" customFormat="1" ht="20.100000000000001" hidden="1" customHeight="1">
      <c r="B175" s="159" t="s">
        <v>705</v>
      </c>
      <c r="C175" s="1039">
        <v>30</v>
      </c>
      <c r="D175" s="105" t="s">
        <v>1149</v>
      </c>
      <c r="E175" s="913" t="s">
        <v>112</v>
      </c>
      <c r="F175" s="920">
        <v>0</v>
      </c>
      <c r="G175" s="1041">
        <f>IFERROR(_xlfn.CEILING.MATH(Таблица2[[#This Row],[Кол-во материала по расчету]],C175),"-")</f>
        <v>0</v>
      </c>
      <c r="H175" s="933"/>
      <c r="I175" s="921">
        <f>IFERROR(Таблица2[[#This Row],[Кол-во материала с учетом кратности упаковки*****]]*Таблица2[[#This Row],[Стоимость 
ед., руб. ]],0)</f>
        <v>0</v>
      </c>
      <c r="K175" s="916">
        <f t="shared" si="2"/>
        <v>0</v>
      </c>
      <c r="M175" s="158">
        <v>30</v>
      </c>
      <c r="N175" s="158" t="s">
        <v>705</v>
      </c>
    </row>
    <row r="176" spans="2:14" s="501" customFormat="1" ht="20.100000000000001" hidden="1" customHeight="1">
      <c r="B176" s="159" t="s">
        <v>1077</v>
      </c>
      <c r="C176" s="1039" t="s">
        <v>1549</v>
      </c>
      <c r="D176" s="105" t="s">
        <v>179</v>
      </c>
      <c r="E176" s="913" t="s">
        <v>112</v>
      </c>
      <c r="F176" s="920">
        <v>0</v>
      </c>
      <c r="G176" s="1041" t="str">
        <f>IFERROR(_xlfn.CEILING.MATH(Таблица2[[#This Row],[Кол-во материала по расчету]],C176),"-")</f>
        <v>-</v>
      </c>
      <c r="H176" s="933"/>
      <c r="I176" s="921">
        <f>IFERROR(Таблица2[[#This Row],[Кол-во материала с учетом кратности упаковки*****]]*Таблица2[[#This Row],[Стоимость 
ед., руб. ]],0)</f>
        <v>0</v>
      </c>
      <c r="K176" s="916">
        <f t="shared" si="2"/>
        <v>0</v>
      </c>
      <c r="M176" s="158" t="s">
        <v>6</v>
      </c>
      <c r="N176" s="158" t="s">
        <v>1077</v>
      </c>
    </row>
    <row r="177" spans="2:14" s="501" customFormat="1" ht="20.100000000000001" hidden="1" customHeight="1">
      <c r="B177" s="159" t="s">
        <v>795</v>
      </c>
      <c r="C177" s="1039">
        <v>40</v>
      </c>
      <c r="D177" s="105" t="s">
        <v>248</v>
      </c>
      <c r="E177" s="913" t="s">
        <v>112</v>
      </c>
      <c r="F177" s="920">
        <v>0</v>
      </c>
      <c r="G177" s="1041">
        <f>IFERROR(_xlfn.CEILING.MATH(Таблица2[[#This Row],[Кол-во материала по расчету]],C177),"-")</f>
        <v>0</v>
      </c>
      <c r="H177" s="933"/>
      <c r="I177" s="921">
        <f>IFERROR(Таблица2[[#This Row],[Кол-во материала с учетом кратности упаковки*****]]*Таблица2[[#This Row],[Стоимость 
ед., руб. ]],0)</f>
        <v>0</v>
      </c>
      <c r="K177" s="916">
        <f t="shared" si="2"/>
        <v>0</v>
      </c>
      <c r="M177" s="158">
        <v>40</v>
      </c>
      <c r="N177" s="158" t="s">
        <v>795</v>
      </c>
    </row>
    <row r="178" spans="2:14" s="501" customFormat="1" ht="20.100000000000001" hidden="1" customHeight="1">
      <c r="B178" s="159" t="s">
        <v>708</v>
      </c>
      <c r="C178" s="1039">
        <v>20</v>
      </c>
      <c r="D178" s="105" t="s">
        <v>686</v>
      </c>
      <c r="E178" s="1047" t="s">
        <v>264</v>
      </c>
      <c r="F178" s="920">
        <v>0</v>
      </c>
      <c r="G178" s="1041">
        <f>IFERROR(_xlfn.CEILING.MATH(Таблица2[[#This Row],[Кол-во материала по расчету]],C178),"-")</f>
        <v>0</v>
      </c>
      <c r="H178" s="933"/>
      <c r="I178" s="921">
        <f>IFERROR(Таблица2[[#This Row],[Кол-во материала с учетом кратности упаковки*****]]*Таблица2[[#This Row],[Стоимость 
ед., руб. ]],0)</f>
        <v>0</v>
      </c>
      <c r="K178" s="916">
        <f t="shared" si="2"/>
        <v>0</v>
      </c>
      <c r="M178" s="158">
        <v>20</v>
      </c>
      <c r="N178" s="158" t="s">
        <v>708</v>
      </c>
    </row>
    <row r="179" spans="2:14" s="501" customFormat="1" ht="20.100000000000001" customHeight="1">
      <c r="B179" s="159" t="s">
        <v>832</v>
      </c>
      <c r="C179" s="1039">
        <v>150</v>
      </c>
      <c r="D179" s="105" t="s">
        <v>830</v>
      </c>
      <c r="E179" s="1047" t="s">
        <v>264</v>
      </c>
      <c r="F179" s="920">
        <v>140.19</v>
      </c>
      <c r="G179" s="1041">
        <f>IFERROR(_xlfn.CEILING.MATH(Таблица2[[#This Row],[Кол-во материала по расчету]],C179),"-")</f>
        <v>150</v>
      </c>
      <c r="H179" s="933"/>
      <c r="I179" s="921">
        <f>IFERROR(Таблица2[[#This Row],[Кол-во материала с учетом кратности упаковки*****]]*Таблица2[[#This Row],[Стоимость 
ед., руб. ]],0)</f>
        <v>0</v>
      </c>
      <c r="K179" s="916">
        <f t="shared" si="2"/>
        <v>1</v>
      </c>
      <c r="M179" s="158">
        <v>150</v>
      </c>
      <c r="N179" s="158" t="s">
        <v>832</v>
      </c>
    </row>
    <row r="180" spans="2:14" s="501" customFormat="1" ht="20.100000000000001" hidden="1" customHeight="1">
      <c r="B180" s="159" t="s">
        <v>840</v>
      </c>
      <c r="C180" s="1039">
        <v>150</v>
      </c>
      <c r="D180" s="105" t="s">
        <v>652</v>
      </c>
      <c r="E180" s="1047" t="s">
        <v>264</v>
      </c>
      <c r="F180" s="920">
        <v>0</v>
      </c>
      <c r="G180" s="1041">
        <f>IFERROR(_xlfn.CEILING.MATH(Таблица2[[#This Row],[Кол-во материала по расчету]],C180),"-")</f>
        <v>0</v>
      </c>
      <c r="H180" s="933"/>
      <c r="I180" s="921">
        <f>IFERROR(Таблица2[[#This Row],[Кол-во материала с учетом кратности упаковки*****]]*Таблица2[[#This Row],[Стоимость 
ед., руб. ]],0)</f>
        <v>0</v>
      </c>
      <c r="K180" s="916">
        <f t="shared" si="2"/>
        <v>0</v>
      </c>
      <c r="M180" s="158">
        <v>150</v>
      </c>
      <c r="N180" s="158" t="s">
        <v>840</v>
      </c>
    </row>
    <row r="181" spans="2:14" s="501" customFormat="1" ht="20.100000000000001" hidden="1" customHeight="1">
      <c r="B181" s="159" t="s">
        <v>709</v>
      </c>
      <c r="C181" s="1039">
        <v>20</v>
      </c>
      <c r="D181" s="105" t="s">
        <v>687</v>
      </c>
      <c r="E181" s="1047" t="s">
        <v>264</v>
      </c>
      <c r="F181" s="920">
        <v>0</v>
      </c>
      <c r="G181" s="1041">
        <f>IFERROR(_xlfn.CEILING.MATH(Таблица2[[#This Row],[Кол-во материала по расчету]],C181),"-")</f>
        <v>0</v>
      </c>
      <c r="H181" s="933"/>
      <c r="I181" s="921">
        <f>IFERROR(Таблица2[[#This Row],[Кол-во материала с учетом кратности упаковки*****]]*Таблица2[[#This Row],[Стоимость 
ед., руб. ]],0)</f>
        <v>0</v>
      </c>
      <c r="K181" s="916">
        <f t="shared" si="2"/>
        <v>0</v>
      </c>
      <c r="M181" s="158">
        <v>20</v>
      </c>
      <c r="N181" s="158" t="s">
        <v>709</v>
      </c>
    </row>
    <row r="182" spans="2:14" s="501" customFormat="1" ht="20.100000000000001" customHeight="1">
      <c r="B182" s="159" t="s">
        <v>833</v>
      </c>
      <c r="C182" s="1039">
        <v>150</v>
      </c>
      <c r="D182" s="105" t="s">
        <v>831</v>
      </c>
      <c r="E182" s="1047" t="s">
        <v>264</v>
      </c>
      <c r="F182" s="920">
        <v>140.19</v>
      </c>
      <c r="G182" s="1041">
        <f>IFERROR(_xlfn.CEILING.MATH(Таблица2[[#This Row],[Кол-во материала по расчету]],C182),"-")</f>
        <v>150</v>
      </c>
      <c r="H182" s="933"/>
      <c r="I182" s="921">
        <f>IFERROR(Таблица2[[#This Row],[Кол-во материала с учетом кратности упаковки*****]]*Таблица2[[#This Row],[Стоимость 
ед., руб. ]],0)</f>
        <v>0</v>
      </c>
      <c r="K182" s="916">
        <f t="shared" si="2"/>
        <v>1</v>
      </c>
      <c r="M182" s="158">
        <v>150</v>
      </c>
      <c r="N182" s="158" t="s">
        <v>833</v>
      </c>
    </row>
    <row r="183" spans="2:14" s="501" customFormat="1" ht="20.100000000000001" hidden="1" customHeight="1">
      <c r="B183" s="159" t="s">
        <v>296</v>
      </c>
      <c r="C183" s="1039">
        <v>180</v>
      </c>
      <c r="D183" s="105" t="s">
        <v>336</v>
      </c>
      <c r="E183" s="1047" t="s">
        <v>264</v>
      </c>
      <c r="F183" s="920">
        <v>0</v>
      </c>
      <c r="G183" s="1041">
        <f>IFERROR(_xlfn.CEILING.MATH(Таблица2[[#This Row],[Кол-во материала по расчету]],C183),"-")</f>
        <v>0</v>
      </c>
      <c r="H183" s="933"/>
      <c r="I183" s="921">
        <f>IFERROR(Таблица2[[#This Row],[Кол-во материала с учетом кратности упаковки*****]]*Таблица2[[#This Row],[Стоимость 
ед., руб. ]],0)</f>
        <v>0</v>
      </c>
      <c r="K183" s="916">
        <f t="shared" si="2"/>
        <v>0</v>
      </c>
      <c r="M183" s="158">
        <v>180</v>
      </c>
      <c r="N183" s="158" t="s">
        <v>296</v>
      </c>
    </row>
    <row r="184" spans="2:14" s="501" customFormat="1" ht="20.100000000000001" hidden="1" customHeight="1">
      <c r="B184" s="159" t="s">
        <v>1049</v>
      </c>
      <c r="C184" s="1039">
        <v>1</v>
      </c>
      <c r="D184" s="105" t="s">
        <v>1048</v>
      </c>
      <c r="E184" s="1047" t="s">
        <v>264</v>
      </c>
      <c r="F184" s="920">
        <v>0</v>
      </c>
      <c r="G184" s="1041">
        <f>IFERROR(_xlfn.CEILING.MATH(Таблица2[[#This Row],[Кол-во материала по расчету]],C184),"-")</f>
        <v>0</v>
      </c>
      <c r="H184" s="933"/>
      <c r="I184" s="921">
        <f>IFERROR(Таблица2[[#This Row],[Кол-во материала с учетом кратности упаковки*****]]*Таблица2[[#This Row],[Стоимость 
ед., руб. ]],0)</f>
        <v>0</v>
      </c>
      <c r="K184" s="916">
        <f t="shared" si="2"/>
        <v>0</v>
      </c>
      <c r="M184" s="158">
        <v>1</v>
      </c>
      <c r="N184" s="158" t="s">
        <v>1049</v>
      </c>
    </row>
    <row r="185" spans="2:14" s="501" customFormat="1" ht="20.100000000000001" hidden="1" customHeight="1">
      <c r="B185" s="159" t="s">
        <v>1094</v>
      </c>
      <c r="C185" s="1039" t="s">
        <v>1549</v>
      </c>
      <c r="D185" s="105" t="s">
        <v>1093</v>
      </c>
      <c r="E185" s="913" t="s">
        <v>112</v>
      </c>
      <c r="F185" s="920">
        <v>0</v>
      </c>
      <c r="G185" s="1041" t="str">
        <f>IFERROR(_xlfn.CEILING.MATH(Таблица2[[#This Row],[Кол-во материала по расчету]],C185),"-")</f>
        <v>-</v>
      </c>
      <c r="H185" s="933"/>
      <c r="I185" s="921">
        <f>IFERROR(Таблица2[[#This Row],[Кол-во материала с учетом кратности упаковки*****]]*Таблица2[[#This Row],[Стоимость 
ед., руб. ]],0)</f>
        <v>0</v>
      </c>
      <c r="K185" s="916">
        <f t="shared" si="2"/>
        <v>0</v>
      </c>
      <c r="M185" s="158" t="s">
        <v>6</v>
      </c>
      <c r="N185" s="158" t="s">
        <v>1094</v>
      </c>
    </row>
    <row r="186" spans="2:14" s="501" customFormat="1" ht="20.100000000000001" hidden="1" customHeight="1">
      <c r="B186" s="159" t="s">
        <v>296</v>
      </c>
      <c r="C186" s="1039" t="s">
        <v>1549</v>
      </c>
      <c r="D186" s="105" t="s">
        <v>1412</v>
      </c>
      <c r="E186" s="1047" t="s">
        <v>151</v>
      </c>
      <c r="F186" s="920">
        <v>0</v>
      </c>
      <c r="G186" s="1041" t="str">
        <f>IFERROR(_xlfn.CEILING.MATH(Таблица2[[#This Row],[Кол-во материала по расчету]],C186),"-")</f>
        <v>-</v>
      </c>
      <c r="H186" s="933"/>
      <c r="I186" s="921">
        <f>IFERROR(Таблица2[[#This Row],[Кол-во материала с учетом кратности упаковки*****]]*Таблица2[[#This Row],[Стоимость 
ед., руб. ]],0)</f>
        <v>0</v>
      </c>
      <c r="K186" s="916">
        <f t="shared" si="2"/>
        <v>0</v>
      </c>
      <c r="M186" s="158" t="s">
        <v>6</v>
      </c>
      <c r="N186" s="158" t="s">
        <v>296</v>
      </c>
    </row>
    <row r="187" spans="2:14" s="501" customFormat="1" ht="20.100000000000001" hidden="1" customHeight="1">
      <c r="B187" s="159" t="s">
        <v>296</v>
      </c>
      <c r="C187" s="1039" t="s">
        <v>1549</v>
      </c>
      <c r="D187" s="105" t="s">
        <v>1502</v>
      </c>
      <c r="E187" s="1047" t="s">
        <v>151</v>
      </c>
      <c r="F187" s="920">
        <v>0</v>
      </c>
      <c r="G187" s="1041" t="str">
        <f>IFERROR(_xlfn.CEILING.MATH(Таблица2[[#This Row],[Кол-во материала по расчету]],C187),"-")</f>
        <v>-</v>
      </c>
      <c r="H187" s="933"/>
      <c r="I187" s="921">
        <f>IFERROR(Таблица2[[#This Row],[Кол-во материала с учетом кратности упаковки*****]]*Таблица2[[#This Row],[Стоимость 
ед., руб. ]],0)</f>
        <v>0</v>
      </c>
      <c r="K187" s="916">
        <f t="shared" si="2"/>
        <v>0</v>
      </c>
      <c r="M187" s="158" t="s">
        <v>6</v>
      </c>
      <c r="N187" s="158" t="s">
        <v>296</v>
      </c>
    </row>
    <row r="188" spans="2:14" s="501" customFormat="1" ht="20.100000000000001" hidden="1" customHeight="1">
      <c r="B188" s="159" t="s">
        <v>296</v>
      </c>
      <c r="C188" s="1039" t="s">
        <v>1549</v>
      </c>
      <c r="D188" s="105" t="s">
        <v>1500</v>
      </c>
      <c r="E188" s="1047" t="s">
        <v>151</v>
      </c>
      <c r="F188" s="920">
        <v>0</v>
      </c>
      <c r="G188" s="1041" t="str">
        <f>IFERROR(_xlfn.CEILING.MATH(Таблица2[[#This Row],[Кол-во материала по расчету]],C188),"-")</f>
        <v>-</v>
      </c>
      <c r="H188" s="933"/>
      <c r="I188" s="921">
        <f>IFERROR(Таблица2[[#This Row],[Кол-во материала с учетом кратности упаковки*****]]*Таблица2[[#This Row],[Стоимость 
ед., руб. ]],0)</f>
        <v>0</v>
      </c>
      <c r="K188" s="916">
        <f t="shared" si="2"/>
        <v>0</v>
      </c>
      <c r="M188" s="158" t="s">
        <v>6</v>
      </c>
      <c r="N188" s="158" t="s">
        <v>296</v>
      </c>
    </row>
    <row r="189" spans="2:14" s="501" customFormat="1" ht="20.100000000000001" hidden="1" customHeight="1">
      <c r="B189" s="159" t="s">
        <v>296</v>
      </c>
      <c r="C189" s="1039" t="s">
        <v>1549</v>
      </c>
      <c r="D189" s="105" t="s">
        <v>1501</v>
      </c>
      <c r="E189" s="1047" t="s">
        <v>151</v>
      </c>
      <c r="F189" s="920">
        <v>0</v>
      </c>
      <c r="G189" s="1041" t="str">
        <f>IFERROR(_xlfn.CEILING.MATH(Таблица2[[#This Row],[Кол-во материала по расчету]],C189),"-")</f>
        <v>-</v>
      </c>
      <c r="H189" s="933"/>
      <c r="I189" s="921">
        <f>IFERROR(Таблица2[[#This Row],[Кол-во материала с учетом кратности упаковки*****]]*Таблица2[[#This Row],[Стоимость 
ед., руб. ]],0)</f>
        <v>0</v>
      </c>
      <c r="K189" s="916">
        <f t="shared" si="2"/>
        <v>0</v>
      </c>
      <c r="M189" s="158" t="s">
        <v>6</v>
      </c>
      <c r="N189" s="158" t="s">
        <v>296</v>
      </c>
    </row>
    <row r="190" spans="2:14" s="501" customFormat="1" ht="20.100000000000001" hidden="1" customHeight="1">
      <c r="B190" s="159" t="s">
        <v>296</v>
      </c>
      <c r="C190" s="1039" t="s">
        <v>1549</v>
      </c>
      <c r="D190" s="105" t="s">
        <v>1499</v>
      </c>
      <c r="E190" s="1047" t="s">
        <v>151</v>
      </c>
      <c r="F190" s="920">
        <v>0</v>
      </c>
      <c r="G190" s="1041" t="str">
        <f>IFERROR(_xlfn.CEILING.MATH(Таблица2[[#This Row],[Кол-во материала по расчету]],C190),"-")</f>
        <v>-</v>
      </c>
      <c r="H190" s="933"/>
      <c r="I190" s="921">
        <f>IFERROR(Таблица2[[#This Row],[Кол-во материала с учетом кратности упаковки*****]]*Таблица2[[#This Row],[Стоимость 
ед., руб. ]],0)</f>
        <v>0</v>
      </c>
      <c r="K190" s="916">
        <f t="shared" si="2"/>
        <v>0</v>
      </c>
      <c r="M190" s="158" t="s">
        <v>6</v>
      </c>
      <c r="N190" s="158" t="s">
        <v>296</v>
      </c>
    </row>
    <row r="191" spans="2:14" s="501" customFormat="1" ht="20.100000000000001" hidden="1" customHeight="1">
      <c r="B191" s="159">
        <v>228667</v>
      </c>
      <c r="C191" s="1039">
        <v>500</v>
      </c>
      <c r="D191" s="105" t="s">
        <v>1419</v>
      </c>
      <c r="E191" s="1047" t="s">
        <v>151</v>
      </c>
      <c r="F191" s="920">
        <v>0</v>
      </c>
      <c r="G191" s="1041">
        <f>IFERROR(_xlfn.CEILING.MATH(Таблица2[[#This Row],[Кол-во материала по расчету]],C191),"-")</f>
        <v>0</v>
      </c>
      <c r="H191" s="933"/>
      <c r="I191" s="921">
        <f>IFERROR(Таблица2[[#This Row],[Кол-во материала с учетом кратности упаковки*****]]*Таблица2[[#This Row],[Стоимость 
ед., руб. ]],0)</f>
        <v>0</v>
      </c>
      <c r="K191" s="916">
        <f t="shared" si="2"/>
        <v>0</v>
      </c>
      <c r="M191" s="158">
        <v>500</v>
      </c>
      <c r="N191" s="158">
        <v>228667</v>
      </c>
    </row>
    <row r="192" spans="2:14" s="501" customFormat="1" ht="20.100000000000001" customHeight="1">
      <c r="B192" s="159" t="s">
        <v>773</v>
      </c>
      <c r="C192" s="1039">
        <v>500</v>
      </c>
      <c r="D192" s="105" t="s">
        <v>1459</v>
      </c>
      <c r="E192" s="1047" t="s">
        <v>151</v>
      </c>
      <c r="F192" s="920">
        <v>460</v>
      </c>
      <c r="G192" s="1041">
        <f>IFERROR(_xlfn.CEILING.MATH(Таблица2[[#This Row],[Кол-во материала по расчету]],C192),"-")</f>
        <v>500</v>
      </c>
      <c r="H192" s="933"/>
      <c r="I192" s="921">
        <f>IFERROR(Таблица2[[#This Row],[Кол-во материала с учетом кратности упаковки*****]]*Таблица2[[#This Row],[Стоимость 
ед., руб. ]],0)</f>
        <v>0</v>
      </c>
      <c r="K192" s="916">
        <f t="shared" si="2"/>
        <v>1</v>
      </c>
      <c r="M192" s="158">
        <v>500</v>
      </c>
      <c r="N192" s="158" t="s">
        <v>773</v>
      </c>
    </row>
    <row r="193" spans="2:14" s="501" customFormat="1" ht="20.100000000000001" hidden="1" customHeight="1">
      <c r="B193" s="159" t="s">
        <v>296</v>
      </c>
      <c r="C193" s="1039">
        <v>500</v>
      </c>
      <c r="D193" s="105" t="s">
        <v>1415</v>
      </c>
      <c r="E193" s="1047" t="s">
        <v>151</v>
      </c>
      <c r="F193" s="920">
        <v>0</v>
      </c>
      <c r="G193" s="1041">
        <f>IFERROR(_xlfn.CEILING.MATH(Таблица2[[#This Row],[Кол-во материала по расчету]],C193),"-")</f>
        <v>0</v>
      </c>
      <c r="H193" s="933"/>
      <c r="I193" s="921">
        <f>IFERROR(Таблица2[[#This Row],[Кол-во материала с учетом кратности упаковки*****]]*Таблица2[[#This Row],[Стоимость 
ед., руб. ]],0)</f>
        <v>0</v>
      </c>
      <c r="K193" s="916">
        <f t="shared" si="2"/>
        <v>0</v>
      </c>
      <c r="M193" s="158">
        <v>500</v>
      </c>
      <c r="N193" s="158" t="s">
        <v>296</v>
      </c>
    </row>
    <row r="194" spans="2:14" s="501" customFormat="1" ht="20.100000000000001" hidden="1" customHeight="1">
      <c r="B194" s="159" t="s">
        <v>774</v>
      </c>
      <c r="C194" s="1039">
        <v>500</v>
      </c>
      <c r="D194" s="105" t="s">
        <v>1417</v>
      </c>
      <c r="E194" s="1047" t="s">
        <v>151</v>
      </c>
      <c r="F194" s="920">
        <v>0</v>
      </c>
      <c r="G194" s="1041">
        <f>IFERROR(_xlfn.CEILING.MATH(Таблица2[[#This Row],[Кол-во материала по расчету]],C194),"-")</f>
        <v>0</v>
      </c>
      <c r="H194" s="933"/>
      <c r="I194" s="921">
        <f>IFERROR(Таблица2[[#This Row],[Кол-во материала с учетом кратности упаковки*****]]*Таблица2[[#This Row],[Стоимость 
ед., руб. ]],0)</f>
        <v>0</v>
      </c>
      <c r="K194" s="916">
        <f t="shared" si="2"/>
        <v>0</v>
      </c>
      <c r="M194" s="158">
        <v>500</v>
      </c>
      <c r="N194" s="158" t="s">
        <v>774</v>
      </c>
    </row>
    <row r="195" spans="2:14" s="501" customFormat="1" ht="20.100000000000001" hidden="1" customHeight="1">
      <c r="B195" s="159">
        <v>228669</v>
      </c>
      <c r="C195" s="1039">
        <v>500</v>
      </c>
      <c r="D195" s="105" t="s">
        <v>1418</v>
      </c>
      <c r="E195" s="1047" t="s">
        <v>151</v>
      </c>
      <c r="F195" s="920">
        <v>0</v>
      </c>
      <c r="G195" s="1041">
        <f>IFERROR(_xlfn.CEILING.MATH(Таблица2[[#This Row],[Кол-во материала по расчету]],C195),"-")</f>
        <v>0</v>
      </c>
      <c r="H195" s="933"/>
      <c r="I195" s="921">
        <f>IFERROR(Таблица2[[#This Row],[Кол-во материала с учетом кратности упаковки*****]]*Таблица2[[#This Row],[Стоимость 
ед., руб. ]],0)</f>
        <v>0</v>
      </c>
      <c r="K195" s="916">
        <f t="shared" si="2"/>
        <v>0</v>
      </c>
      <c r="M195" s="158">
        <v>500</v>
      </c>
      <c r="N195" s="158">
        <v>228669</v>
      </c>
    </row>
    <row r="196" spans="2:14" s="501" customFormat="1" ht="20.100000000000001" customHeight="1">
      <c r="B196" s="159" t="s">
        <v>918</v>
      </c>
      <c r="C196" s="1039">
        <v>1000</v>
      </c>
      <c r="D196" s="105" t="s">
        <v>559</v>
      </c>
      <c r="E196" s="1047" t="s">
        <v>151</v>
      </c>
      <c r="F196" s="920">
        <v>2551</v>
      </c>
      <c r="G196" s="1041">
        <f>IFERROR(_xlfn.CEILING.MATH(Таблица2[[#This Row],[Кол-во материала по расчету]],C196),"-")</f>
        <v>3000</v>
      </c>
      <c r="H196" s="933"/>
      <c r="I196" s="921">
        <f>IFERROR(Таблица2[[#This Row],[Кол-во материала с учетом кратности упаковки*****]]*Таблица2[[#This Row],[Стоимость 
ед., руб. ]],0)</f>
        <v>0</v>
      </c>
      <c r="K196" s="916">
        <f t="shared" si="2"/>
        <v>1</v>
      </c>
      <c r="M196" s="158">
        <v>1000</v>
      </c>
      <c r="N196" s="158" t="s">
        <v>918</v>
      </c>
    </row>
    <row r="197" spans="2:14" s="501" customFormat="1" ht="20.100000000000001" hidden="1" customHeight="1">
      <c r="B197" s="159" t="s">
        <v>784</v>
      </c>
      <c r="C197" s="1039">
        <v>800</v>
      </c>
      <c r="D197" s="105" t="s">
        <v>1428</v>
      </c>
      <c r="E197" s="1047" t="s">
        <v>151</v>
      </c>
      <c r="F197" s="920">
        <v>0</v>
      </c>
      <c r="G197" s="1041">
        <f>IFERROR(_xlfn.CEILING.MATH(Таблица2[[#This Row],[Кол-во материала по расчету]],C197),"-")</f>
        <v>0</v>
      </c>
      <c r="H197" s="933"/>
      <c r="I197" s="921">
        <f>IFERROR(Таблица2[[#This Row],[Кол-во материала с учетом кратности упаковки*****]]*Таблица2[[#This Row],[Стоимость 
ед., руб. ]],0)</f>
        <v>0</v>
      </c>
      <c r="K197" s="916">
        <f t="shared" si="2"/>
        <v>0</v>
      </c>
      <c r="M197" s="158">
        <v>800</v>
      </c>
      <c r="N197" s="158" t="s">
        <v>784</v>
      </c>
    </row>
    <row r="198" spans="2:14" s="501" customFormat="1" ht="20.100000000000001" hidden="1" customHeight="1">
      <c r="B198" s="159" t="s">
        <v>782</v>
      </c>
      <c r="C198" s="1039">
        <v>1000</v>
      </c>
      <c r="D198" s="105" t="s">
        <v>1426</v>
      </c>
      <c r="E198" s="1047" t="s">
        <v>151</v>
      </c>
      <c r="F198" s="920">
        <v>0</v>
      </c>
      <c r="G198" s="1041">
        <f>IFERROR(_xlfn.CEILING.MATH(Таблица2[[#This Row],[Кол-во материала по расчету]],C198),"-")</f>
        <v>0</v>
      </c>
      <c r="H198" s="933"/>
      <c r="I198" s="921">
        <f>IFERROR(Таблица2[[#This Row],[Кол-во материала с учетом кратности упаковки*****]]*Таблица2[[#This Row],[Стоимость 
ед., руб. ]],0)</f>
        <v>0</v>
      </c>
      <c r="K198" s="916">
        <f t="shared" si="2"/>
        <v>0</v>
      </c>
      <c r="M198" s="158">
        <v>1000</v>
      </c>
      <c r="N198" s="158" t="s">
        <v>782</v>
      </c>
    </row>
    <row r="199" spans="2:14" s="501" customFormat="1" ht="20.100000000000001" hidden="1" customHeight="1">
      <c r="B199" s="159" t="s">
        <v>783</v>
      </c>
      <c r="C199" s="1039">
        <v>1000</v>
      </c>
      <c r="D199" s="105" t="s">
        <v>1427</v>
      </c>
      <c r="E199" s="1047" t="s">
        <v>151</v>
      </c>
      <c r="F199" s="920">
        <v>0</v>
      </c>
      <c r="G199" s="1041">
        <f>IFERROR(_xlfn.CEILING.MATH(Таблица2[[#This Row],[Кол-во материала по расчету]],C199),"-")</f>
        <v>0</v>
      </c>
      <c r="H199" s="933"/>
      <c r="I199" s="921">
        <f>IFERROR(Таблица2[[#This Row],[Кол-во материала с учетом кратности упаковки*****]]*Таблица2[[#This Row],[Стоимость 
ед., руб. ]],0)</f>
        <v>0</v>
      </c>
      <c r="K199" s="916">
        <f t="shared" si="2"/>
        <v>0</v>
      </c>
      <c r="M199" s="158">
        <v>1000</v>
      </c>
      <c r="N199" s="158" t="s">
        <v>783</v>
      </c>
    </row>
    <row r="200" spans="2:14" s="501" customFormat="1" ht="20.100000000000001" customHeight="1">
      <c r="B200" s="159" t="s">
        <v>778</v>
      </c>
      <c r="C200" s="1039">
        <v>500</v>
      </c>
      <c r="D200" s="105" t="s">
        <v>1422</v>
      </c>
      <c r="E200" s="1047" t="s">
        <v>151</v>
      </c>
      <c r="F200" s="920">
        <v>150</v>
      </c>
      <c r="G200" s="1041">
        <f>IFERROR(_xlfn.CEILING.MATH(Таблица2[[#This Row],[Кол-во материала по расчету]],C200),"-")</f>
        <v>500</v>
      </c>
      <c r="H200" s="933"/>
      <c r="I200" s="921">
        <f>IFERROR(Таблица2[[#This Row],[Кол-во материала с учетом кратности упаковки*****]]*Таблица2[[#This Row],[Стоимость 
ед., руб. ]],0)</f>
        <v>0</v>
      </c>
      <c r="K200" s="916">
        <f t="shared" si="2"/>
        <v>1</v>
      </c>
      <c r="M200" s="158">
        <v>500</v>
      </c>
      <c r="N200" s="158" t="s">
        <v>778</v>
      </c>
    </row>
    <row r="201" spans="2:14" s="501" customFormat="1" ht="20.100000000000001" hidden="1" customHeight="1">
      <c r="B201" s="159" t="s">
        <v>779</v>
      </c>
      <c r="C201" s="1039">
        <v>350</v>
      </c>
      <c r="D201" s="105" t="s">
        <v>1423</v>
      </c>
      <c r="E201" s="1047" t="s">
        <v>151</v>
      </c>
      <c r="F201" s="920">
        <v>0</v>
      </c>
      <c r="G201" s="1041">
        <f>IFERROR(_xlfn.CEILING.MATH(Таблица2[[#This Row],[Кол-во материала по расчету]],C201),"-")</f>
        <v>0</v>
      </c>
      <c r="H201" s="933"/>
      <c r="I201" s="921">
        <f>IFERROR(Таблица2[[#This Row],[Кол-во материала с учетом кратности упаковки*****]]*Таблица2[[#This Row],[Стоимость 
ед., руб. ]],0)</f>
        <v>0</v>
      </c>
      <c r="K201" s="916">
        <f t="shared" si="2"/>
        <v>0</v>
      </c>
      <c r="M201" s="158">
        <v>350</v>
      </c>
      <c r="N201" s="158" t="s">
        <v>779</v>
      </c>
    </row>
    <row r="202" spans="2:14" s="501" customFormat="1" ht="20.100000000000001" customHeight="1">
      <c r="B202" s="159" t="s">
        <v>780</v>
      </c>
      <c r="C202" s="1039">
        <v>500</v>
      </c>
      <c r="D202" s="105" t="s">
        <v>1424</v>
      </c>
      <c r="E202" s="1047" t="s">
        <v>151</v>
      </c>
      <c r="F202" s="920">
        <v>298</v>
      </c>
      <c r="G202" s="1041">
        <f>IFERROR(_xlfn.CEILING.MATH(Таблица2[[#This Row],[Кол-во материала по расчету]],C202),"-")</f>
        <v>500</v>
      </c>
      <c r="H202" s="933"/>
      <c r="I202" s="921">
        <f>IFERROR(Таблица2[[#This Row],[Кол-во материала с учетом кратности упаковки*****]]*Таблица2[[#This Row],[Стоимость 
ед., руб. ]],0)</f>
        <v>0</v>
      </c>
      <c r="K202" s="916">
        <f t="shared" ref="K202:K265" si="3">IF(F202=0,0,1)</f>
        <v>1</v>
      </c>
      <c r="M202" s="158">
        <v>500</v>
      </c>
      <c r="N202" s="158" t="s">
        <v>780</v>
      </c>
    </row>
    <row r="203" spans="2:14" s="501" customFormat="1" ht="20.100000000000001" hidden="1" customHeight="1">
      <c r="B203" s="159" t="s">
        <v>781</v>
      </c>
      <c r="C203" s="1039">
        <v>200</v>
      </c>
      <c r="D203" s="105" t="s">
        <v>1425</v>
      </c>
      <c r="E203" s="1047" t="s">
        <v>151</v>
      </c>
      <c r="F203" s="920">
        <v>0</v>
      </c>
      <c r="G203" s="1041">
        <f>IFERROR(_xlfn.CEILING.MATH(Таблица2[[#This Row],[Кол-во материала по расчету]],C203),"-")</f>
        <v>0</v>
      </c>
      <c r="H203" s="933"/>
      <c r="I203" s="921">
        <f>IFERROR(Таблица2[[#This Row],[Кол-во материала с учетом кратности упаковки*****]]*Таблица2[[#This Row],[Стоимость 
ед., руб. ]],0)</f>
        <v>0</v>
      </c>
      <c r="K203" s="916">
        <f t="shared" si="3"/>
        <v>0</v>
      </c>
      <c r="M203" s="158">
        <v>200</v>
      </c>
      <c r="N203" s="158" t="s">
        <v>781</v>
      </c>
    </row>
    <row r="204" spans="2:14" s="501" customFormat="1" ht="20.100000000000001" hidden="1" customHeight="1">
      <c r="B204" s="159" t="s">
        <v>775</v>
      </c>
      <c r="C204" s="1039">
        <v>500</v>
      </c>
      <c r="D204" s="105" t="s">
        <v>1416</v>
      </c>
      <c r="E204" s="1047" t="s">
        <v>151</v>
      </c>
      <c r="F204" s="920">
        <v>0</v>
      </c>
      <c r="G204" s="1041">
        <f>IFERROR(_xlfn.CEILING.MATH(Таблица2[[#This Row],[Кол-во материала по расчету]],C204),"-")</f>
        <v>0</v>
      </c>
      <c r="H204" s="933"/>
      <c r="I204" s="921">
        <f>IFERROR(Таблица2[[#This Row],[Кол-во материала с учетом кратности упаковки*****]]*Таблица2[[#This Row],[Стоимость 
ед., руб. ]],0)</f>
        <v>0</v>
      </c>
      <c r="K204" s="916">
        <f t="shared" si="3"/>
        <v>0</v>
      </c>
      <c r="M204" s="158">
        <v>500</v>
      </c>
      <c r="N204" s="158" t="s">
        <v>775</v>
      </c>
    </row>
    <row r="205" spans="2:14" s="501" customFormat="1" ht="20.100000000000001" customHeight="1">
      <c r="B205" s="159" t="s">
        <v>776</v>
      </c>
      <c r="C205" s="1039">
        <v>500</v>
      </c>
      <c r="D205" s="105" t="s">
        <v>1420</v>
      </c>
      <c r="E205" s="1047" t="s">
        <v>151</v>
      </c>
      <c r="F205" s="920">
        <v>166</v>
      </c>
      <c r="G205" s="1041">
        <f>IFERROR(_xlfn.CEILING.MATH(Таблица2[[#This Row],[Кол-во материала по расчету]],C205),"-")</f>
        <v>500</v>
      </c>
      <c r="H205" s="933"/>
      <c r="I205" s="921">
        <f>IFERROR(Таблица2[[#This Row],[Кол-во материала с учетом кратности упаковки*****]]*Таблица2[[#This Row],[Стоимость 
ед., руб. ]],0)</f>
        <v>0</v>
      </c>
      <c r="K205" s="916">
        <f t="shared" si="3"/>
        <v>1</v>
      </c>
      <c r="M205" s="158">
        <v>500</v>
      </c>
      <c r="N205" s="158" t="s">
        <v>776</v>
      </c>
    </row>
    <row r="206" spans="2:14" s="501" customFormat="1" ht="20.100000000000001" customHeight="1">
      <c r="B206" s="159" t="s">
        <v>777</v>
      </c>
      <c r="C206" s="1039">
        <v>500</v>
      </c>
      <c r="D206" s="105" t="s">
        <v>1421</v>
      </c>
      <c r="E206" s="1047" t="s">
        <v>151</v>
      </c>
      <c r="F206" s="920">
        <v>12002</v>
      </c>
      <c r="G206" s="1041">
        <f>IFERROR(_xlfn.CEILING.MATH(Таблица2[[#This Row],[Кол-во материала по расчету]],C206),"-")</f>
        <v>12500</v>
      </c>
      <c r="H206" s="933"/>
      <c r="I206" s="921">
        <f>IFERROR(Таблица2[[#This Row],[Кол-во материала с учетом кратности упаковки*****]]*Таблица2[[#This Row],[Стоимость 
ед., руб. ]],0)</f>
        <v>0</v>
      </c>
      <c r="K206" s="916">
        <f t="shared" si="3"/>
        <v>1</v>
      </c>
      <c r="M206" s="158">
        <v>500</v>
      </c>
      <c r="N206" s="158" t="s">
        <v>777</v>
      </c>
    </row>
    <row r="207" spans="2:14" s="501" customFormat="1" ht="20.100000000000001" hidden="1" customHeight="1">
      <c r="B207" s="159" t="s">
        <v>791</v>
      </c>
      <c r="C207" s="1039" t="s">
        <v>1549</v>
      </c>
      <c r="D207" s="105" t="s">
        <v>1281</v>
      </c>
      <c r="E207" s="1047" t="s">
        <v>112</v>
      </c>
      <c r="F207" s="920">
        <v>0</v>
      </c>
      <c r="G207" s="1041" t="str">
        <f>IFERROR(_xlfn.CEILING.MATH(Таблица2[[#This Row],[Кол-во материала по расчету]],C207),"-")</f>
        <v>-</v>
      </c>
      <c r="H207" s="933"/>
      <c r="I207" s="921">
        <f>IFERROR(Таблица2[[#This Row],[Кол-во материала с учетом кратности упаковки*****]]*Таблица2[[#This Row],[Стоимость 
ед., руб. ]],0)</f>
        <v>0</v>
      </c>
      <c r="K207" s="916">
        <f t="shared" si="3"/>
        <v>0</v>
      </c>
      <c r="M207" s="158" t="s">
        <v>6</v>
      </c>
      <c r="N207" s="158" t="s">
        <v>791</v>
      </c>
    </row>
    <row r="208" spans="2:14" s="501" customFormat="1" ht="20.100000000000001" hidden="1" customHeight="1">
      <c r="B208" s="159" t="s">
        <v>790</v>
      </c>
      <c r="C208" s="1039" t="s">
        <v>1549</v>
      </c>
      <c r="D208" s="105" t="s">
        <v>1280</v>
      </c>
      <c r="E208" s="1047" t="s">
        <v>112</v>
      </c>
      <c r="F208" s="920">
        <v>0</v>
      </c>
      <c r="G208" s="1041" t="str">
        <f>IFERROR(_xlfn.CEILING.MATH(Таблица2[[#This Row],[Кол-во материала по расчету]],C208),"-")</f>
        <v>-</v>
      </c>
      <c r="H208" s="933"/>
      <c r="I208" s="921">
        <f>IFERROR(Таблица2[[#This Row],[Кол-во материала с учетом кратности упаковки*****]]*Таблица2[[#This Row],[Стоимость 
ед., руб. ]],0)</f>
        <v>0</v>
      </c>
      <c r="K208" s="916">
        <f t="shared" si="3"/>
        <v>0</v>
      </c>
      <c r="M208" s="158" t="s">
        <v>6</v>
      </c>
      <c r="N208" s="158" t="s">
        <v>790</v>
      </c>
    </row>
    <row r="209" spans="2:14" s="501" customFormat="1" ht="20.100000000000001" hidden="1" customHeight="1">
      <c r="B209" s="159" t="s">
        <v>763</v>
      </c>
      <c r="C209" s="1039">
        <v>6</v>
      </c>
      <c r="D209" s="105" t="s">
        <v>803</v>
      </c>
      <c r="E209" s="1047" t="s">
        <v>151</v>
      </c>
      <c r="F209" s="920">
        <v>0</v>
      </c>
      <c r="G209" s="1041">
        <f>IFERROR(_xlfn.CEILING.MATH(Таблица2[[#This Row],[Кол-во материала по расчету]],C209),"-")</f>
        <v>0</v>
      </c>
      <c r="H209" s="933"/>
      <c r="I209" s="921">
        <f>IFERROR(Таблица2[[#This Row],[Кол-во материала с учетом кратности упаковки*****]]*Таблица2[[#This Row],[Стоимость 
ед., руб. ]],0)</f>
        <v>0</v>
      </c>
      <c r="K209" s="916">
        <f t="shared" si="3"/>
        <v>0</v>
      </c>
      <c r="M209" s="158">
        <v>6</v>
      </c>
      <c r="N209" s="158" t="s">
        <v>763</v>
      </c>
    </row>
    <row r="210" spans="2:14" s="501" customFormat="1" ht="20.100000000000001" hidden="1" customHeight="1">
      <c r="B210" s="159" t="s">
        <v>296</v>
      </c>
      <c r="C210" s="1039" t="s">
        <v>1549</v>
      </c>
      <c r="D210" s="105" t="s">
        <v>284</v>
      </c>
      <c r="E210" s="1047" t="s">
        <v>112</v>
      </c>
      <c r="F210" s="920">
        <v>0</v>
      </c>
      <c r="G210" s="1041" t="str">
        <f>IFERROR(_xlfn.CEILING.MATH(Таблица2[[#This Row],[Кол-во материала по расчету]],C210),"-")</f>
        <v>-</v>
      </c>
      <c r="H210" s="933"/>
      <c r="I210" s="921">
        <f>IFERROR(Таблица2[[#This Row],[Кол-во материала с учетом кратности упаковки*****]]*Таблица2[[#This Row],[Стоимость 
ед., руб. ]],0)</f>
        <v>0</v>
      </c>
      <c r="K210" s="916">
        <f t="shared" si="3"/>
        <v>0</v>
      </c>
      <c r="M210" s="158" t="s">
        <v>6</v>
      </c>
      <c r="N210" s="158" t="s">
        <v>296</v>
      </c>
    </row>
    <row r="211" spans="2:14" s="501" customFormat="1" ht="20.100000000000001" hidden="1" customHeight="1">
      <c r="B211" s="159" t="s">
        <v>765</v>
      </c>
      <c r="C211" s="1039">
        <v>400</v>
      </c>
      <c r="D211" s="105" t="s">
        <v>806</v>
      </c>
      <c r="E211" s="1047" t="s">
        <v>112</v>
      </c>
      <c r="F211" s="920">
        <v>0</v>
      </c>
      <c r="G211" s="1041">
        <f>IFERROR(_xlfn.CEILING.MATH(Таблица2[[#This Row],[Кол-во материала по расчету]],C211),"-")</f>
        <v>0</v>
      </c>
      <c r="H211" s="933"/>
      <c r="I211" s="921">
        <f>IFERROR(Таблица2[[#This Row],[Кол-во материала с учетом кратности упаковки*****]]*Таблица2[[#This Row],[Стоимость 
ед., руб. ]],0)</f>
        <v>0</v>
      </c>
      <c r="K211" s="916">
        <f t="shared" si="3"/>
        <v>0</v>
      </c>
      <c r="M211" s="158">
        <v>400</v>
      </c>
      <c r="N211" s="158" t="s">
        <v>765</v>
      </c>
    </row>
    <row r="212" spans="2:14" s="501" customFormat="1" ht="20.100000000000001" hidden="1" customHeight="1">
      <c r="B212" s="159" t="s">
        <v>296</v>
      </c>
      <c r="C212" s="1039" t="s">
        <v>1549</v>
      </c>
      <c r="D212" s="105" t="s">
        <v>1498</v>
      </c>
      <c r="E212" s="1047" t="s">
        <v>151</v>
      </c>
      <c r="F212" s="920">
        <v>0</v>
      </c>
      <c r="G212" s="1041" t="str">
        <f>IFERROR(_xlfn.CEILING.MATH(Таблица2[[#This Row],[Кол-во материала по расчету]],C212),"-")</f>
        <v>-</v>
      </c>
      <c r="H212" s="933"/>
      <c r="I212" s="921">
        <f>IFERROR(Таблица2[[#This Row],[Кол-во материала с учетом кратности упаковки*****]]*Таблица2[[#This Row],[Стоимость 
ед., руб. ]],0)</f>
        <v>0</v>
      </c>
      <c r="K212" s="916">
        <f t="shared" si="3"/>
        <v>0</v>
      </c>
      <c r="M212" s="158" t="s">
        <v>6</v>
      </c>
      <c r="N212" s="158" t="s">
        <v>296</v>
      </c>
    </row>
    <row r="213" spans="2:14" s="501" customFormat="1" ht="20.100000000000001" hidden="1" customHeight="1">
      <c r="B213" s="159">
        <v>291502</v>
      </c>
      <c r="C213" s="1039">
        <v>720</v>
      </c>
      <c r="D213" s="105" t="s">
        <v>1401</v>
      </c>
      <c r="E213" s="1047" t="s">
        <v>151</v>
      </c>
      <c r="F213" s="920">
        <v>0</v>
      </c>
      <c r="G213" s="1041">
        <f>IFERROR(_xlfn.CEILING.MATH(Таблица2[[#This Row],[Кол-во материала по расчету]],C213),"-")</f>
        <v>0</v>
      </c>
      <c r="H213" s="933"/>
      <c r="I213" s="921">
        <f>IFERROR(Таблица2[[#This Row],[Кол-во материала с учетом кратности упаковки*****]]*Таблица2[[#This Row],[Стоимость 
ед., руб. ]],0)</f>
        <v>0</v>
      </c>
      <c r="K213" s="916">
        <f t="shared" si="3"/>
        <v>0</v>
      </c>
      <c r="M213" s="158">
        <v>720</v>
      </c>
      <c r="N213" s="158">
        <v>291502</v>
      </c>
    </row>
    <row r="214" spans="2:14" s="501" customFormat="1" ht="20.100000000000001" hidden="1" customHeight="1">
      <c r="B214" s="159">
        <v>291503</v>
      </c>
      <c r="C214" s="1039">
        <v>560</v>
      </c>
      <c r="D214" s="105" t="s">
        <v>1402</v>
      </c>
      <c r="E214" s="1047" t="s">
        <v>151</v>
      </c>
      <c r="F214" s="920">
        <v>0</v>
      </c>
      <c r="G214" s="1041">
        <f>IFERROR(_xlfn.CEILING.MATH(Таблица2[[#This Row],[Кол-во материала по расчету]],C214),"-")</f>
        <v>0</v>
      </c>
      <c r="H214" s="933"/>
      <c r="I214" s="921">
        <f>IFERROR(Таблица2[[#This Row],[Кол-во материала с учетом кратности упаковки*****]]*Таблица2[[#This Row],[Стоимость 
ед., руб. ]],0)</f>
        <v>0</v>
      </c>
      <c r="K214" s="916">
        <f t="shared" si="3"/>
        <v>0</v>
      </c>
      <c r="M214" s="158">
        <v>560</v>
      </c>
      <c r="N214" s="158">
        <v>291503</v>
      </c>
    </row>
    <row r="215" spans="2:14" s="501" customFormat="1" ht="20.100000000000001" hidden="1" customHeight="1">
      <c r="B215" s="159">
        <v>335923</v>
      </c>
      <c r="C215" s="1039">
        <v>530</v>
      </c>
      <c r="D215" s="105" t="s">
        <v>1403</v>
      </c>
      <c r="E215" s="1047" t="s">
        <v>151</v>
      </c>
      <c r="F215" s="920">
        <v>0</v>
      </c>
      <c r="G215" s="1041">
        <f>IFERROR(_xlfn.CEILING.MATH(Таблица2[[#This Row],[Кол-во материала по расчету]],C215),"-")</f>
        <v>0</v>
      </c>
      <c r="H215" s="933"/>
      <c r="I215" s="921">
        <f>IFERROR(Таблица2[[#This Row],[Кол-во материала с учетом кратности упаковки*****]]*Таблица2[[#This Row],[Стоимость 
ед., руб. ]],0)</f>
        <v>0</v>
      </c>
      <c r="K215" s="916">
        <f t="shared" si="3"/>
        <v>0</v>
      </c>
      <c r="M215" s="158">
        <v>530</v>
      </c>
      <c r="N215" s="158">
        <v>335923</v>
      </c>
    </row>
    <row r="216" spans="2:14" s="501" customFormat="1" ht="20.100000000000001" hidden="1" customHeight="1">
      <c r="B216" s="159">
        <v>336704</v>
      </c>
      <c r="C216" s="1039">
        <v>470</v>
      </c>
      <c r="D216" s="105" t="s">
        <v>1404</v>
      </c>
      <c r="E216" s="1047" t="s">
        <v>151</v>
      </c>
      <c r="F216" s="920">
        <v>0</v>
      </c>
      <c r="G216" s="1041">
        <f>IFERROR(_xlfn.CEILING.MATH(Таблица2[[#This Row],[Кол-во материала по расчету]],C216),"-")</f>
        <v>0</v>
      </c>
      <c r="H216" s="933"/>
      <c r="I216" s="921">
        <f>IFERROR(Таблица2[[#This Row],[Кол-во материала с учетом кратности упаковки*****]]*Таблица2[[#This Row],[Стоимость 
ед., руб. ]],0)</f>
        <v>0</v>
      </c>
      <c r="K216" s="916">
        <f t="shared" si="3"/>
        <v>0</v>
      </c>
      <c r="M216" s="158">
        <v>470</v>
      </c>
      <c r="N216" s="158">
        <v>336704</v>
      </c>
    </row>
    <row r="217" spans="2:14" s="501" customFormat="1" ht="20.100000000000001" hidden="1" customHeight="1">
      <c r="B217" s="159">
        <v>329259</v>
      </c>
      <c r="C217" s="1039">
        <v>450</v>
      </c>
      <c r="D217" s="105" t="s">
        <v>1405</v>
      </c>
      <c r="E217" s="1047" t="s">
        <v>151</v>
      </c>
      <c r="F217" s="920">
        <v>0</v>
      </c>
      <c r="G217" s="1041">
        <f>IFERROR(_xlfn.CEILING.MATH(Таблица2[[#This Row],[Кол-во материала по расчету]],C217),"-")</f>
        <v>0</v>
      </c>
      <c r="H217" s="933"/>
      <c r="I217" s="921">
        <f>IFERROR(Таблица2[[#This Row],[Кол-во материала с учетом кратности упаковки*****]]*Таблица2[[#This Row],[Стоимость 
ед., руб. ]],0)</f>
        <v>0</v>
      </c>
      <c r="K217" s="916">
        <f t="shared" si="3"/>
        <v>0</v>
      </c>
      <c r="M217" s="158">
        <v>450</v>
      </c>
      <c r="N217" s="158">
        <v>329259</v>
      </c>
    </row>
    <row r="218" spans="2:14" s="501" customFormat="1" ht="20.100000000000001" hidden="1" customHeight="1">
      <c r="B218" s="159" t="s">
        <v>768</v>
      </c>
      <c r="C218" s="1039">
        <v>370</v>
      </c>
      <c r="D218" s="105" t="s">
        <v>1406</v>
      </c>
      <c r="E218" s="1047" t="s">
        <v>151</v>
      </c>
      <c r="F218" s="920">
        <v>0</v>
      </c>
      <c r="G218" s="1041">
        <f>IFERROR(_xlfn.CEILING.MATH(Таблица2[[#This Row],[Кол-во материала по расчету]],C218),"-")</f>
        <v>0</v>
      </c>
      <c r="H218" s="933"/>
      <c r="I218" s="921">
        <f>IFERROR(Таблица2[[#This Row],[Кол-во материала с учетом кратности упаковки*****]]*Таблица2[[#This Row],[Стоимость 
ед., руб. ]],0)</f>
        <v>0</v>
      </c>
      <c r="K218" s="916">
        <f t="shared" si="3"/>
        <v>0</v>
      </c>
      <c r="M218" s="158">
        <v>370</v>
      </c>
      <c r="N218" s="158" t="s">
        <v>768</v>
      </c>
    </row>
    <row r="219" spans="2:14" s="501" customFormat="1" ht="20.100000000000001" customHeight="1">
      <c r="B219" s="159" t="s">
        <v>769</v>
      </c>
      <c r="C219" s="1039">
        <v>330</v>
      </c>
      <c r="D219" s="105" t="s">
        <v>1407</v>
      </c>
      <c r="E219" s="1047" t="s">
        <v>151</v>
      </c>
      <c r="F219" s="920">
        <v>12002</v>
      </c>
      <c r="G219" s="1041">
        <f>IFERROR(_xlfn.CEILING.MATH(Таблица2[[#This Row],[Кол-во материала по расчету]],C219),"-")</f>
        <v>12210</v>
      </c>
      <c r="H219" s="933"/>
      <c r="I219" s="921">
        <f>IFERROR(Таблица2[[#This Row],[Кол-во материала с учетом кратности упаковки*****]]*Таблица2[[#This Row],[Стоимость 
ед., руб. ]],0)</f>
        <v>0</v>
      </c>
      <c r="K219" s="916">
        <f t="shared" si="3"/>
        <v>1</v>
      </c>
      <c r="M219" s="158">
        <v>330</v>
      </c>
      <c r="N219" s="158" t="s">
        <v>769</v>
      </c>
    </row>
    <row r="220" spans="2:14" s="501" customFormat="1" ht="20.100000000000001" customHeight="1">
      <c r="B220" s="159" t="s">
        <v>767</v>
      </c>
      <c r="C220" s="1039">
        <v>2000</v>
      </c>
      <c r="D220" s="105" t="s">
        <v>1398</v>
      </c>
      <c r="E220" s="1047" t="s">
        <v>151</v>
      </c>
      <c r="F220" s="920">
        <v>316</v>
      </c>
      <c r="G220" s="1041">
        <f>IFERROR(_xlfn.CEILING.MATH(Таблица2[[#This Row],[Кол-во материала по расчету]],C220),"-")</f>
        <v>2000</v>
      </c>
      <c r="H220" s="933"/>
      <c r="I220" s="921">
        <f>IFERROR(Таблица2[[#This Row],[Кол-во материала с учетом кратности упаковки*****]]*Таблица2[[#This Row],[Стоимость 
ед., руб. ]],0)</f>
        <v>0</v>
      </c>
      <c r="K220" s="916">
        <f t="shared" si="3"/>
        <v>1</v>
      </c>
      <c r="M220" s="158">
        <v>2000</v>
      </c>
      <c r="N220" s="158" t="s">
        <v>767</v>
      </c>
    </row>
    <row r="221" spans="2:14" s="501" customFormat="1" ht="20.100000000000001" customHeight="1">
      <c r="B221" s="159" t="s">
        <v>770</v>
      </c>
      <c r="C221" s="1039">
        <v>280</v>
      </c>
      <c r="D221" s="105" t="s">
        <v>1408</v>
      </c>
      <c r="E221" s="1047" t="s">
        <v>151</v>
      </c>
      <c r="F221" s="920">
        <v>26</v>
      </c>
      <c r="G221" s="1041">
        <f>IFERROR(_xlfn.CEILING.MATH(Таблица2[[#This Row],[Кол-во материала по расчету]],C221),"-")</f>
        <v>280</v>
      </c>
      <c r="H221" s="933"/>
      <c r="I221" s="921">
        <f>IFERROR(Таблица2[[#This Row],[Кол-во материала с учетом кратности упаковки*****]]*Таблица2[[#This Row],[Стоимость 
ед., руб. ]],0)</f>
        <v>0</v>
      </c>
      <c r="K221" s="916">
        <f t="shared" si="3"/>
        <v>1</v>
      </c>
      <c r="M221" s="158">
        <v>280</v>
      </c>
      <c r="N221" s="158" t="s">
        <v>770</v>
      </c>
    </row>
    <row r="222" spans="2:14" s="501" customFormat="1" ht="20.100000000000001" customHeight="1">
      <c r="B222" s="159" t="s">
        <v>771</v>
      </c>
      <c r="C222" s="1039">
        <v>260</v>
      </c>
      <c r="D222" s="105" t="s">
        <v>1409</v>
      </c>
      <c r="E222" s="1047" t="s">
        <v>151</v>
      </c>
      <c r="F222" s="920">
        <v>49</v>
      </c>
      <c r="G222" s="1041">
        <f>IFERROR(_xlfn.CEILING.MATH(Таблица2[[#This Row],[Кол-во материала по расчету]],C222),"-")</f>
        <v>260</v>
      </c>
      <c r="H222" s="933"/>
      <c r="I222" s="921">
        <f>IFERROR(Таблица2[[#This Row],[Кол-во материала с учетом кратности упаковки*****]]*Таблица2[[#This Row],[Стоимость 
ед., руб. ]],0)</f>
        <v>0</v>
      </c>
      <c r="K222" s="916">
        <f t="shared" si="3"/>
        <v>1</v>
      </c>
      <c r="M222" s="158">
        <v>260</v>
      </c>
      <c r="N222" s="158" t="s">
        <v>771</v>
      </c>
    </row>
    <row r="223" spans="2:14" s="501" customFormat="1" ht="20.100000000000001" customHeight="1">
      <c r="B223" s="159">
        <v>422430</v>
      </c>
      <c r="C223" s="1039">
        <v>240</v>
      </c>
      <c r="D223" s="105" t="s">
        <v>1410</v>
      </c>
      <c r="E223" s="1047" t="s">
        <v>151</v>
      </c>
      <c r="F223" s="920">
        <v>49</v>
      </c>
      <c r="G223" s="1041">
        <f>IFERROR(_xlfn.CEILING.MATH(Таблица2[[#This Row],[Кол-во материала по расчету]],C223),"-")</f>
        <v>240</v>
      </c>
      <c r="H223" s="933"/>
      <c r="I223" s="921">
        <f>IFERROR(Таблица2[[#This Row],[Кол-во материала с учетом кратности упаковки*****]]*Таблица2[[#This Row],[Стоимость 
ед., руб. ]],0)</f>
        <v>0</v>
      </c>
      <c r="K223" s="916">
        <f t="shared" si="3"/>
        <v>1</v>
      </c>
      <c r="M223" s="158">
        <v>240</v>
      </c>
      <c r="N223" s="158">
        <v>422430</v>
      </c>
    </row>
    <row r="224" spans="2:14" s="501" customFormat="1" ht="20.100000000000001" customHeight="1">
      <c r="B224" s="159" t="s">
        <v>772</v>
      </c>
      <c r="C224" s="1039">
        <v>220</v>
      </c>
      <c r="D224" s="105" t="s">
        <v>1411</v>
      </c>
      <c r="E224" s="1047" t="s">
        <v>151</v>
      </c>
      <c r="F224" s="920">
        <v>98</v>
      </c>
      <c r="G224" s="1041">
        <f>IFERROR(_xlfn.CEILING.MATH(Таблица2[[#This Row],[Кол-во материала по расчету]],C224),"-")</f>
        <v>220</v>
      </c>
      <c r="H224" s="933"/>
      <c r="I224" s="921">
        <f>IFERROR(Таблица2[[#This Row],[Кол-во материала с учетом кратности упаковки*****]]*Таблица2[[#This Row],[Стоимость 
ед., руб. ]],0)</f>
        <v>0</v>
      </c>
      <c r="K224" s="916">
        <f t="shared" si="3"/>
        <v>1</v>
      </c>
      <c r="M224" s="158">
        <v>220</v>
      </c>
      <c r="N224" s="158" t="s">
        <v>772</v>
      </c>
    </row>
    <row r="225" spans="2:14" s="501" customFormat="1" ht="20.100000000000001" customHeight="1">
      <c r="B225" s="159" t="s">
        <v>937</v>
      </c>
      <c r="C225" s="1039">
        <v>180</v>
      </c>
      <c r="D225" s="105" t="s">
        <v>1413</v>
      </c>
      <c r="E225" s="1047" t="s">
        <v>151</v>
      </c>
      <c r="F225" s="920">
        <v>76</v>
      </c>
      <c r="G225" s="1041">
        <f>IFERROR(_xlfn.CEILING.MATH(Таблица2[[#This Row],[Кол-во материала по расчету]],C225),"-")</f>
        <v>180</v>
      </c>
      <c r="H225" s="933"/>
      <c r="I225" s="921">
        <f>IFERROR(Таблица2[[#This Row],[Кол-во материала с учетом кратности упаковки*****]]*Таблица2[[#This Row],[Стоимость 
ед., руб. ]],0)</f>
        <v>0</v>
      </c>
      <c r="K225" s="916">
        <f t="shared" si="3"/>
        <v>1</v>
      </c>
      <c r="M225" s="158">
        <v>180</v>
      </c>
      <c r="N225" s="158" t="s">
        <v>937</v>
      </c>
    </row>
    <row r="226" spans="2:14" s="501" customFormat="1" ht="20.100000000000001" hidden="1" customHeight="1">
      <c r="B226" s="159" t="s">
        <v>938</v>
      </c>
      <c r="C226" s="1039">
        <v>140</v>
      </c>
      <c r="D226" s="105" t="s">
        <v>1414</v>
      </c>
      <c r="E226" s="1047" t="s">
        <v>151</v>
      </c>
      <c r="F226" s="920">
        <v>0</v>
      </c>
      <c r="G226" s="1041">
        <f>IFERROR(_xlfn.CEILING.MATH(Таблица2[[#This Row],[Кол-во материала по расчету]],C226),"-")</f>
        <v>0</v>
      </c>
      <c r="H226" s="933"/>
      <c r="I226" s="921">
        <f>IFERROR(Таблица2[[#This Row],[Кол-во материала с учетом кратности упаковки*****]]*Таблица2[[#This Row],[Стоимость 
ед., руб. ]],0)</f>
        <v>0</v>
      </c>
      <c r="K226" s="916">
        <f t="shared" si="3"/>
        <v>0</v>
      </c>
      <c r="M226" s="158">
        <v>140</v>
      </c>
      <c r="N226" s="158" t="s">
        <v>938</v>
      </c>
    </row>
    <row r="227" spans="2:14" s="501" customFormat="1" ht="20.100000000000001" hidden="1" customHeight="1">
      <c r="B227" s="159">
        <v>335517</v>
      </c>
      <c r="C227" s="1039">
        <v>1300</v>
      </c>
      <c r="D227" s="105" t="s">
        <v>1399</v>
      </c>
      <c r="E227" s="1047" t="s">
        <v>151</v>
      </c>
      <c r="F227" s="920">
        <v>0</v>
      </c>
      <c r="G227" s="1041">
        <f>IFERROR(_xlfn.CEILING.MATH(Таблица2[[#This Row],[Кол-во материала по расчету]],C227),"-")</f>
        <v>0</v>
      </c>
      <c r="H227" s="933"/>
      <c r="I227" s="921">
        <f>IFERROR(Таблица2[[#This Row],[Кол-во материала с учетом кратности упаковки*****]]*Таблица2[[#This Row],[Стоимость 
ед., руб. ]],0)</f>
        <v>0</v>
      </c>
      <c r="K227" s="916">
        <f t="shared" si="3"/>
        <v>0</v>
      </c>
      <c r="M227" s="158">
        <v>1300</v>
      </c>
      <c r="N227" s="158">
        <v>335517</v>
      </c>
    </row>
    <row r="228" spans="2:14" s="501" customFormat="1" ht="20.100000000000001" hidden="1" customHeight="1">
      <c r="B228" s="159">
        <v>291504</v>
      </c>
      <c r="C228" s="1039">
        <v>930</v>
      </c>
      <c r="D228" s="105" t="s">
        <v>1400</v>
      </c>
      <c r="E228" s="1047" t="s">
        <v>151</v>
      </c>
      <c r="F228" s="920">
        <v>0</v>
      </c>
      <c r="G228" s="1041">
        <f>IFERROR(_xlfn.CEILING.MATH(Таблица2[[#This Row],[Кол-во материала по расчету]],C228),"-")</f>
        <v>0</v>
      </c>
      <c r="H228" s="933"/>
      <c r="I228" s="921">
        <f>IFERROR(Таблица2[[#This Row],[Кол-во материала с учетом кратности упаковки*****]]*Таблица2[[#This Row],[Стоимость 
ед., руб. ]],0)</f>
        <v>0</v>
      </c>
      <c r="K228" s="916">
        <f t="shared" si="3"/>
        <v>0</v>
      </c>
      <c r="M228" s="158">
        <v>930</v>
      </c>
      <c r="N228" s="158">
        <v>291504</v>
      </c>
    </row>
    <row r="229" spans="2:14" s="501" customFormat="1" ht="20.100000000000001" customHeight="1">
      <c r="B229" s="159" t="s">
        <v>999</v>
      </c>
      <c r="C229" s="1039">
        <v>10</v>
      </c>
      <c r="D229" s="105" t="s">
        <v>1436</v>
      </c>
      <c r="E229" s="1047" t="s">
        <v>112</v>
      </c>
      <c r="F229" s="920">
        <v>64</v>
      </c>
      <c r="G229" s="1041">
        <f>IFERROR(_xlfn.CEILING.MATH(Таблица2[[#This Row],[Кол-во материала по расчету]],C229),"-")</f>
        <v>70</v>
      </c>
      <c r="H229" s="933"/>
      <c r="I229" s="921">
        <f>IFERROR(Таблица2[[#This Row],[Кол-во материала с учетом кратности упаковки*****]]*Таблица2[[#This Row],[Стоимость 
ед., руб. ]],0)</f>
        <v>0</v>
      </c>
      <c r="K229" s="916">
        <f t="shared" si="3"/>
        <v>1</v>
      </c>
      <c r="M229" s="158">
        <v>10</v>
      </c>
      <c r="N229" s="158" t="s">
        <v>999</v>
      </c>
    </row>
    <row r="230" spans="2:14" s="501" customFormat="1" ht="20.100000000000001" hidden="1" customHeight="1">
      <c r="B230" s="159">
        <v>13240</v>
      </c>
      <c r="C230" s="1039">
        <v>6.9119999999999999</v>
      </c>
      <c r="D230" s="105" t="s">
        <v>1371</v>
      </c>
      <c r="E230" s="913" t="s">
        <v>178</v>
      </c>
      <c r="F230" s="920">
        <v>0</v>
      </c>
      <c r="G230" s="1041">
        <f>IFERROR(_xlfn.CEILING.MATH(Таблица2[[#This Row],[Кол-во материала по расчету]],C230),"-")</f>
        <v>0</v>
      </c>
      <c r="H230" s="933"/>
      <c r="I230" s="921">
        <f>IFERROR(Таблица2[[#This Row],[Кол-во материала с учетом кратности упаковки*****]]*Таблица2[[#This Row],[Стоимость 
ед., руб. ]],0)</f>
        <v>0</v>
      </c>
      <c r="K230" s="916">
        <f t="shared" si="3"/>
        <v>0</v>
      </c>
      <c r="M230" s="158">
        <v>6.9119999999999999</v>
      </c>
      <c r="N230" s="158">
        <v>13240</v>
      </c>
    </row>
    <row r="231" spans="2:14" s="501" customFormat="1" ht="20.100000000000001" hidden="1" customHeight="1">
      <c r="B231" s="159">
        <v>422459</v>
      </c>
      <c r="C231" s="1039">
        <v>6.6528</v>
      </c>
      <c r="D231" s="105" t="s">
        <v>1372</v>
      </c>
      <c r="E231" s="913" t="s">
        <v>178</v>
      </c>
      <c r="F231" s="920">
        <v>0</v>
      </c>
      <c r="G231" s="1041">
        <f>IFERROR(_xlfn.CEILING.MATH(Таблица2[[#This Row],[Кол-во материала по расчету]],C231),"-")</f>
        <v>0</v>
      </c>
      <c r="H231" s="933"/>
      <c r="I231" s="921">
        <f>IFERROR(Таблица2[[#This Row],[Кол-во материала с учетом кратности упаковки*****]]*Таблица2[[#This Row],[Стоимость 
ед., руб. ]],0)</f>
        <v>0</v>
      </c>
      <c r="K231" s="916">
        <f t="shared" si="3"/>
        <v>0</v>
      </c>
      <c r="M231" s="158">
        <v>6.6528</v>
      </c>
      <c r="N231" s="158">
        <v>422459</v>
      </c>
    </row>
    <row r="232" spans="2:14" s="501" customFormat="1" ht="20.100000000000001" hidden="1" customHeight="1">
      <c r="B232" s="159">
        <v>393434</v>
      </c>
      <c r="C232" s="1039">
        <v>6.9119999999999999</v>
      </c>
      <c r="D232" s="105" t="s">
        <v>1373</v>
      </c>
      <c r="E232" s="913" t="s">
        <v>178</v>
      </c>
      <c r="F232" s="920">
        <v>0</v>
      </c>
      <c r="G232" s="1041">
        <f>IFERROR(_xlfn.CEILING.MATH(Таблица2[[#This Row],[Кол-во материала по расчету]],C232),"-")</f>
        <v>0</v>
      </c>
      <c r="H232" s="933"/>
      <c r="I232" s="921">
        <f>IFERROR(Таблица2[[#This Row],[Кол-во материала с учетом кратности упаковки*****]]*Таблица2[[#This Row],[Стоимость 
ед., руб. ]],0)</f>
        <v>0</v>
      </c>
      <c r="K232" s="916">
        <f t="shared" si="3"/>
        <v>0</v>
      </c>
      <c r="M232" s="158">
        <v>6.9119999999999999</v>
      </c>
      <c r="N232" s="158">
        <v>393434</v>
      </c>
    </row>
    <row r="233" spans="2:14" s="501" customFormat="1" ht="20.100000000000001" hidden="1" customHeight="1">
      <c r="B233" s="159">
        <v>365277</v>
      </c>
      <c r="C233" s="1039">
        <v>6.7392000000000003</v>
      </c>
      <c r="D233" s="105" t="s">
        <v>1374</v>
      </c>
      <c r="E233" s="913" t="s">
        <v>178</v>
      </c>
      <c r="F233" s="920">
        <v>0</v>
      </c>
      <c r="G233" s="1041">
        <f>IFERROR(_xlfn.CEILING.MATH(Таблица2[[#This Row],[Кол-во материала по расчету]],C233),"-")</f>
        <v>0</v>
      </c>
      <c r="H233" s="933"/>
      <c r="I233" s="921">
        <f>IFERROR(Таблица2[[#This Row],[Кол-во материала с учетом кратности упаковки*****]]*Таблица2[[#This Row],[Стоимость 
ед., руб. ]],0)</f>
        <v>0</v>
      </c>
      <c r="K233" s="916">
        <f t="shared" si="3"/>
        <v>0</v>
      </c>
      <c r="M233" s="158">
        <v>6.7392000000000003</v>
      </c>
      <c r="N233" s="158">
        <v>365277</v>
      </c>
    </row>
    <row r="234" spans="2:14" s="501" customFormat="1" ht="20.100000000000001" hidden="1" customHeight="1">
      <c r="B234" s="159">
        <v>368226</v>
      </c>
      <c r="C234" s="1039">
        <v>6.4512</v>
      </c>
      <c r="D234" s="105" t="s">
        <v>1375</v>
      </c>
      <c r="E234" s="913" t="s">
        <v>178</v>
      </c>
      <c r="F234" s="920">
        <v>0</v>
      </c>
      <c r="G234" s="1041">
        <f>IFERROR(_xlfn.CEILING.MATH(Таблица2[[#This Row],[Кол-во материала по расчету]],C234),"-")</f>
        <v>0</v>
      </c>
      <c r="H234" s="933"/>
      <c r="I234" s="921">
        <f>IFERROR(Таблица2[[#This Row],[Кол-во материала с учетом кратности упаковки*****]]*Таблица2[[#This Row],[Стоимость 
ед., руб. ]],0)</f>
        <v>0</v>
      </c>
      <c r="K234" s="916">
        <f t="shared" si="3"/>
        <v>0</v>
      </c>
      <c r="M234" s="158">
        <v>6.4512</v>
      </c>
      <c r="N234" s="158">
        <v>368226</v>
      </c>
    </row>
    <row r="235" spans="2:14" s="501" customFormat="1" ht="20.100000000000001" hidden="1" customHeight="1">
      <c r="B235" s="159">
        <v>23463</v>
      </c>
      <c r="C235" s="1039">
        <v>6.9119999999999999</v>
      </c>
      <c r="D235" s="105" t="s">
        <v>1376</v>
      </c>
      <c r="E235" s="913" t="s">
        <v>178</v>
      </c>
      <c r="F235" s="920">
        <v>0</v>
      </c>
      <c r="G235" s="1041">
        <f>IFERROR(_xlfn.CEILING.MATH(Таблица2[[#This Row],[Кол-во материала по расчету]],C235),"-")</f>
        <v>0</v>
      </c>
      <c r="H235" s="933"/>
      <c r="I235" s="921">
        <f>IFERROR(Таблица2[[#This Row],[Кол-во материала с учетом кратности упаковки*****]]*Таблица2[[#This Row],[Стоимость 
ед., руб. ]],0)</f>
        <v>0</v>
      </c>
      <c r="K235" s="916">
        <f t="shared" si="3"/>
        <v>0</v>
      </c>
      <c r="M235" s="158">
        <v>6.9119999999999999</v>
      </c>
      <c r="N235" s="158">
        <v>23463</v>
      </c>
    </row>
    <row r="236" spans="2:14" s="501" customFormat="1" ht="20.100000000000001" hidden="1" customHeight="1">
      <c r="B236" s="159">
        <v>210024</v>
      </c>
      <c r="C236" s="1039">
        <v>6.9119999999999999</v>
      </c>
      <c r="D236" s="105" t="s">
        <v>1377</v>
      </c>
      <c r="E236" s="913" t="s">
        <v>178</v>
      </c>
      <c r="F236" s="920">
        <v>0</v>
      </c>
      <c r="G236" s="1041">
        <f>IFERROR(_xlfn.CEILING.MATH(Таблица2[[#This Row],[Кол-во материала по расчету]],C236),"-")</f>
        <v>0</v>
      </c>
      <c r="H236" s="933"/>
      <c r="I236" s="921">
        <f>IFERROR(Таблица2[[#This Row],[Кол-во материала с учетом кратности упаковки*****]]*Таблица2[[#This Row],[Стоимость 
ед., руб. ]],0)</f>
        <v>0</v>
      </c>
      <c r="K236" s="916">
        <f t="shared" si="3"/>
        <v>0</v>
      </c>
      <c r="M236" s="158">
        <v>6.9119999999999999</v>
      </c>
      <c r="N236" s="158">
        <v>210024</v>
      </c>
    </row>
    <row r="237" spans="2:14" s="501" customFormat="1" ht="20.100000000000001" hidden="1" customHeight="1">
      <c r="B237" s="159">
        <v>210025</v>
      </c>
      <c r="C237" s="1039">
        <v>5.8752000000000004</v>
      </c>
      <c r="D237" s="105" t="s">
        <v>1378</v>
      </c>
      <c r="E237" s="913" t="s">
        <v>178</v>
      </c>
      <c r="F237" s="920">
        <v>0</v>
      </c>
      <c r="G237" s="1041">
        <f>IFERROR(_xlfn.CEILING.MATH(Таблица2[[#This Row],[Кол-во материала по расчету]],C237),"-")</f>
        <v>0</v>
      </c>
      <c r="H237" s="933"/>
      <c r="I237" s="921">
        <f>IFERROR(Таблица2[[#This Row],[Кол-во материала с учетом кратности упаковки*****]]*Таблица2[[#This Row],[Стоимость 
ед., руб. ]],0)</f>
        <v>0</v>
      </c>
      <c r="K237" s="916">
        <f t="shared" si="3"/>
        <v>0</v>
      </c>
      <c r="M237" s="158">
        <v>5.8752000000000004</v>
      </c>
      <c r="N237" s="158">
        <v>210025</v>
      </c>
    </row>
    <row r="238" spans="2:14" s="501" customFormat="1" ht="20.100000000000001" hidden="1" customHeight="1">
      <c r="B238" s="159">
        <v>210026</v>
      </c>
      <c r="C238" s="1039">
        <v>6.2207999999999997</v>
      </c>
      <c r="D238" s="105" t="s">
        <v>1379</v>
      </c>
      <c r="E238" s="913" t="s">
        <v>178</v>
      </c>
      <c r="F238" s="920">
        <v>0</v>
      </c>
      <c r="G238" s="1041">
        <f>IFERROR(_xlfn.CEILING.MATH(Таблица2[[#This Row],[Кол-во материала по расчету]],C238),"-")</f>
        <v>0</v>
      </c>
      <c r="H238" s="933"/>
      <c r="I238" s="921">
        <f>IFERROR(Таблица2[[#This Row],[Кол-во материала с учетом кратности упаковки*****]]*Таблица2[[#This Row],[Стоимость 
ед., руб. ]],0)</f>
        <v>0</v>
      </c>
      <c r="K238" s="916">
        <f t="shared" si="3"/>
        <v>0</v>
      </c>
      <c r="M238" s="158">
        <v>6.2207999999999997</v>
      </c>
      <c r="N238" s="158">
        <v>210026</v>
      </c>
    </row>
    <row r="239" spans="2:14" s="501" customFormat="1" ht="20.100000000000001" hidden="1" customHeight="1">
      <c r="B239" s="159">
        <v>210027</v>
      </c>
      <c r="C239" s="1039">
        <v>6.5663999999999998</v>
      </c>
      <c r="D239" s="105" t="s">
        <v>1380</v>
      </c>
      <c r="E239" s="913" t="s">
        <v>178</v>
      </c>
      <c r="F239" s="920">
        <v>0</v>
      </c>
      <c r="G239" s="1041">
        <f>IFERROR(_xlfn.CEILING.MATH(Таблица2[[#This Row],[Кол-во материала по расчету]],C239),"-")</f>
        <v>0</v>
      </c>
      <c r="H239" s="933"/>
      <c r="I239" s="921">
        <f>IFERROR(Таблица2[[#This Row],[Кол-во материала с учетом кратности упаковки*****]]*Таблица2[[#This Row],[Стоимость 
ед., руб. ]],0)</f>
        <v>0</v>
      </c>
      <c r="K239" s="916">
        <f t="shared" si="3"/>
        <v>0</v>
      </c>
      <c r="M239" s="158">
        <v>6.5663999999999998</v>
      </c>
      <c r="N239" s="158">
        <v>210027</v>
      </c>
    </row>
    <row r="240" spans="2:14" s="501" customFormat="1" ht="20.100000000000001" hidden="1" customHeight="1">
      <c r="B240" s="159">
        <v>304941</v>
      </c>
      <c r="C240" s="1039">
        <v>6.9119999999999999</v>
      </c>
      <c r="D240" s="105" t="s">
        <v>1381</v>
      </c>
      <c r="E240" s="913" t="s">
        <v>178</v>
      </c>
      <c r="F240" s="920">
        <v>0</v>
      </c>
      <c r="G240" s="1041">
        <f>IFERROR(_xlfn.CEILING.MATH(Таблица2[[#This Row],[Кол-во материала по расчету]],C240),"-")</f>
        <v>0</v>
      </c>
      <c r="H240" s="933"/>
      <c r="I240" s="921">
        <f>IFERROR(Таблица2[[#This Row],[Кол-во материала с учетом кратности упаковки*****]]*Таблица2[[#This Row],[Стоимость 
ед., руб. ]],0)</f>
        <v>0</v>
      </c>
      <c r="K240" s="916">
        <f t="shared" si="3"/>
        <v>0</v>
      </c>
      <c r="M240" s="158">
        <v>6.9119999999999999</v>
      </c>
      <c r="N240" s="158">
        <v>304941</v>
      </c>
    </row>
    <row r="241" spans="2:14" s="501" customFormat="1" ht="20.100000000000001" hidden="1" customHeight="1">
      <c r="B241" s="159">
        <v>407185</v>
      </c>
      <c r="C241" s="1039">
        <v>6.9119999999999999</v>
      </c>
      <c r="D241" s="105" t="s">
        <v>1366</v>
      </c>
      <c r="E241" s="913" t="s">
        <v>178</v>
      </c>
      <c r="F241" s="920">
        <v>0</v>
      </c>
      <c r="G241" s="1041">
        <f>IFERROR(_xlfn.CEILING.MATH(Таблица2[[#This Row],[Кол-во материала по расчету]],C241),"-")</f>
        <v>0</v>
      </c>
      <c r="H241" s="933"/>
      <c r="I241" s="921">
        <f>IFERROR(Таблица2[[#This Row],[Кол-во материала с учетом кратности упаковки*****]]*Таблица2[[#This Row],[Стоимость 
ед., руб. ]],0)</f>
        <v>0</v>
      </c>
      <c r="K241" s="916">
        <f t="shared" si="3"/>
        <v>0</v>
      </c>
      <c r="M241" s="158">
        <v>6.9119999999999999</v>
      </c>
      <c r="N241" s="158">
        <v>407185</v>
      </c>
    </row>
    <row r="242" spans="2:14" s="501" customFormat="1" ht="20.100000000000001" hidden="1" customHeight="1">
      <c r="B242" s="159">
        <v>13789</v>
      </c>
      <c r="C242" s="1039">
        <v>6.9119999999999999</v>
      </c>
      <c r="D242" s="105" t="s">
        <v>1367</v>
      </c>
      <c r="E242" s="913" t="s">
        <v>178</v>
      </c>
      <c r="F242" s="920">
        <v>0</v>
      </c>
      <c r="G242" s="1041">
        <f>IFERROR(_xlfn.CEILING.MATH(Таблица2[[#This Row],[Кол-во материала по расчету]],C242),"-")</f>
        <v>0</v>
      </c>
      <c r="H242" s="933"/>
      <c r="I242" s="921">
        <f>IFERROR(Таблица2[[#This Row],[Кол-во материала с учетом кратности упаковки*****]]*Таблица2[[#This Row],[Стоимость 
ед., руб. ]],0)</f>
        <v>0</v>
      </c>
      <c r="K242" s="916">
        <f t="shared" si="3"/>
        <v>0</v>
      </c>
      <c r="M242" s="158">
        <v>6.9119999999999999</v>
      </c>
      <c r="N242" s="158">
        <v>13789</v>
      </c>
    </row>
    <row r="243" spans="2:14" s="501" customFormat="1" ht="20.100000000000001" hidden="1" customHeight="1">
      <c r="B243" s="159">
        <v>20583</v>
      </c>
      <c r="C243" s="1039">
        <v>6.4512</v>
      </c>
      <c r="D243" s="105" t="s">
        <v>1368</v>
      </c>
      <c r="E243" s="913" t="s">
        <v>178</v>
      </c>
      <c r="F243" s="920">
        <v>0</v>
      </c>
      <c r="G243" s="1041">
        <f>IFERROR(_xlfn.CEILING.MATH(Таблица2[[#This Row],[Кол-во материала по расчету]],C243),"-")</f>
        <v>0</v>
      </c>
      <c r="H243" s="933"/>
      <c r="I243" s="921">
        <f>IFERROR(Таблица2[[#This Row],[Кол-во материала с учетом кратности упаковки*****]]*Таблица2[[#This Row],[Стоимость 
ед., руб. ]],0)</f>
        <v>0</v>
      </c>
      <c r="K243" s="916">
        <f t="shared" si="3"/>
        <v>0</v>
      </c>
      <c r="M243" s="158">
        <v>6.4512</v>
      </c>
      <c r="N243" s="158">
        <v>20583</v>
      </c>
    </row>
    <row r="244" spans="2:14" s="501" customFormat="1" ht="20.100000000000001" hidden="1" customHeight="1">
      <c r="B244" s="159">
        <v>20584</v>
      </c>
      <c r="C244" s="1039">
        <v>6.9119999999999999</v>
      </c>
      <c r="D244" s="105" t="s">
        <v>1369</v>
      </c>
      <c r="E244" s="913" t="s">
        <v>178</v>
      </c>
      <c r="F244" s="920">
        <v>0</v>
      </c>
      <c r="G244" s="1041">
        <f>IFERROR(_xlfn.CEILING.MATH(Таблица2[[#This Row],[Кол-во материала по расчету]],C244),"-")</f>
        <v>0</v>
      </c>
      <c r="H244" s="933"/>
      <c r="I244" s="921">
        <f>IFERROR(Таблица2[[#This Row],[Кол-во материала с учетом кратности упаковки*****]]*Таблица2[[#This Row],[Стоимость 
ед., руб. ]],0)</f>
        <v>0</v>
      </c>
      <c r="K244" s="916">
        <f t="shared" si="3"/>
        <v>0</v>
      </c>
      <c r="M244" s="158">
        <v>6.9119999999999999</v>
      </c>
      <c r="N244" s="158">
        <v>20584</v>
      </c>
    </row>
    <row r="245" spans="2:14" s="501" customFormat="1" ht="20.100000000000001" hidden="1" customHeight="1">
      <c r="B245" s="159">
        <v>53722</v>
      </c>
      <c r="C245" s="1039">
        <v>6.2207999999999997</v>
      </c>
      <c r="D245" s="105" t="s">
        <v>1370</v>
      </c>
      <c r="E245" s="913" t="s">
        <v>178</v>
      </c>
      <c r="F245" s="920">
        <v>0</v>
      </c>
      <c r="G245" s="1041">
        <f>IFERROR(_xlfn.CEILING.MATH(Таблица2[[#This Row],[Кол-во материала по расчету]],C245),"-")</f>
        <v>0</v>
      </c>
      <c r="H245" s="933"/>
      <c r="I245" s="921">
        <f>IFERROR(Таблица2[[#This Row],[Кол-во материала с учетом кратности упаковки*****]]*Таблица2[[#This Row],[Стоимость 
ед., руб. ]],0)</f>
        <v>0</v>
      </c>
      <c r="K245" s="916">
        <f t="shared" si="3"/>
        <v>0</v>
      </c>
      <c r="M245" s="158">
        <v>6.2207999999999997</v>
      </c>
      <c r="N245" s="158">
        <v>53722</v>
      </c>
    </row>
    <row r="246" spans="2:14" s="501" customFormat="1" ht="20.100000000000001" hidden="1" customHeight="1">
      <c r="B246" s="159">
        <v>12657</v>
      </c>
      <c r="C246" s="1039">
        <v>6.9119999999999999</v>
      </c>
      <c r="D246" s="105" t="s">
        <v>1387</v>
      </c>
      <c r="E246" s="913" t="s">
        <v>178</v>
      </c>
      <c r="F246" s="920">
        <v>0</v>
      </c>
      <c r="G246" s="1041">
        <f>IFERROR(_xlfn.CEILING.MATH(Таблица2[[#This Row],[Кол-во материала по расчету]],C246),"-")</f>
        <v>0</v>
      </c>
      <c r="H246" s="933"/>
      <c r="I246" s="921">
        <f>IFERROR(Таблица2[[#This Row],[Кол-во материала с учетом кратности упаковки*****]]*Таблица2[[#This Row],[Стоимость 
ед., руб. ]],0)</f>
        <v>0</v>
      </c>
      <c r="K246" s="916">
        <f t="shared" si="3"/>
        <v>0</v>
      </c>
      <c r="M246" s="158">
        <v>6.9119999999999999</v>
      </c>
      <c r="N246" s="158">
        <v>12657</v>
      </c>
    </row>
    <row r="247" spans="2:14" s="501" customFormat="1" ht="20.100000000000001" hidden="1" customHeight="1">
      <c r="B247" s="159">
        <v>39089</v>
      </c>
      <c r="C247" s="1039">
        <v>6.6528</v>
      </c>
      <c r="D247" s="105" t="s">
        <v>1388</v>
      </c>
      <c r="E247" s="913" t="s">
        <v>178</v>
      </c>
      <c r="F247" s="920">
        <v>0</v>
      </c>
      <c r="G247" s="1041">
        <f>IFERROR(_xlfn.CEILING.MATH(Таблица2[[#This Row],[Кол-во материала по расчету]],C247),"-")</f>
        <v>0</v>
      </c>
      <c r="H247" s="933"/>
      <c r="I247" s="921">
        <f>IFERROR(Таблица2[[#This Row],[Кол-во материала с учетом кратности упаковки*****]]*Таблица2[[#This Row],[Стоимость 
ед., руб. ]],0)</f>
        <v>0</v>
      </c>
      <c r="K247" s="916">
        <f t="shared" si="3"/>
        <v>0</v>
      </c>
      <c r="M247" s="158">
        <v>6.6528</v>
      </c>
      <c r="N247" s="158">
        <v>39089</v>
      </c>
    </row>
    <row r="248" spans="2:14" s="501" customFormat="1" ht="20.100000000000001" hidden="1" customHeight="1">
      <c r="B248" s="159">
        <v>368312</v>
      </c>
      <c r="C248" s="1039">
        <v>6.9119999999999999</v>
      </c>
      <c r="D248" s="105" t="s">
        <v>1389</v>
      </c>
      <c r="E248" s="913" t="s">
        <v>178</v>
      </c>
      <c r="F248" s="920">
        <v>0</v>
      </c>
      <c r="G248" s="1041">
        <f>IFERROR(_xlfn.CEILING.MATH(Таблица2[[#This Row],[Кол-во материала по расчету]],C248),"-")</f>
        <v>0</v>
      </c>
      <c r="H248" s="933"/>
      <c r="I248" s="921">
        <f>IFERROR(Таблица2[[#This Row],[Кол-во материала с учетом кратности упаковки*****]]*Таблица2[[#This Row],[Стоимость 
ед., руб. ]],0)</f>
        <v>0</v>
      </c>
      <c r="K248" s="916">
        <f t="shared" si="3"/>
        <v>0</v>
      </c>
      <c r="M248" s="158">
        <v>6.9119999999999999</v>
      </c>
      <c r="N248" s="158">
        <v>368312</v>
      </c>
    </row>
    <row r="249" spans="2:14" s="501" customFormat="1" ht="20.100000000000001" hidden="1" customHeight="1">
      <c r="B249" s="159">
        <v>12662</v>
      </c>
      <c r="C249" s="1039">
        <v>6.7392000000000003</v>
      </c>
      <c r="D249" s="105" t="s">
        <v>1390</v>
      </c>
      <c r="E249" s="913" t="s">
        <v>178</v>
      </c>
      <c r="F249" s="920">
        <v>0</v>
      </c>
      <c r="G249" s="1041">
        <f>IFERROR(_xlfn.CEILING.MATH(Таблица2[[#This Row],[Кол-во материала по расчету]],C249),"-")</f>
        <v>0</v>
      </c>
      <c r="H249" s="933"/>
      <c r="I249" s="921">
        <f>IFERROR(Таблица2[[#This Row],[Кол-во материала с учетом кратности упаковки*****]]*Таблица2[[#This Row],[Стоимость 
ед., руб. ]],0)</f>
        <v>0</v>
      </c>
      <c r="K249" s="916">
        <f t="shared" si="3"/>
        <v>0</v>
      </c>
      <c r="M249" s="158">
        <v>6.7392000000000003</v>
      </c>
      <c r="N249" s="158">
        <v>12662</v>
      </c>
    </row>
    <row r="250" spans="2:14" s="501" customFormat="1" ht="20.100000000000001" hidden="1" customHeight="1">
      <c r="B250" s="159">
        <v>23290</v>
      </c>
      <c r="C250" s="1039">
        <v>6.4512</v>
      </c>
      <c r="D250" s="105" t="s">
        <v>1391</v>
      </c>
      <c r="E250" s="913" t="s">
        <v>178</v>
      </c>
      <c r="F250" s="920">
        <v>0</v>
      </c>
      <c r="G250" s="1041">
        <f>IFERROR(_xlfn.CEILING.MATH(Таблица2[[#This Row],[Кол-во материала по расчету]],C250),"-")</f>
        <v>0</v>
      </c>
      <c r="H250" s="933"/>
      <c r="I250" s="921">
        <f>IFERROR(Таблица2[[#This Row],[Кол-во материала с учетом кратности упаковки*****]]*Таблица2[[#This Row],[Стоимость 
ед., руб. ]],0)</f>
        <v>0</v>
      </c>
      <c r="K250" s="916">
        <f t="shared" si="3"/>
        <v>0</v>
      </c>
      <c r="M250" s="158">
        <v>6.4512</v>
      </c>
      <c r="N250" s="158">
        <v>23290</v>
      </c>
    </row>
    <row r="251" spans="2:14" s="501" customFormat="1" ht="20.100000000000001" hidden="1" customHeight="1">
      <c r="B251" s="159">
        <v>14364</v>
      </c>
      <c r="C251" s="1039">
        <v>6.9119999999999999</v>
      </c>
      <c r="D251" s="105" t="s">
        <v>1392</v>
      </c>
      <c r="E251" s="913" t="s">
        <v>178</v>
      </c>
      <c r="F251" s="920">
        <v>0</v>
      </c>
      <c r="G251" s="1041">
        <f>IFERROR(_xlfn.CEILING.MATH(Таблица2[[#This Row],[Кол-во материала по расчету]],C251),"-")</f>
        <v>0</v>
      </c>
      <c r="H251" s="933"/>
      <c r="I251" s="921">
        <f>IFERROR(Таблица2[[#This Row],[Кол-во материала с учетом кратности упаковки*****]]*Таблица2[[#This Row],[Стоимость 
ед., руб. ]],0)</f>
        <v>0</v>
      </c>
      <c r="K251" s="916">
        <f t="shared" si="3"/>
        <v>0</v>
      </c>
      <c r="M251" s="158">
        <v>6.9119999999999999</v>
      </c>
      <c r="N251" s="158">
        <v>14364</v>
      </c>
    </row>
    <row r="252" spans="2:14" s="501" customFormat="1" ht="20.100000000000001" hidden="1" customHeight="1">
      <c r="B252" s="159">
        <v>210133</v>
      </c>
      <c r="C252" s="1039">
        <v>6.4512</v>
      </c>
      <c r="D252" s="105" t="s">
        <v>1393</v>
      </c>
      <c r="E252" s="913" t="s">
        <v>178</v>
      </c>
      <c r="F252" s="920">
        <v>0</v>
      </c>
      <c r="G252" s="1041">
        <f>IFERROR(_xlfn.CEILING.MATH(Таблица2[[#This Row],[Кол-во материала по расчету]],C252),"-")</f>
        <v>0</v>
      </c>
      <c r="H252" s="933"/>
      <c r="I252" s="921">
        <f>IFERROR(Таблица2[[#This Row],[Кол-во материала с учетом кратности упаковки*****]]*Таблица2[[#This Row],[Стоимость 
ед., руб. ]],0)</f>
        <v>0</v>
      </c>
      <c r="K252" s="916">
        <f t="shared" si="3"/>
        <v>0</v>
      </c>
      <c r="M252" s="158">
        <v>6.4512</v>
      </c>
      <c r="N252" s="158">
        <v>210133</v>
      </c>
    </row>
    <row r="253" spans="2:14" s="501" customFormat="1" ht="20.100000000000001" hidden="1" customHeight="1">
      <c r="B253" s="159">
        <v>210134</v>
      </c>
      <c r="C253" s="1039">
        <v>6.8544</v>
      </c>
      <c r="D253" s="105" t="s">
        <v>1394</v>
      </c>
      <c r="E253" s="913" t="s">
        <v>178</v>
      </c>
      <c r="F253" s="920">
        <v>0</v>
      </c>
      <c r="G253" s="1041">
        <f>IFERROR(_xlfn.CEILING.MATH(Таблица2[[#This Row],[Кол-во материала по расчету]],C253),"-")</f>
        <v>0</v>
      </c>
      <c r="H253" s="933"/>
      <c r="I253" s="921">
        <f>IFERROR(Таблица2[[#This Row],[Кол-во материала с учетом кратности упаковки*****]]*Таблица2[[#This Row],[Стоимость 
ед., руб. ]],0)</f>
        <v>0</v>
      </c>
      <c r="K253" s="916">
        <f t="shared" si="3"/>
        <v>0</v>
      </c>
      <c r="M253" s="158">
        <v>6.8544</v>
      </c>
      <c r="N253" s="158">
        <v>210134</v>
      </c>
    </row>
    <row r="254" spans="2:14" s="501" customFormat="1" ht="20.100000000000001" hidden="1" customHeight="1">
      <c r="B254" s="159">
        <v>210135</v>
      </c>
      <c r="C254" s="1039">
        <v>6.2207999999999997</v>
      </c>
      <c r="D254" s="105" t="s">
        <v>1395</v>
      </c>
      <c r="E254" s="913" t="s">
        <v>178</v>
      </c>
      <c r="F254" s="920">
        <v>0</v>
      </c>
      <c r="G254" s="1041">
        <f>IFERROR(_xlfn.CEILING.MATH(Таблица2[[#This Row],[Кол-во материала по расчету]],C254),"-")</f>
        <v>0</v>
      </c>
      <c r="H254" s="933"/>
      <c r="I254" s="921">
        <f>IFERROR(Таблица2[[#This Row],[Кол-во материала с учетом кратности упаковки*****]]*Таблица2[[#This Row],[Стоимость 
ед., руб. ]],0)</f>
        <v>0</v>
      </c>
      <c r="K254" s="916">
        <f t="shared" si="3"/>
        <v>0</v>
      </c>
      <c r="M254" s="158">
        <v>6.2207999999999997</v>
      </c>
      <c r="N254" s="158">
        <v>210135</v>
      </c>
    </row>
    <row r="255" spans="2:14" s="501" customFormat="1" ht="20.100000000000001" hidden="1" customHeight="1">
      <c r="B255" s="159">
        <v>210136</v>
      </c>
      <c r="C255" s="1039">
        <v>6.5663999999999998</v>
      </c>
      <c r="D255" s="105" t="s">
        <v>1396</v>
      </c>
      <c r="E255" s="913" t="s">
        <v>178</v>
      </c>
      <c r="F255" s="920">
        <v>0</v>
      </c>
      <c r="G255" s="1041">
        <f>IFERROR(_xlfn.CEILING.MATH(Таблица2[[#This Row],[Кол-во материала по расчету]],C255),"-")</f>
        <v>0</v>
      </c>
      <c r="H255" s="933"/>
      <c r="I255" s="921">
        <f>IFERROR(Таблица2[[#This Row],[Кол-во материала с учетом кратности упаковки*****]]*Таблица2[[#This Row],[Стоимость 
ед., руб. ]],0)</f>
        <v>0</v>
      </c>
      <c r="K255" s="916">
        <f t="shared" si="3"/>
        <v>0</v>
      </c>
      <c r="M255" s="158">
        <v>6.5663999999999998</v>
      </c>
      <c r="N255" s="158">
        <v>210136</v>
      </c>
    </row>
    <row r="256" spans="2:14" s="501" customFormat="1" ht="20.100000000000001" hidden="1" customHeight="1">
      <c r="B256" s="159">
        <v>90743</v>
      </c>
      <c r="C256" s="1039">
        <v>6.9119999999999999</v>
      </c>
      <c r="D256" s="105" t="s">
        <v>1397</v>
      </c>
      <c r="E256" s="913" t="s">
        <v>178</v>
      </c>
      <c r="F256" s="920">
        <v>0</v>
      </c>
      <c r="G256" s="1041">
        <f>IFERROR(_xlfn.CEILING.MATH(Таблица2[[#This Row],[Кол-во материала по расчету]],C256),"-")</f>
        <v>0</v>
      </c>
      <c r="H256" s="933"/>
      <c r="I256" s="921">
        <f>IFERROR(Таблица2[[#This Row],[Кол-во материала с учетом кратности упаковки*****]]*Таблица2[[#This Row],[Стоимость 
ед., руб. ]],0)</f>
        <v>0</v>
      </c>
      <c r="K256" s="916">
        <f t="shared" si="3"/>
        <v>0</v>
      </c>
      <c r="M256" s="158">
        <v>6.9119999999999999</v>
      </c>
      <c r="N256" s="158">
        <v>90743</v>
      </c>
    </row>
    <row r="257" spans="2:14" s="501" customFormat="1" ht="20.100000000000001" hidden="1" customHeight="1">
      <c r="B257" s="159">
        <v>12658</v>
      </c>
      <c r="C257" s="1039">
        <v>6.9119999999999999</v>
      </c>
      <c r="D257" s="105" t="s">
        <v>1382</v>
      </c>
      <c r="E257" s="913" t="s">
        <v>178</v>
      </c>
      <c r="F257" s="920">
        <v>0</v>
      </c>
      <c r="G257" s="1041">
        <f>IFERROR(_xlfn.CEILING.MATH(Таблица2[[#This Row],[Кол-во материала по расчету]],C257),"-")</f>
        <v>0</v>
      </c>
      <c r="H257" s="933"/>
      <c r="I257" s="921">
        <f>IFERROR(Таблица2[[#This Row],[Кол-во материала с учетом кратности упаковки*****]]*Таблица2[[#This Row],[Стоимость 
ед., руб. ]],0)</f>
        <v>0</v>
      </c>
      <c r="K257" s="916">
        <f t="shared" si="3"/>
        <v>0</v>
      </c>
      <c r="M257" s="158">
        <v>6.9119999999999999</v>
      </c>
      <c r="N257" s="158">
        <v>12658</v>
      </c>
    </row>
    <row r="258" spans="2:14" s="501" customFormat="1" ht="20.100000000000001" hidden="1" customHeight="1">
      <c r="B258" s="159">
        <v>12659</v>
      </c>
      <c r="C258" s="1039">
        <v>6.9119999999999999</v>
      </c>
      <c r="D258" s="105" t="s">
        <v>1383</v>
      </c>
      <c r="E258" s="913" t="s">
        <v>178</v>
      </c>
      <c r="F258" s="920">
        <v>0</v>
      </c>
      <c r="G258" s="1041">
        <f>IFERROR(_xlfn.CEILING.MATH(Таблица2[[#This Row],[Кол-во материала по расчету]],C258),"-")</f>
        <v>0</v>
      </c>
      <c r="H258" s="933"/>
      <c r="I258" s="921">
        <f>IFERROR(Таблица2[[#This Row],[Кол-во материала с учетом кратности упаковки*****]]*Таблица2[[#This Row],[Стоимость 
ед., руб. ]],0)</f>
        <v>0</v>
      </c>
      <c r="K258" s="916">
        <f t="shared" si="3"/>
        <v>0</v>
      </c>
      <c r="M258" s="158">
        <v>6.9119999999999999</v>
      </c>
      <c r="N258" s="158">
        <v>12659</v>
      </c>
    </row>
    <row r="259" spans="2:14" s="501" customFormat="1" ht="20.100000000000001" hidden="1" customHeight="1">
      <c r="B259" s="159">
        <v>12660</v>
      </c>
      <c r="C259" s="1039">
        <v>6.4512</v>
      </c>
      <c r="D259" s="105" t="s">
        <v>1384</v>
      </c>
      <c r="E259" s="913" t="s">
        <v>178</v>
      </c>
      <c r="F259" s="920">
        <v>0</v>
      </c>
      <c r="G259" s="1041">
        <f>IFERROR(_xlfn.CEILING.MATH(Таблица2[[#This Row],[Кол-во материала по расчету]],C259),"-")</f>
        <v>0</v>
      </c>
      <c r="H259" s="933"/>
      <c r="I259" s="921">
        <f>IFERROR(Таблица2[[#This Row],[Кол-во материала с учетом кратности упаковки*****]]*Таблица2[[#This Row],[Стоимость 
ед., руб. ]],0)</f>
        <v>0</v>
      </c>
      <c r="K259" s="916">
        <f t="shared" si="3"/>
        <v>0</v>
      </c>
      <c r="M259" s="158">
        <v>6.4512</v>
      </c>
      <c r="N259" s="158">
        <v>12660</v>
      </c>
    </row>
    <row r="260" spans="2:14" s="501" customFormat="1" ht="20.100000000000001" hidden="1" customHeight="1">
      <c r="B260" s="159">
        <v>16688</v>
      </c>
      <c r="C260" s="1039">
        <v>6.9119999999999999</v>
      </c>
      <c r="D260" s="105" t="s">
        <v>1385</v>
      </c>
      <c r="E260" s="913" t="s">
        <v>178</v>
      </c>
      <c r="F260" s="920">
        <v>0</v>
      </c>
      <c r="G260" s="1041">
        <f>IFERROR(_xlfn.CEILING.MATH(Таблица2[[#This Row],[Кол-во материала по расчету]],C260),"-")</f>
        <v>0</v>
      </c>
      <c r="H260" s="933"/>
      <c r="I260" s="921">
        <f>IFERROR(Таблица2[[#This Row],[Кол-во материала с учетом кратности упаковки*****]]*Таблица2[[#This Row],[Стоимость 
ед., руб. ]],0)</f>
        <v>0</v>
      </c>
      <c r="K260" s="916">
        <f t="shared" si="3"/>
        <v>0</v>
      </c>
      <c r="M260" s="158">
        <v>6.9119999999999999</v>
      </c>
      <c r="N260" s="158">
        <v>16688</v>
      </c>
    </row>
    <row r="261" spans="2:14" s="501" customFormat="1" ht="20.100000000000001" hidden="1" customHeight="1">
      <c r="B261" s="159">
        <v>368308</v>
      </c>
      <c r="C261" s="1039">
        <v>6.48</v>
      </c>
      <c r="D261" s="105" t="s">
        <v>1386</v>
      </c>
      <c r="E261" s="913" t="s">
        <v>178</v>
      </c>
      <c r="F261" s="920">
        <v>0</v>
      </c>
      <c r="G261" s="1041">
        <f>IFERROR(_xlfn.CEILING.MATH(Таблица2[[#This Row],[Кол-во материала по расчету]],C261),"-")</f>
        <v>0</v>
      </c>
      <c r="H261" s="933"/>
      <c r="I261" s="921">
        <f>IFERROR(Таблица2[[#This Row],[Кол-во материала с учетом кратности упаковки*****]]*Таблица2[[#This Row],[Стоимость 
ед., руб. ]],0)</f>
        <v>0</v>
      </c>
      <c r="K261" s="916">
        <f t="shared" si="3"/>
        <v>0</v>
      </c>
      <c r="M261" s="158">
        <v>6.48</v>
      </c>
      <c r="N261" s="158">
        <v>368308</v>
      </c>
    </row>
    <row r="262" spans="2:14" s="501" customFormat="1" ht="20.100000000000001" customHeight="1">
      <c r="B262" s="159" t="s">
        <v>995</v>
      </c>
      <c r="C262" s="1039">
        <v>6.9119999999999999</v>
      </c>
      <c r="D262" s="105" t="s">
        <v>1355</v>
      </c>
      <c r="E262" s="913" t="s">
        <v>178</v>
      </c>
      <c r="F262" s="920">
        <v>5.8</v>
      </c>
      <c r="G262" s="1041">
        <f>IFERROR(_xlfn.CEILING.MATH(Таблица2[[#This Row],[Кол-во материала по расчету]],C262),"-")</f>
        <v>6.9119999999999999</v>
      </c>
      <c r="H262" s="933"/>
      <c r="I262" s="921">
        <f>IFERROR(Таблица2[[#This Row],[Кол-во материала с учетом кратности упаковки*****]]*Таблица2[[#This Row],[Стоимость 
ед., руб. ]],0)</f>
        <v>0</v>
      </c>
      <c r="K262" s="916">
        <f t="shared" si="3"/>
        <v>1</v>
      </c>
      <c r="M262" s="158">
        <v>6.9119999999999999</v>
      </c>
      <c r="N262" s="158" t="s">
        <v>995</v>
      </c>
    </row>
    <row r="263" spans="2:14" s="501" customFormat="1" ht="20.100000000000001" hidden="1" customHeight="1">
      <c r="B263" s="159">
        <v>36541</v>
      </c>
      <c r="C263" s="1039">
        <v>6.3360000000000003</v>
      </c>
      <c r="D263" s="105" t="s">
        <v>1356</v>
      </c>
      <c r="E263" s="913" t="s">
        <v>178</v>
      </c>
      <c r="F263" s="920">
        <v>0</v>
      </c>
      <c r="G263" s="1041">
        <f>IFERROR(_xlfn.CEILING.MATH(Таблица2[[#This Row],[Кол-во материала по расчету]],C263),"-")</f>
        <v>0</v>
      </c>
      <c r="H263" s="933"/>
      <c r="I263" s="921">
        <f>IFERROR(Таблица2[[#This Row],[Кол-во материала с учетом кратности упаковки*****]]*Таблица2[[#This Row],[Стоимость 
ед., руб. ]],0)</f>
        <v>0</v>
      </c>
      <c r="K263" s="916">
        <f t="shared" si="3"/>
        <v>0</v>
      </c>
      <c r="M263" s="158">
        <v>6.3360000000000003</v>
      </c>
      <c r="N263" s="158">
        <v>36541</v>
      </c>
    </row>
    <row r="264" spans="2:14" s="501" customFormat="1" ht="20.100000000000001" hidden="1" customHeight="1">
      <c r="B264" s="159">
        <v>37585</v>
      </c>
      <c r="C264" s="1039">
        <v>6.9119999999999999</v>
      </c>
      <c r="D264" s="105" t="s">
        <v>1357</v>
      </c>
      <c r="E264" s="913" t="s">
        <v>178</v>
      </c>
      <c r="F264" s="920">
        <v>0</v>
      </c>
      <c r="G264" s="1041">
        <f>IFERROR(_xlfn.CEILING.MATH(Таблица2[[#This Row],[Кол-во материала по расчету]],C264),"-")</f>
        <v>0</v>
      </c>
      <c r="H264" s="933"/>
      <c r="I264" s="921">
        <f>IFERROR(Таблица2[[#This Row],[Кол-во материала с учетом кратности упаковки*****]]*Таблица2[[#This Row],[Стоимость 
ед., руб. ]],0)</f>
        <v>0</v>
      </c>
      <c r="K264" s="916">
        <f t="shared" si="3"/>
        <v>0</v>
      </c>
      <c r="M264" s="158">
        <v>6.9119999999999999</v>
      </c>
      <c r="N264" s="158">
        <v>37585</v>
      </c>
    </row>
    <row r="265" spans="2:14" s="501" customFormat="1" ht="20.100000000000001" hidden="1" customHeight="1">
      <c r="B265" s="159">
        <v>377725</v>
      </c>
      <c r="C265" s="1039">
        <v>6.7392000000000003</v>
      </c>
      <c r="D265" s="105" t="s">
        <v>1358</v>
      </c>
      <c r="E265" s="913" t="s">
        <v>178</v>
      </c>
      <c r="F265" s="920">
        <v>0</v>
      </c>
      <c r="G265" s="1041">
        <f>IFERROR(_xlfn.CEILING.MATH(Таблица2[[#This Row],[Кол-во материала по расчету]],C265),"-")</f>
        <v>0</v>
      </c>
      <c r="H265" s="933"/>
      <c r="I265" s="921">
        <f>IFERROR(Таблица2[[#This Row],[Кол-во материала с учетом кратности упаковки*****]]*Таблица2[[#This Row],[Стоимость 
ед., руб. ]],0)</f>
        <v>0</v>
      </c>
      <c r="K265" s="916">
        <f t="shared" si="3"/>
        <v>0</v>
      </c>
      <c r="M265" s="158">
        <v>6.7392000000000003</v>
      </c>
      <c r="N265" s="158">
        <v>377725</v>
      </c>
    </row>
    <row r="266" spans="2:14" s="501" customFormat="1" ht="20.100000000000001" hidden="1" customHeight="1">
      <c r="B266" s="159">
        <v>210246</v>
      </c>
      <c r="C266" s="1039">
        <v>6.4512</v>
      </c>
      <c r="D266" s="105" t="s">
        <v>1359</v>
      </c>
      <c r="E266" s="913" t="s">
        <v>178</v>
      </c>
      <c r="F266" s="920">
        <v>0</v>
      </c>
      <c r="G266" s="1041">
        <f>IFERROR(_xlfn.CEILING.MATH(Таблица2[[#This Row],[Кол-во материала по расчету]],C266),"-")</f>
        <v>0</v>
      </c>
      <c r="H266" s="933"/>
      <c r="I266" s="921">
        <f>IFERROR(Таблица2[[#This Row],[Кол-во материала с учетом кратности упаковки*****]]*Таблица2[[#This Row],[Стоимость 
ед., руб. ]],0)</f>
        <v>0</v>
      </c>
      <c r="K266" s="916">
        <f t="shared" ref="K266:K329" si="4">IF(F266=0,0,1)</f>
        <v>0</v>
      </c>
      <c r="M266" s="158">
        <v>6.4512</v>
      </c>
      <c r="N266" s="158">
        <v>210246</v>
      </c>
    </row>
    <row r="267" spans="2:14" s="501" customFormat="1" ht="20.100000000000001" hidden="1" customHeight="1">
      <c r="B267" s="159">
        <v>28928</v>
      </c>
      <c r="C267" s="1039">
        <v>6.9119999999999999</v>
      </c>
      <c r="D267" s="105" t="s">
        <v>1360</v>
      </c>
      <c r="E267" s="913" t="s">
        <v>178</v>
      </c>
      <c r="F267" s="920">
        <v>0</v>
      </c>
      <c r="G267" s="1041">
        <f>IFERROR(_xlfn.CEILING.MATH(Таблица2[[#This Row],[Кол-во материала по расчету]],C267),"-")</f>
        <v>0</v>
      </c>
      <c r="H267" s="933"/>
      <c r="I267" s="921">
        <f>IFERROR(Таблица2[[#This Row],[Кол-во материала с учетом кратности упаковки*****]]*Таблица2[[#This Row],[Стоимость 
ед., руб. ]],0)</f>
        <v>0</v>
      </c>
      <c r="K267" s="916">
        <f t="shared" si="4"/>
        <v>0</v>
      </c>
      <c r="M267" s="158">
        <v>6.9119999999999999</v>
      </c>
      <c r="N267" s="158">
        <v>28928</v>
      </c>
    </row>
    <row r="268" spans="2:14" s="501" customFormat="1" ht="20.100000000000001" hidden="1" customHeight="1">
      <c r="B268" s="159">
        <v>210247</v>
      </c>
      <c r="C268" s="1039">
        <v>6.9119999999999999</v>
      </c>
      <c r="D268" s="105" t="s">
        <v>1361</v>
      </c>
      <c r="E268" s="913" t="s">
        <v>178</v>
      </c>
      <c r="F268" s="920">
        <v>0</v>
      </c>
      <c r="G268" s="1041">
        <f>IFERROR(_xlfn.CEILING.MATH(Таблица2[[#This Row],[Кол-во материала по расчету]],C268),"-")</f>
        <v>0</v>
      </c>
      <c r="H268" s="933"/>
      <c r="I268" s="921">
        <f>IFERROR(Таблица2[[#This Row],[Кол-во материала с учетом кратности упаковки*****]]*Таблица2[[#This Row],[Стоимость 
ед., руб. ]],0)</f>
        <v>0</v>
      </c>
      <c r="K268" s="916">
        <f t="shared" si="4"/>
        <v>0</v>
      </c>
      <c r="M268" s="158">
        <v>6.9119999999999999</v>
      </c>
      <c r="N268" s="158">
        <v>210247</v>
      </c>
    </row>
    <row r="269" spans="2:14" s="501" customFormat="1" ht="20.100000000000001" hidden="1" customHeight="1">
      <c r="B269" s="159">
        <v>210248</v>
      </c>
      <c r="C269" s="1039">
        <v>5.8752000000000004</v>
      </c>
      <c r="D269" s="105" t="s">
        <v>1362</v>
      </c>
      <c r="E269" s="913" t="s">
        <v>178</v>
      </c>
      <c r="F269" s="920">
        <v>0</v>
      </c>
      <c r="G269" s="1041">
        <f>IFERROR(_xlfn.CEILING.MATH(Таблица2[[#This Row],[Кол-во материала по расчету]],C269),"-")</f>
        <v>0</v>
      </c>
      <c r="H269" s="933"/>
      <c r="I269" s="921">
        <f>IFERROR(Таблица2[[#This Row],[Кол-во материала с учетом кратности упаковки*****]]*Таблица2[[#This Row],[Стоимость 
ед., руб. ]],0)</f>
        <v>0</v>
      </c>
      <c r="K269" s="916">
        <f t="shared" si="4"/>
        <v>0</v>
      </c>
      <c r="M269" s="158">
        <v>5.8752000000000004</v>
      </c>
      <c r="N269" s="158">
        <v>210248</v>
      </c>
    </row>
    <row r="270" spans="2:14" s="501" customFormat="1" ht="20.100000000000001" hidden="1" customHeight="1">
      <c r="B270" s="159">
        <v>210249</v>
      </c>
      <c r="C270" s="1039">
        <v>6.2207999999999997</v>
      </c>
      <c r="D270" s="105" t="s">
        <v>1363</v>
      </c>
      <c r="E270" s="913" t="s">
        <v>178</v>
      </c>
      <c r="F270" s="920">
        <v>0</v>
      </c>
      <c r="G270" s="1041">
        <f>IFERROR(_xlfn.CEILING.MATH(Таблица2[[#This Row],[Кол-во материала по расчету]],C270),"-")</f>
        <v>0</v>
      </c>
      <c r="H270" s="933"/>
      <c r="I270" s="921">
        <f>IFERROR(Таблица2[[#This Row],[Кол-во материала с учетом кратности упаковки*****]]*Таблица2[[#This Row],[Стоимость 
ед., руб. ]],0)</f>
        <v>0</v>
      </c>
      <c r="K270" s="916">
        <f t="shared" si="4"/>
        <v>0</v>
      </c>
      <c r="M270" s="158">
        <v>6.2207999999999997</v>
      </c>
      <c r="N270" s="158">
        <v>210249</v>
      </c>
    </row>
    <row r="271" spans="2:14" s="501" customFormat="1" ht="20.100000000000001" hidden="1" customHeight="1">
      <c r="B271" s="159">
        <v>210250</v>
      </c>
      <c r="C271" s="1039">
        <v>6.5663999999999998</v>
      </c>
      <c r="D271" s="105" t="s">
        <v>1364</v>
      </c>
      <c r="E271" s="913" t="s">
        <v>178</v>
      </c>
      <c r="F271" s="920">
        <v>0</v>
      </c>
      <c r="G271" s="1041">
        <f>IFERROR(_xlfn.CEILING.MATH(Таблица2[[#This Row],[Кол-во материала по расчету]],C271),"-")</f>
        <v>0</v>
      </c>
      <c r="H271" s="933"/>
      <c r="I271" s="921">
        <f>IFERROR(Таблица2[[#This Row],[Кол-во материала с учетом кратности упаковки*****]]*Таблица2[[#This Row],[Стоимость 
ед., руб. ]],0)</f>
        <v>0</v>
      </c>
      <c r="K271" s="916">
        <f t="shared" si="4"/>
        <v>0</v>
      </c>
      <c r="M271" s="158">
        <v>6.5663999999999998</v>
      </c>
      <c r="N271" s="158">
        <v>210250</v>
      </c>
    </row>
    <row r="272" spans="2:14" s="501" customFormat="1" ht="20.100000000000001" hidden="1" customHeight="1">
      <c r="B272" s="159">
        <v>73992</v>
      </c>
      <c r="C272" s="1039">
        <v>6.9119999999999999</v>
      </c>
      <c r="D272" s="105" t="s">
        <v>1365</v>
      </c>
      <c r="E272" s="913" t="s">
        <v>178</v>
      </c>
      <c r="F272" s="920">
        <v>0</v>
      </c>
      <c r="G272" s="1041">
        <f>IFERROR(_xlfn.CEILING.MATH(Таблица2[[#This Row],[Кол-во материала по расчету]],C272),"-")</f>
        <v>0</v>
      </c>
      <c r="H272" s="933"/>
      <c r="I272" s="921">
        <f>IFERROR(Таблица2[[#This Row],[Кол-во материала с учетом кратности упаковки*****]]*Таблица2[[#This Row],[Стоимость 
ед., руб. ]],0)</f>
        <v>0</v>
      </c>
      <c r="K272" s="916">
        <f t="shared" si="4"/>
        <v>0</v>
      </c>
      <c r="M272" s="158">
        <v>6.9119999999999999</v>
      </c>
      <c r="N272" s="158">
        <v>73992</v>
      </c>
    </row>
    <row r="273" spans="2:14" s="501" customFormat="1" ht="20.100000000000001" hidden="1" customHeight="1">
      <c r="B273" s="159" t="s">
        <v>992</v>
      </c>
      <c r="C273" s="1039">
        <v>6.9119999999999999</v>
      </c>
      <c r="D273" s="105" t="s">
        <v>1350</v>
      </c>
      <c r="E273" s="913" t="s">
        <v>178</v>
      </c>
      <c r="F273" s="920">
        <v>0</v>
      </c>
      <c r="G273" s="1041">
        <f>IFERROR(_xlfn.CEILING.MATH(Таблица2[[#This Row],[Кол-во материала по расчету]],C273),"-")</f>
        <v>0</v>
      </c>
      <c r="H273" s="933"/>
      <c r="I273" s="921">
        <f>IFERROR(Таблица2[[#This Row],[Кол-во материала с учетом кратности упаковки*****]]*Таблица2[[#This Row],[Стоимость 
ед., руб. ]],0)</f>
        <v>0</v>
      </c>
      <c r="K273" s="916">
        <f t="shared" si="4"/>
        <v>0</v>
      </c>
      <c r="M273" s="158">
        <v>6.9119999999999999</v>
      </c>
      <c r="N273" s="158" t="s">
        <v>992</v>
      </c>
    </row>
    <row r="274" spans="2:14" s="501" customFormat="1" ht="20.100000000000001" hidden="1" customHeight="1">
      <c r="B274" s="159" t="s">
        <v>993</v>
      </c>
      <c r="C274" s="1039">
        <v>6.9119999999999999</v>
      </c>
      <c r="D274" s="105" t="s">
        <v>1351</v>
      </c>
      <c r="E274" s="913" t="s">
        <v>178</v>
      </c>
      <c r="F274" s="920">
        <v>0</v>
      </c>
      <c r="G274" s="1041">
        <f>IFERROR(_xlfn.CEILING.MATH(Таблица2[[#This Row],[Кол-во материала по расчету]],C274),"-")</f>
        <v>0</v>
      </c>
      <c r="H274" s="933"/>
      <c r="I274" s="921">
        <f>IFERROR(Таблица2[[#This Row],[Кол-во материала с учетом кратности упаковки*****]]*Таблица2[[#This Row],[Стоимость 
ед., руб. ]],0)</f>
        <v>0</v>
      </c>
      <c r="K274" s="916">
        <f t="shared" si="4"/>
        <v>0</v>
      </c>
      <c r="M274" s="158">
        <v>6.9119999999999999</v>
      </c>
      <c r="N274" s="158" t="s">
        <v>993</v>
      </c>
    </row>
    <row r="275" spans="2:14" s="501" customFormat="1" ht="20.100000000000001" hidden="1" customHeight="1">
      <c r="B275" s="159" t="s">
        <v>994</v>
      </c>
      <c r="C275" s="1039">
        <v>6.4512</v>
      </c>
      <c r="D275" s="105" t="s">
        <v>1352</v>
      </c>
      <c r="E275" s="913" t="s">
        <v>178</v>
      </c>
      <c r="F275" s="920">
        <v>0</v>
      </c>
      <c r="G275" s="1041">
        <f>IFERROR(_xlfn.CEILING.MATH(Таблица2[[#This Row],[Кол-во материала по расчету]],C275),"-")</f>
        <v>0</v>
      </c>
      <c r="H275" s="933"/>
      <c r="I275" s="921">
        <f>IFERROR(Таблица2[[#This Row],[Кол-во материала с учетом кратности упаковки*****]]*Таблица2[[#This Row],[Стоимость 
ед., руб. ]],0)</f>
        <v>0</v>
      </c>
      <c r="K275" s="916">
        <f t="shared" si="4"/>
        <v>0</v>
      </c>
      <c r="M275" s="158">
        <v>6.4512</v>
      </c>
      <c r="N275" s="158" t="s">
        <v>994</v>
      </c>
    </row>
    <row r="276" spans="2:14" s="501" customFormat="1" ht="20.100000000000001" hidden="1" customHeight="1">
      <c r="B276" s="159">
        <v>18408</v>
      </c>
      <c r="C276" s="1039">
        <v>6.9119999999999999</v>
      </c>
      <c r="D276" s="105" t="s">
        <v>1353</v>
      </c>
      <c r="E276" s="913" t="s">
        <v>178</v>
      </c>
      <c r="F276" s="920">
        <v>0</v>
      </c>
      <c r="G276" s="1041">
        <f>IFERROR(_xlfn.CEILING.MATH(Таблица2[[#This Row],[Кол-во материала по расчету]],C276),"-")</f>
        <v>0</v>
      </c>
      <c r="H276" s="933"/>
      <c r="I276" s="921">
        <f>IFERROR(Таблица2[[#This Row],[Кол-во материала с учетом кратности упаковки*****]]*Таблица2[[#This Row],[Стоимость 
ед., руб. ]],0)</f>
        <v>0</v>
      </c>
      <c r="K276" s="916">
        <f t="shared" si="4"/>
        <v>0</v>
      </c>
      <c r="M276" s="158">
        <v>6.9119999999999999</v>
      </c>
      <c r="N276" s="158">
        <v>18408</v>
      </c>
    </row>
    <row r="277" spans="2:14" s="501" customFormat="1" ht="20.100000000000001" hidden="1" customHeight="1">
      <c r="B277" s="159">
        <v>34705</v>
      </c>
      <c r="C277" s="1039">
        <v>6.2207999999999997</v>
      </c>
      <c r="D277" s="105" t="s">
        <v>1354</v>
      </c>
      <c r="E277" s="913" t="s">
        <v>178</v>
      </c>
      <c r="F277" s="920">
        <v>0</v>
      </c>
      <c r="G277" s="1041">
        <f>IFERROR(_xlfn.CEILING.MATH(Таблица2[[#This Row],[Кол-во материала по расчету]],C277),"-")</f>
        <v>0</v>
      </c>
      <c r="H277" s="933"/>
      <c r="I277" s="921">
        <f>IFERROR(Таблица2[[#This Row],[Кол-во материала с учетом кратности упаковки*****]]*Таблица2[[#This Row],[Стоимость 
ед., руб. ]],0)</f>
        <v>0</v>
      </c>
      <c r="K277" s="916">
        <f t="shared" si="4"/>
        <v>0</v>
      </c>
      <c r="M277" s="158">
        <v>6.2207999999999997</v>
      </c>
      <c r="N277" s="158">
        <v>34705</v>
      </c>
    </row>
    <row r="278" spans="2:14" s="501" customFormat="1" ht="20.100000000000001" hidden="1" customHeight="1">
      <c r="B278" s="159">
        <v>12912</v>
      </c>
      <c r="C278" s="1039">
        <v>6.9119999999999999</v>
      </c>
      <c r="D278" s="105" t="s">
        <v>1181</v>
      </c>
      <c r="E278" s="913" t="s">
        <v>178</v>
      </c>
      <c r="F278" s="920">
        <v>0</v>
      </c>
      <c r="G278" s="1041">
        <f>IFERROR(_xlfn.CEILING.MATH(Таблица2[[#This Row],[Кол-во материала по расчету]],C278),"-")</f>
        <v>0</v>
      </c>
      <c r="H278" s="933"/>
      <c r="I278" s="921">
        <f>IFERROR(Таблица2[[#This Row],[Кол-во материала с учетом кратности упаковки*****]]*Таблица2[[#This Row],[Стоимость 
ед., руб. ]],0)</f>
        <v>0</v>
      </c>
      <c r="K278" s="916">
        <f t="shared" si="4"/>
        <v>0</v>
      </c>
      <c r="M278" s="158">
        <v>6.9119999999999999</v>
      </c>
      <c r="N278" s="158">
        <v>12912</v>
      </c>
    </row>
    <row r="279" spans="2:14" s="501" customFormat="1" ht="20.100000000000001" hidden="1" customHeight="1">
      <c r="B279" s="159">
        <v>368367</v>
      </c>
      <c r="C279" s="1039">
        <v>6.6528</v>
      </c>
      <c r="D279" s="105" t="s">
        <v>1182</v>
      </c>
      <c r="E279" s="913" t="s">
        <v>178</v>
      </c>
      <c r="F279" s="920">
        <v>0</v>
      </c>
      <c r="G279" s="1041">
        <f>IFERROR(_xlfn.CEILING.MATH(Таблица2[[#This Row],[Кол-во материала по расчету]],C279),"-")</f>
        <v>0</v>
      </c>
      <c r="H279" s="933"/>
      <c r="I279" s="921">
        <f>IFERROR(Таблица2[[#This Row],[Кол-во материала с учетом кратности упаковки*****]]*Таблица2[[#This Row],[Стоимость 
ед., руб. ]],0)</f>
        <v>0</v>
      </c>
      <c r="K279" s="916">
        <f t="shared" si="4"/>
        <v>0</v>
      </c>
      <c r="M279" s="158">
        <v>6.6528</v>
      </c>
      <c r="N279" s="158">
        <v>368367</v>
      </c>
    </row>
    <row r="280" spans="2:14" s="501" customFormat="1" ht="20.100000000000001" hidden="1" customHeight="1">
      <c r="B280" s="159">
        <v>14922</v>
      </c>
      <c r="C280" s="1039">
        <v>6.9119999999999999</v>
      </c>
      <c r="D280" s="105" t="s">
        <v>1183</v>
      </c>
      <c r="E280" s="913" t="s">
        <v>178</v>
      </c>
      <c r="F280" s="920">
        <v>0</v>
      </c>
      <c r="G280" s="1041">
        <f>IFERROR(_xlfn.CEILING.MATH(Таблица2[[#This Row],[Кол-во материала по расчету]],C280),"-")</f>
        <v>0</v>
      </c>
      <c r="H280" s="933"/>
      <c r="I280" s="921">
        <f>IFERROR(Таблица2[[#This Row],[Кол-во материала с учетом кратности упаковки*****]]*Таблица2[[#This Row],[Стоимость 
ед., руб. ]],0)</f>
        <v>0</v>
      </c>
      <c r="K280" s="916">
        <f t="shared" si="4"/>
        <v>0</v>
      </c>
      <c r="M280" s="158">
        <v>6.9119999999999999</v>
      </c>
      <c r="N280" s="158">
        <v>14922</v>
      </c>
    </row>
    <row r="281" spans="2:14" s="501" customFormat="1" ht="20.100000000000001" hidden="1" customHeight="1">
      <c r="B281" s="159">
        <v>218308</v>
      </c>
      <c r="C281" s="1039">
        <v>6.7392000000000003</v>
      </c>
      <c r="D281" s="105" t="s">
        <v>1184</v>
      </c>
      <c r="E281" s="913" t="s">
        <v>178</v>
      </c>
      <c r="F281" s="920">
        <v>0</v>
      </c>
      <c r="G281" s="1041">
        <f>IFERROR(_xlfn.CEILING.MATH(Таблица2[[#This Row],[Кол-во материала по расчету]],C281),"-")</f>
        <v>0</v>
      </c>
      <c r="H281" s="933"/>
      <c r="I281" s="921">
        <f>IFERROR(Таблица2[[#This Row],[Кол-во материала с учетом кратности упаковки*****]]*Таблица2[[#This Row],[Стоимость 
ед., руб. ]],0)</f>
        <v>0</v>
      </c>
      <c r="K281" s="916">
        <f t="shared" si="4"/>
        <v>0</v>
      </c>
      <c r="M281" s="158">
        <v>6.7392000000000003</v>
      </c>
      <c r="N281" s="158">
        <v>218308</v>
      </c>
    </row>
    <row r="282" spans="2:14" s="501" customFormat="1" ht="20.100000000000001" hidden="1" customHeight="1">
      <c r="B282" s="159">
        <v>14923</v>
      </c>
      <c r="C282" s="1039">
        <v>6.4512</v>
      </c>
      <c r="D282" s="105" t="s">
        <v>1185</v>
      </c>
      <c r="E282" s="913" t="s">
        <v>178</v>
      </c>
      <c r="F282" s="920">
        <v>0</v>
      </c>
      <c r="G282" s="1041">
        <f>IFERROR(_xlfn.CEILING.MATH(Таблица2[[#This Row],[Кол-во материала по расчету]],C282),"-")</f>
        <v>0</v>
      </c>
      <c r="H282" s="933"/>
      <c r="I282" s="921">
        <f>IFERROR(Таблица2[[#This Row],[Кол-во материала с учетом кратности упаковки*****]]*Таблица2[[#This Row],[Стоимость 
ед., руб. ]],0)</f>
        <v>0</v>
      </c>
      <c r="K282" s="916">
        <f t="shared" si="4"/>
        <v>0</v>
      </c>
      <c r="M282" s="158">
        <v>6.4512</v>
      </c>
      <c r="N282" s="158">
        <v>14923</v>
      </c>
    </row>
    <row r="283" spans="2:14" s="501" customFormat="1" ht="20.100000000000001" hidden="1" customHeight="1">
      <c r="B283" s="159">
        <v>326861</v>
      </c>
      <c r="C283" s="1039">
        <v>6.9119999999999999</v>
      </c>
      <c r="D283" s="105" t="s">
        <v>1186</v>
      </c>
      <c r="E283" s="913" t="s">
        <v>178</v>
      </c>
      <c r="F283" s="920">
        <v>0</v>
      </c>
      <c r="G283" s="1041">
        <f>IFERROR(_xlfn.CEILING.MATH(Таблица2[[#This Row],[Кол-во материала по расчету]],C283),"-")</f>
        <v>0</v>
      </c>
      <c r="H283" s="933"/>
      <c r="I283" s="921">
        <f>IFERROR(Таблица2[[#This Row],[Кол-во материала с учетом кратности упаковки*****]]*Таблица2[[#This Row],[Стоимость 
ед., руб. ]],0)</f>
        <v>0</v>
      </c>
      <c r="K283" s="916">
        <f t="shared" si="4"/>
        <v>0</v>
      </c>
      <c r="M283" s="158">
        <v>6.9119999999999999</v>
      </c>
      <c r="N283" s="158">
        <v>326861</v>
      </c>
    </row>
    <row r="284" spans="2:14" s="501" customFormat="1" ht="20.100000000000001" hidden="1" customHeight="1">
      <c r="B284" s="159">
        <v>365338</v>
      </c>
      <c r="C284" s="1039">
        <v>6.9119999999999999</v>
      </c>
      <c r="D284" s="105" t="s">
        <v>1176</v>
      </c>
      <c r="E284" s="913" t="s">
        <v>178</v>
      </c>
      <c r="F284" s="920">
        <v>0</v>
      </c>
      <c r="G284" s="1041">
        <f>IFERROR(_xlfn.CEILING.MATH(Таблица2[[#This Row],[Кол-во материала по расчету]],C284),"-")</f>
        <v>0</v>
      </c>
      <c r="H284" s="933"/>
      <c r="I284" s="921">
        <f>IFERROR(Таблица2[[#This Row],[Кол-во материала с учетом кратности упаковки*****]]*Таблица2[[#This Row],[Стоимость 
ед., руб. ]],0)</f>
        <v>0</v>
      </c>
      <c r="K284" s="916">
        <f t="shared" si="4"/>
        <v>0</v>
      </c>
      <c r="M284" s="158">
        <v>6.9119999999999999</v>
      </c>
      <c r="N284" s="158">
        <v>365338</v>
      </c>
    </row>
    <row r="285" spans="2:14" s="501" customFormat="1" ht="20.100000000000001" hidden="1" customHeight="1">
      <c r="B285" s="159">
        <v>13652</v>
      </c>
      <c r="C285" s="1039">
        <v>6.9119999999999999</v>
      </c>
      <c r="D285" s="105" t="s">
        <v>1177</v>
      </c>
      <c r="E285" s="913" t="s">
        <v>178</v>
      </c>
      <c r="F285" s="920">
        <v>0</v>
      </c>
      <c r="G285" s="1041">
        <f>IFERROR(_xlfn.CEILING.MATH(Таблица2[[#This Row],[Кол-во материала по расчету]],C285),"-")</f>
        <v>0</v>
      </c>
      <c r="H285" s="933"/>
      <c r="I285" s="921">
        <f>IFERROR(Таблица2[[#This Row],[Кол-во материала с учетом кратности упаковки*****]]*Таблица2[[#This Row],[Стоимость 
ед., руб. ]],0)</f>
        <v>0</v>
      </c>
      <c r="K285" s="916">
        <f t="shared" si="4"/>
        <v>0</v>
      </c>
      <c r="M285" s="158">
        <v>6.9119999999999999</v>
      </c>
      <c r="N285" s="158">
        <v>13652</v>
      </c>
    </row>
    <row r="286" spans="2:14" s="501" customFormat="1" ht="20.100000000000001" hidden="1" customHeight="1">
      <c r="B286" s="159">
        <v>21317</v>
      </c>
      <c r="C286" s="1039">
        <v>6.6528</v>
      </c>
      <c r="D286" s="105" t="s">
        <v>1178</v>
      </c>
      <c r="E286" s="913" t="s">
        <v>178</v>
      </c>
      <c r="F286" s="920">
        <v>0</v>
      </c>
      <c r="G286" s="1041">
        <f>IFERROR(_xlfn.CEILING.MATH(Таблица2[[#This Row],[Кол-во материала по расчету]],C286),"-")</f>
        <v>0</v>
      </c>
      <c r="H286" s="933"/>
      <c r="I286" s="921">
        <f>IFERROR(Таблица2[[#This Row],[Кол-во материала с учетом кратности упаковки*****]]*Таблица2[[#This Row],[Стоимость 
ед., руб. ]],0)</f>
        <v>0</v>
      </c>
      <c r="K286" s="916">
        <f t="shared" si="4"/>
        <v>0</v>
      </c>
      <c r="M286" s="158">
        <v>6.6528</v>
      </c>
      <c r="N286" s="158">
        <v>21317</v>
      </c>
    </row>
    <row r="287" spans="2:14" s="501" customFormat="1" ht="20.100000000000001" hidden="1" customHeight="1">
      <c r="B287" s="159">
        <v>22901</v>
      </c>
      <c r="C287" s="1039">
        <v>6.9119999999999999</v>
      </c>
      <c r="D287" s="105" t="s">
        <v>1179</v>
      </c>
      <c r="E287" s="913" t="s">
        <v>178</v>
      </c>
      <c r="F287" s="920">
        <v>0</v>
      </c>
      <c r="G287" s="1041">
        <f>IFERROR(_xlfn.CEILING.MATH(Таблица2[[#This Row],[Кол-во материала по расчету]],C287),"-")</f>
        <v>0</v>
      </c>
      <c r="H287" s="933"/>
      <c r="I287" s="921">
        <f>IFERROR(Таблица2[[#This Row],[Кол-во материала с учетом кратности упаковки*****]]*Таблица2[[#This Row],[Стоимость 
ед., руб. ]],0)</f>
        <v>0</v>
      </c>
      <c r="K287" s="916">
        <f t="shared" si="4"/>
        <v>0</v>
      </c>
      <c r="M287" s="158">
        <v>6.9119999999999999</v>
      </c>
      <c r="N287" s="158">
        <v>22901</v>
      </c>
    </row>
    <row r="288" spans="2:14" s="501" customFormat="1" ht="20.100000000000001" hidden="1" customHeight="1">
      <c r="B288" s="159">
        <v>368366</v>
      </c>
      <c r="C288" s="1039">
        <v>6.7392000000000003</v>
      </c>
      <c r="D288" s="105" t="s">
        <v>1180</v>
      </c>
      <c r="E288" s="913" t="s">
        <v>178</v>
      </c>
      <c r="F288" s="920">
        <v>0</v>
      </c>
      <c r="G288" s="1041">
        <f>IFERROR(_xlfn.CEILING.MATH(Таблица2[[#This Row],[Кол-во материала по расчету]],C288),"-")</f>
        <v>0</v>
      </c>
      <c r="H288" s="933"/>
      <c r="I288" s="921">
        <f>IFERROR(Таблица2[[#This Row],[Кол-во материала с учетом кратности упаковки*****]]*Таблица2[[#This Row],[Стоимость 
ед., руб. ]],0)</f>
        <v>0</v>
      </c>
      <c r="K288" s="916">
        <f t="shared" si="4"/>
        <v>0</v>
      </c>
      <c r="M288" s="158">
        <v>6.7392000000000003</v>
      </c>
      <c r="N288" s="158">
        <v>368366</v>
      </c>
    </row>
    <row r="289" spans="2:14" s="501" customFormat="1" ht="20.100000000000001" hidden="1" customHeight="1">
      <c r="B289" s="159">
        <v>405797</v>
      </c>
      <c r="C289" s="1039">
        <v>2.88</v>
      </c>
      <c r="D289" s="105" t="s">
        <v>180</v>
      </c>
      <c r="E289" s="913" t="s">
        <v>178</v>
      </c>
      <c r="F289" s="920">
        <v>0</v>
      </c>
      <c r="G289" s="1041">
        <f>IFERROR(_xlfn.CEILING.MATH(Таблица2[[#This Row],[Кол-во материала по расчету]],C289),"-")</f>
        <v>0</v>
      </c>
      <c r="H289" s="933"/>
      <c r="I289" s="921">
        <f>IFERROR(Таблица2[[#This Row],[Кол-во материала с учетом кратности упаковки*****]]*Таблица2[[#This Row],[Стоимость 
ед., руб. ]],0)</f>
        <v>0</v>
      </c>
      <c r="K289" s="916">
        <f t="shared" si="4"/>
        <v>0</v>
      </c>
      <c r="M289" s="158">
        <v>2.88</v>
      </c>
      <c r="N289" s="158">
        <v>405797</v>
      </c>
    </row>
    <row r="290" spans="2:14" s="501" customFormat="1" ht="20.100000000000001" hidden="1" customHeight="1">
      <c r="B290" s="159">
        <v>497052</v>
      </c>
      <c r="C290" s="1039">
        <v>6.6528</v>
      </c>
      <c r="D290" s="105" t="s">
        <v>1253</v>
      </c>
      <c r="E290" s="913" t="s">
        <v>178</v>
      </c>
      <c r="F290" s="920">
        <v>0</v>
      </c>
      <c r="G290" s="1041">
        <f>IFERROR(_xlfn.CEILING.MATH(Таблица2[[#This Row],[Кол-во материала по расчету]],C290),"-")</f>
        <v>0</v>
      </c>
      <c r="H290" s="933"/>
      <c r="I290" s="921">
        <f>IFERROR(Таблица2[[#This Row],[Кол-во материала с учетом кратности упаковки*****]]*Таблица2[[#This Row],[Стоимость 
ед., руб. ]],0)</f>
        <v>0</v>
      </c>
      <c r="K290" s="916">
        <f t="shared" si="4"/>
        <v>0</v>
      </c>
      <c r="M290" s="158">
        <v>6.6528</v>
      </c>
      <c r="N290" s="158">
        <v>497052</v>
      </c>
    </row>
    <row r="291" spans="2:14" s="501" customFormat="1" ht="20.100000000000001" hidden="1" customHeight="1">
      <c r="B291" s="159">
        <v>524684</v>
      </c>
      <c r="C291" s="1039">
        <v>6.9119999999999999</v>
      </c>
      <c r="D291" s="105" t="s">
        <v>1254</v>
      </c>
      <c r="E291" s="913" t="s">
        <v>178</v>
      </c>
      <c r="F291" s="920">
        <v>0</v>
      </c>
      <c r="G291" s="1041">
        <f>IFERROR(_xlfn.CEILING.MATH(Таблица2[[#This Row],[Кол-во материала по расчету]],C291),"-")</f>
        <v>0</v>
      </c>
      <c r="H291" s="933"/>
      <c r="I291" s="921">
        <f>IFERROR(Таблица2[[#This Row],[Кол-во материала с учетом кратности упаковки*****]]*Таблица2[[#This Row],[Стоимость 
ед., руб. ]],0)</f>
        <v>0</v>
      </c>
      <c r="K291" s="916">
        <f t="shared" si="4"/>
        <v>0</v>
      </c>
      <c r="M291" s="158">
        <v>6.9119999999999999</v>
      </c>
      <c r="N291" s="158">
        <v>524684</v>
      </c>
    </row>
    <row r="292" spans="2:14" s="501" customFormat="1" ht="20.100000000000001" hidden="1" customHeight="1">
      <c r="B292" s="159">
        <v>524685</v>
      </c>
      <c r="C292" s="1039">
        <v>6.9119999999999999</v>
      </c>
      <c r="D292" s="105" t="s">
        <v>1255</v>
      </c>
      <c r="E292" s="913" t="s">
        <v>178</v>
      </c>
      <c r="F292" s="920">
        <v>0</v>
      </c>
      <c r="G292" s="1041">
        <f>IFERROR(_xlfn.CEILING.MATH(Таблица2[[#This Row],[Кол-во материала по расчету]],C292),"-")</f>
        <v>0</v>
      </c>
      <c r="H292" s="933"/>
      <c r="I292" s="921">
        <f>IFERROR(Таблица2[[#This Row],[Кол-во материала с учетом кратности упаковки*****]]*Таблица2[[#This Row],[Стоимость 
ед., руб. ]],0)</f>
        <v>0</v>
      </c>
      <c r="K292" s="916">
        <f t="shared" si="4"/>
        <v>0</v>
      </c>
      <c r="M292" s="158">
        <v>6.9119999999999999</v>
      </c>
      <c r="N292" s="158">
        <v>524685</v>
      </c>
    </row>
    <row r="293" spans="2:14" s="501" customFormat="1" ht="20.100000000000001" hidden="1" customHeight="1">
      <c r="B293" s="159">
        <v>525141</v>
      </c>
      <c r="C293" s="1039">
        <v>6.9119999999999999</v>
      </c>
      <c r="D293" s="105" t="s">
        <v>1256</v>
      </c>
      <c r="E293" s="913" t="s">
        <v>178</v>
      </c>
      <c r="F293" s="920">
        <v>0</v>
      </c>
      <c r="G293" s="1041">
        <f>IFERROR(_xlfn.CEILING.MATH(Таблица2[[#This Row],[Кол-во материала по расчету]],C293),"-")</f>
        <v>0</v>
      </c>
      <c r="H293" s="933"/>
      <c r="I293" s="921">
        <f>IFERROR(Таблица2[[#This Row],[Кол-во материала с учетом кратности упаковки*****]]*Таблица2[[#This Row],[Стоимость 
ед., руб. ]],0)</f>
        <v>0</v>
      </c>
      <c r="K293" s="916">
        <f t="shared" si="4"/>
        <v>0</v>
      </c>
      <c r="M293" s="158">
        <v>6.9119999999999999</v>
      </c>
      <c r="N293" s="158">
        <v>525141</v>
      </c>
    </row>
    <row r="294" spans="2:14" s="501" customFormat="1" ht="20.100000000000001" hidden="1" customHeight="1">
      <c r="B294" s="159">
        <v>525142</v>
      </c>
      <c r="C294" s="1039">
        <v>6.9119999999999999</v>
      </c>
      <c r="D294" s="105" t="s">
        <v>1257</v>
      </c>
      <c r="E294" s="913" t="s">
        <v>178</v>
      </c>
      <c r="F294" s="920">
        <v>0</v>
      </c>
      <c r="G294" s="1041">
        <f>IFERROR(_xlfn.CEILING.MATH(Таблица2[[#This Row],[Кол-во материала по расчету]],C294),"-")</f>
        <v>0</v>
      </c>
      <c r="H294" s="933"/>
      <c r="I294" s="921">
        <f>IFERROR(Таблица2[[#This Row],[Кол-во материала с учетом кратности упаковки*****]]*Таблица2[[#This Row],[Стоимость 
ед., руб. ]],0)</f>
        <v>0</v>
      </c>
      <c r="K294" s="916">
        <f t="shared" si="4"/>
        <v>0</v>
      </c>
      <c r="M294" s="158">
        <v>6.9119999999999999</v>
      </c>
      <c r="N294" s="158">
        <v>525142</v>
      </c>
    </row>
    <row r="295" spans="2:14" s="501" customFormat="1" ht="20.100000000000001" hidden="1" customHeight="1">
      <c r="B295" s="159">
        <v>524687</v>
      </c>
      <c r="C295" s="1039">
        <v>6.6528</v>
      </c>
      <c r="D295" s="105" t="s">
        <v>1215</v>
      </c>
      <c r="E295" s="913" t="s">
        <v>178</v>
      </c>
      <c r="F295" s="920">
        <v>0</v>
      </c>
      <c r="G295" s="1041">
        <f>IFERROR(_xlfn.CEILING.MATH(Таблица2[[#This Row],[Кол-во материала по расчету]],C295),"-")</f>
        <v>0</v>
      </c>
      <c r="H295" s="933"/>
      <c r="I295" s="921">
        <f>IFERROR(Таблица2[[#This Row],[Кол-во материала с учетом кратности упаковки*****]]*Таблица2[[#This Row],[Стоимость 
ед., руб. ]],0)</f>
        <v>0</v>
      </c>
      <c r="K295" s="916">
        <f t="shared" si="4"/>
        <v>0</v>
      </c>
      <c r="M295" s="158">
        <v>6.6528</v>
      </c>
      <c r="N295" s="158">
        <v>524687</v>
      </c>
    </row>
    <row r="296" spans="2:14" s="501" customFormat="1" ht="20.100000000000001" hidden="1" customHeight="1">
      <c r="B296" s="159">
        <v>523816</v>
      </c>
      <c r="C296" s="1039">
        <v>6.9119999999999999</v>
      </c>
      <c r="D296" s="105" t="s">
        <v>1216</v>
      </c>
      <c r="E296" s="913" t="s">
        <v>178</v>
      </c>
      <c r="F296" s="920">
        <v>0</v>
      </c>
      <c r="G296" s="1041">
        <f>IFERROR(_xlfn.CEILING.MATH(Таблица2[[#This Row],[Кол-во материала по расчету]],C296),"-")</f>
        <v>0</v>
      </c>
      <c r="H296" s="933"/>
      <c r="I296" s="921">
        <f>IFERROR(Таблица2[[#This Row],[Кол-во материала с учетом кратности упаковки*****]]*Таблица2[[#This Row],[Стоимость 
ед., руб. ]],0)</f>
        <v>0</v>
      </c>
      <c r="K296" s="916">
        <f t="shared" si="4"/>
        <v>0</v>
      </c>
      <c r="M296" s="158">
        <v>6.9119999999999999</v>
      </c>
      <c r="N296" s="158">
        <v>523816</v>
      </c>
    </row>
    <row r="297" spans="2:14" s="501" customFormat="1" ht="20.100000000000001" hidden="1" customHeight="1">
      <c r="B297" s="159">
        <v>524686</v>
      </c>
      <c r="C297" s="1039">
        <v>6.9119999999999999</v>
      </c>
      <c r="D297" s="105" t="s">
        <v>1217</v>
      </c>
      <c r="E297" s="913" t="s">
        <v>178</v>
      </c>
      <c r="F297" s="920">
        <v>0</v>
      </c>
      <c r="G297" s="1041">
        <f>IFERROR(_xlfn.CEILING.MATH(Таблица2[[#This Row],[Кол-во материала по расчету]],C297),"-")</f>
        <v>0</v>
      </c>
      <c r="H297" s="933"/>
      <c r="I297" s="921">
        <f>IFERROR(Таблица2[[#This Row],[Кол-во материала с учетом кратности упаковки*****]]*Таблица2[[#This Row],[Стоимость 
ед., руб. ]],0)</f>
        <v>0</v>
      </c>
      <c r="K297" s="916">
        <f t="shared" si="4"/>
        <v>0</v>
      </c>
      <c r="M297" s="158">
        <v>6.9119999999999999</v>
      </c>
      <c r="N297" s="158">
        <v>524686</v>
      </c>
    </row>
    <row r="298" spans="2:14" s="501" customFormat="1" ht="20.100000000000001" hidden="1" customHeight="1">
      <c r="B298" s="159">
        <v>525143</v>
      </c>
      <c r="C298" s="1039">
        <v>6.9119999999999999</v>
      </c>
      <c r="D298" s="105" t="s">
        <v>1218</v>
      </c>
      <c r="E298" s="913" t="s">
        <v>178</v>
      </c>
      <c r="F298" s="920">
        <v>0</v>
      </c>
      <c r="G298" s="1041">
        <f>IFERROR(_xlfn.CEILING.MATH(Таблица2[[#This Row],[Кол-во материала по расчету]],C298),"-")</f>
        <v>0</v>
      </c>
      <c r="H298" s="933"/>
      <c r="I298" s="921">
        <f>IFERROR(Таблица2[[#This Row],[Кол-во материала с учетом кратности упаковки*****]]*Таблица2[[#This Row],[Стоимость 
ед., руб. ]],0)</f>
        <v>0</v>
      </c>
      <c r="K298" s="916">
        <f t="shared" si="4"/>
        <v>0</v>
      </c>
      <c r="M298" s="158">
        <v>6.9119999999999999</v>
      </c>
      <c r="N298" s="158">
        <v>525143</v>
      </c>
    </row>
    <row r="299" spans="2:14" s="501" customFormat="1" ht="20.100000000000001" hidden="1" customHeight="1">
      <c r="B299" s="159">
        <v>525144</v>
      </c>
      <c r="C299" s="1039">
        <v>6.9119999999999999</v>
      </c>
      <c r="D299" s="105" t="s">
        <v>1219</v>
      </c>
      <c r="E299" s="913" t="s">
        <v>178</v>
      </c>
      <c r="F299" s="920">
        <v>0</v>
      </c>
      <c r="G299" s="1041">
        <f>IFERROR(_xlfn.CEILING.MATH(Таблица2[[#This Row],[Кол-во материала по расчету]],C299),"-")</f>
        <v>0</v>
      </c>
      <c r="H299" s="933"/>
      <c r="I299" s="921">
        <f>IFERROR(Таблица2[[#This Row],[Кол-во материала с учетом кратности упаковки*****]]*Таблица2[[#This Row],[Стоимость 
ед., руб. ]],0)</f>
        <v>0</v>
      </c>
      <c r="K299" s="916">
        <f t="shared" si="4"/>
        <v>0</v>
      </c>
      <c r="M299" s="158">
        <v>6.9119999999999999</v>
      </c>
      <c r="N299" s="158">
        <v>525144</v>
      </c>
    </row>
    <row r="300" spans="2:14" s="501" customFormat="1" ht="20.100000000000001" hidden="1" customHeight="1">
      <c r="B300" s="159">
        <v>496475</v>
      </c>
      <c r="C300" s="1039">
        <v>6.6528</v>
      </c>
      <c r="D300" s="105" t="s">
        <v>1234</v>
      </c>
      <c r="E300" s="913" t="s">
        <v>178</v>
      </c>
      <c r="F300" s="920">
        <v>0</v>
      </c>
      <c r="G300" s="1041">
        <f>IFERROR(_xlfn.CEILING.MATH(Таблица2[[#This Row],[Кол-во материала по расчету]],C300),"-")</f>
        <v>0</v>
      </c>
      <c r="H300" s="933"/>
      <c r="I300" s="921">
        <f>IFERROR(Таблица2[[#This Row],[Кол-во материала с учетом кратности упаковки*****]]*Таблица2[[#This Row],[Стоимость 
ед., руб. ]],0)</f>
        <v>0</v>
      </c>
      <c r="K300" s="916">
        <f t="shared" si="4"/>
        <v>0</v>
      </c>
      <c r="M300" s="158">
        <v>6.6528</v>
      </c>
      <c r="N300" s="158">
        <v>496475</v>
      </c>
    </row>
    <row r="301" spans="2:14" s="501" customFormat="1" ht="20.100000000000001" hidden="1" customHeight="1">
      <c r="B301" s="159">
        <v>494775</v>
      </c>
      <c r="C301" s="1039">
        <v>6.9119999999999999</v>
      </c>
      <c r="D301" s="105" t="s">
        <v>1235</v>
      </c>
      <c r="E301" s="913" t="s">
        <v>178</v>
      </c>
      <c r="F301" s="920">
        <v>0</v>
      </c>
      <c r="G301" s="1041">
        <f>IFERROR(_xlfn.CEILING.MATH(Таблица2[[#This Row],[Кол-во материала по расчету]],C301),"-")</f>
        <v>0</v>
      </c>
      <c r="H301" s="933"/>
      <c r="I301" s="921">
        <f>IFERROR(Таблица2[[#This Row],[Кол-во материала с учетом кратности упаковки*****]]*Таблица2[[#This Row],[Стоимость 
ед., руб. ]],0)</f>
        <v>0</v>
      </c>
      <c r="K301" s="916">
        <f t="shared" si="4"/>
        <v>0</v>
      </c>
      <c r="M301" s="158">
        <v>6.9119999999999999</v>
      </c>
      <c r="N301" s="158">
        <v>494775</v>
      </c>
    </row>
    <row r="302" spans="2:14" s="501" customFormat="1" ht="20.100000000000001" customHeight="1">
      <c r="B302" s="159">
        <v>494776</v>
      </c>
      <c r="C302" s="1039">
        <v>6.9119999999999999</v>
      </c>
      <c r="D302" s="105" t="s">
        <v>1236</v>
      </c>
      <c r="E302" s="913" t="s">
        <v>178</v>
      </c>
      <c r="F302" s="920">
        <v>90.176500000000004</v>
      </c>
      <c r="G302" s="1041">
        <f>IFERROR(_xlfn.CEILING.MATH(Таблица2[[#This Row],[Кол-во материала по расчету]],C302),"-")</f>
        <v>96.768000000000001</v>
      </c>
      <c r="H302" s="933"/>
      <c r="I302" s="921">
        <f>IFERROR(Таблица2[[#This Row],[Кол-во материала с учетом кратности упаковки*****]]*Таблица2[[#This Row],[Стоимость 
ед., руб. ]],0)</f>
        <v>0</v>
      </c>
      <c r="K302" s="916">
        <f t="shared" si="4"/>
        <v>1</v>
      </c>
      <c r="M302" s="158">
        <v>6.9119999999999999</v>
      </c>
      <c r="N302" s="158">
        <v>494776</v>
      </c>
    </row>
    <row r="303" spans="2:14" s="501" customFormat="1" ht="20.100000000000001" hidden="1" customHeight="1">
      <c r="B303" s="159">
        <v>617303</v>
      </c>
      <c r="C303" s="1039">
        <v>2.9952000000000001</v>
      </c>
      <c r="D303" s="105" t="s">
        <v>919</v>
      </c>
      <c r="E303" s="913" t="s">
        <v>178</v>
      </c>
      <c r="F303" s="920">
        <v>0</v>
      </c>
      <c r="G303" s="1041">
        <f>IFERROR(_xlfn.CEILING.MATH(Таблица2[[#This Row],[Кол-во материала по расчету]],C303),"-")</f>
        <v>0</v>
      </c>
      <c r="H303" s="933"/>
      <c r="I303" s="921">
        <f>IFERROR(Таблица2[[#This Row],[Кол-во материала с учетом кратности упаковки*****]]*Таблица2[[#This Row],[Стоимость 
ед., руб. ]],0)</f>
        <v>0</v>
      </c>
      <c r="K303" s="916">
        <f t="shared" si="4"/>
        <v>0</v>
      </c>
      <c r="M303" s="158">
        <v>2.9952000000000001</v>
      </c>
      <c r="N303" s="158">
        <v>617303</v>
      </c>
    </row>
    <row r="304" spans="2:14" s="501" customFormat="1" ht="20.100000000000001" hidden="1" customHeight="1">
      <c r="B304" s="159">
        <v>617304</v>
      </c>
      <c r="C304" s="1039">
        <v>3.1103999999999998</v>
      </c>
      <c r="D304" s="105" t="s">
        <v>927</v>
      </c>
      <c r="E304" s="913" t="s">
        <v>178</v>
      </c>
      <c r="F304" s="920">
        <v>0</v>
      </c>
      <c r="G304" s="1041">
        <f>IFERROR(_xlfn.CEILING.MATH(Таблица2[[#This Row],[Кол-во материала по расчету]],C304),"-")</f>
        <v>0</v>
      </c>
      <c r="H304" s="933"/>
      <c r="I304" s="921">
        <f>IFERROR(Таблица2[[#This Row],[Кол-во материала с учетом кратности упаковки*****]]*Таблица2[[#This Row],[Стоимость 
ед., руб. ]],0)</f>
        <v>0</v>
      </c>
      <c r="K304" s="916">
        <f t="shared" si="4"/>
        <v>0</v>
      </c>
      <c r="M304" s="158">
        <v>3.1103999999999998</v>
      </c>
      <c r="N304" s="158">
        <v>617304</v>
      </c>
    </row>
    <row r="305" spans="2:14" s="501" customFormat="1" ht="20.100000000000001" hidden="1" customHeight="1">
      <c r="B305" s="159" t="s">
        <v>296</v>
      </c>
      <c r="C305" s="1039" t="s">
        <v>1549</v>
      </c>
      <c r="D305" s="105" t="s">
        <v>920</v>
      </c>
      <c r="E305" s="913" t="s">
        <v>178</v>
      </c>
      <c r="F305" s="920">
        <v>0</v>
      </c>
      <c r="G305" s="1041" t="str">
        <f>IFERROR(_xlfn.CEILING.MATH(Таблица2[[#This Row],[Кол-во материала по расчету]],C305),"-")</f>
        <v>-</v>
      </c>
      <c r="H305" s="933"/>
      <c r="I305" s="921">
        <f>IFERROR(Таблица2[[#This Row],[Кол-во материала с учетом кратности упаковки*****]]*Таблица2[[#This Row],[Стоимость 
ед., руб. ]],0)</f>
        <v>0</v>
      </c>
      <c r="K305" s="916">
        <f t="shared" si="4"/>
        <v>0</v>
      </c>
      <c r="M305" s="158" t="s">
        <v>6</v>
      </c>
      <c r="N305" s="158" t="s">
        <v>296</v>
      </c>
    </row>
    <row r="306" spans="2:14" s="501" customFormat="1" ht="20.100000000000001" hidden="1" customHeight="1">
      <c r="B306" s="159" t="s">
        <v>924</v>
      </c>
      <c r="C306" s="1039">
        <v>2.6928000000000001</v>
      </c>
      <c r="D306" s="105" t="s">
        <v>921</v>
      </c>
      <c r="E306" s="913" t="s">
        <v>178</v>
      </c>
      <c r="F306" s="920">
        <v>0</v>
      </c>
      <c r="G306" s="1041">
        <f>IFERROR(_xlfn.CEILING.MATH(Таблица2[[#This Row],[Кол-во материала по расчету]],C306),"-")</f>
        <v>0</v>
      </c>
      <c r="H306" s="933"/>
      <c r="I306" s="921">
        <f>IFERROR(Таблица2[[#This Row],[Кол-во материала с учетом кратности упаковки*****]]*Таблица2[[#This Row],[Стоимость 
ед., руб. ]],0)</f>
        <v>0</v>
      </c>
      <c r="K306" s="916">
        <f t="shared" si="4"/>
        <v>0</v>
      </c>
      <c r="M306" s="158">
        <v>2.6928000000000001</v>
      </c>
      <c r="N306" s="158" t="s">
        <v>924</v>
      </c>
    </row>
    <row r="307" spans="2:14" s="501" customFormat="1" ht="20.100000000000001" hidden="1" customHeight="1">
      <c r="B307" s="159" t="s">
        <v>925</v>
      </c>
      <c r="C307" s="1039">
        <v>3.1103999999999998</v>
      </c>
      <c r="D307" s="105" t="s">
        <v>922</v>
      </c>
      <c r="E307" s="913" t="s">
        <v>178</v>
      </c>
      <c r="F307" s="920">
        <v>0</v>
      </c>
      <c r="G307" s="1041">
        <f>IFERROR(_xlfn.CEILING.MATH(Таблица2[[#This Row],[Кол-во материала по расчету]],C307),"-")</f>
        <v>0</v>
      </c>
      <c r="H307" s="933"/>
      <c r="I307" s="921">
        <f>IFERROR(Таблица2[[#This Row],[Кол-во материала с учетом кратности упаковки*****]]*Таблица2[[#This Row],[Стоимость 
ед., руб. ]],0)</f>
        <v>0</v>
      </c>
      <c r="K307" s="916">
        <f t="shared" si="4"/>
        <v>0</v>
      </c>
      <c r="M307" s="158">
        <v>3.1103999999999998</v>
      </c>
      <c r="N307" s="158" t="s">
        <v>925</v>
      </c>
    </row>
    <row r="308" spans="2:14" s="501" customFormat="1" ht="20.100000000000001" hidden="1" customHeight="1">
      <c r="B308" s="159" t="s">
        <v>926</v>
      </c>
      <c r="C308" s="1039">
        <v>6.9119999999999999</v>
      </c>
      <c r="D308" s="105" t="s">
        <v>923</v>
      </c>
      <c r="E308" s="913" t="s">
        <v>178</v>
      </c>
      <c r="F308" s="920">
        <v>0</v>
      </c>
      <c r="G308" s="1041">
        <f>IFERROR(_xlfn.CEILING.MATH(Таблица2[[#This Row],[Кол-во материала по расчету]],C308),"-")</f>
        <v>0</v>
      </c>
      <c r="H308" s="933"/>
      <c r="I308" s="921">
        <f>IFERROR(Таблица2[[#This Row],[Кол-во материала с учетом кратности упаковки*****]]*Таблица2[[#This Row],[Стоимость 
ед., руб. ]],0)</f>
        <v>0</v>
      </c>
      <c r="K308" s="916">
        <f t="shared" si="4"/>
        <v>0</v>
      </c>
      <c r="M308" s="158">
        <v>6.9119999999999999</v>
      </c>
      <c r="N308" s="158" t="s">
        <v>926</v>
      </c>
    </row>
    <row r="309" spans="2:14" s="501" customFormat="1" ht="20.100000000000001" hidden="1" customHeight="1">
      <c r="B309" s="159">
        <v>525189</v>
      </c>
      <c r="C309" s="1039">
        <v>6.9119999999999999</v>
      </c>
      <c r="D309" s="105" t="s">
        <v>1237</v>
      </c>
      <c r="E309" s="913" t="s">
        <v>178</v>
      </c>
      <c r="F309" s="920">
        <v>0</v>
      </c>
      <c r="G309" s="1041">
        <f>IFERROR(_xlfn.CEILING.MATH(Таблица2[[#This Row],[Кол-во материала по расчету]],C309),"-")</f>
        <v>0</v>
      </c>
      <c r="H309" s="933"/>
      <c r="I309" s="921">
        <f>IFERROR(Таблица2[[#This Row],[Кол-во материала с учетом кратности упаковки*****]]*Таблица2[[#This Row],[Стоимость 
ед., руб. ]],0)</f>
        <v>0</v>
      </c>
      <c r="K309" s="916">
        <f t="shared" si="4"/>
        <v>0</v>
      </c>
      <c r="M309" s="158">
        <v>6.9119999999999999</v>
      </c>
      <c r="N309" s="158">
        <v>525189</v>
      </c>
    </row>
    <row r="310" spans="2:14" s="501" customFormat="1" ht="20.100000000000001" hidden="1" customHeight="1">
      <c r="B310" s="159">
        <v>525190</v>
      </c>
      <c r="C310" s="1039">
        <v>6.9119999999999999</v>
      </c>
      <c r="D310" s="105" t="s">
        <v>1238</v>
      </c>
      <c r="E310" s="913" t="s">
        <v>178</v>
      </c>
      <c r="F310" s="920">
        <v>0</v>
      </c>
      <c r="G310" s="1041">
        <f>IFERROR(_xlfn.CEILING.MATH(Таблица2[[#This Row],[Кол-во материала по расчету]],C310),"-")</f>
        <v>0</v>
      </c>
      <c r="H310" s="933"/>
      <c r="I310" s="921">
        <f>IFERROR(Таблица2[[#This Row],[Кол-во материала с учетом кратности упаковки*****]]*Таблица2[[#This Row],[Стоимость 
ед., руб. ]],0)</f>
        <v>0</v>
      </c>
      <c r="K310" s="916">
        <f t="shared" si="4"/>
        <v>0</v>
      </c>
      <c r="M310" s="158">
        <v>6.9119999999999999</v>
      </c>
      <c r="N310" s="158">
        <v>525190</v>
      </c>
    </row>
    <row r="311" spans="2:14" s="501" customFormat="1" ht="20.100000000000001" hidden="1" customHeight="1">
      <c r="B311" s="159">
        <v>226170</v>
      </c>
      <c r="C311" s="1039">
        <v>6.9119999999999999</v>
      </c>
      <c r="D311" s="105" t="s">
        <v>1160</v>
      </c>
      <c r="E311" s="913" t="s">
        <v>178</v>
      </c>
      <c r="F311" s="920">
        <v>0</v>
      </c>
      <c r="G311" s="1041">
        <f>IFERROR(_xlfn.CEILING.MATH(Таблица2[[#This Row],[Кол-во материала по расчету]],C311),"-")</f>
        <v>0</v>
      </c>
      <c r="H311" s="933"/>
      <c r="I311" s="921">
        <f>IFERROR(Таблица2[[#This Row],[Кол-во материала с учетом кратности упаковки*****]]*Таблица2[[#This Row],[Стоимость 
ед., руб. ]],0)</f>
        <v>0</v>
      </c>
      <c r="K311" s="916">
        <f t="shared" si="4"/>
        <v>0</v>
      </c>
      <c r="M311" s="158">
        <v>6.9119999999999999</v>
      </c>
      <c r="N311" s="158">
        <v>226170</v>
      </c>
    </row>
    <row r="312" spans="2:14" s="501" customFormat="1" ht="20.100000000000001" hidden="1" customHeight="1">
      <c r="B312" s="159">
        <v>368376</v>
      </c>
      <c r="C312" s="1039">
        <v>6.9119999999999999</v>
      </c>
      <c r="D312" s="105" t="s">
        <v>1161</v>
      </c>
      <c r="E312" s="913" t="s">
        <v>178</v>
      </c>
      <c r="F312" s="920">
        <v>0</v>
      </c>
      <c r="G312" s="1041">
        <f>IFERROR(_xlfn.CEILING.MATH(Таблица2[[#This Row],[Кол-во материала по расчету]],C312),"-")</f>
        <v>0</v>
      </c>
      <c r="H312" s="933"/>
      <c r="I312" s="921">
        <f>IFERROR(Таблица2[[#This Row],[Кол-во материала с учетом кратности упаковки*****]]*Таблица2[[#This Row],[Стоимость 
ед., руб. ]],0)</f>
        <v>0</v>
      </c>
      <c r="K312" s="916">
        <f t="shared" si="4"/>
        <v>0</v>
      </c>
      <c r="M312" s="158">
        <v>6.9119999999999999</v>
      </c>
      <c r="N312" s="158">
        <v>368376</v>
      </c>
    </row>
    <row r="313" spans="2:14" s="501" customFormat="1" ht="20.100000000000001" hidden="1" customHeight="1">
      <c r="B313" s="159">
        <v>521491</v>
      </c>
      <c r="C313" s="1039">
        <v>6.9119999999999999</v>
      </c>
      <c r="D313" s="105" t="s">
        <v>1244</v>
      </c>
      <c r="E313" s="913" t="s">
        <v>178</v>
      </c>
      <c r="F313" s="920">
        <v>0</v>
      </c>
      <c r="G313" s="1041">
        <f>IFERROR(_xlfn.CEILING.MATH(Таблица2[[#This Row],[Кол-во материала по расчету]],C313),"-")</f>
        <v>0</v>
      </c>
      <c r="H313" s="933"/>
      <c r="I313" s="921">
        <f>IFERROR(Таблица2[[#This Row],[Кол-во материала с учетом кратности упаковки*****]]*Таблица2[[#This Row],[Стоимость 
ед., руб. ]],0)</f>
        <v>0</v>
      </c>
      <c r="K313" s="916">
        <f t="shared" si="4"/>
        <v>0</v>
      </c>
      <c r="M313" s="158">
        <v>6.9119999999999999</v>
      </c>
      <c r="N313" s="158">
        <v>521491</v>
      </c>
    </row>
    <row r="314" spans="2:14" s="501" customFormat="1" ht="20.100000000000001" hidden="1" customHeight="1">
      <c r="B314" s="159">
        <v>521492</v>
      </c>
      <c r="C314" s="1039">
        <v>6.6528</v>
      </c>
      <c r="D314" s="105" t="s">
        <v>1245</v>
      </c>
      <c r="E314" s="913" t="s">
        <v>178</v>
      </c>
      <c r="F314" s="920">
        <v>0</v>
      </c>
      <c r="G314" s="1041">
        <f>IFERROR(_xlfn.CEILING.MATH(Таблица2[[#This Row],[Кол-во материала по расчету]],C314),"-")</f>
        <v>0</v>
      </c>
      <c r="H314" s="933"/>
      <c r="I314" s="921">
        <f>IFERROR(Таблица2[[#This Row],[Кол-во материала с учетом кратности упаковки*****]]*Таблица2[[#This Row],[Стоимость 
ед., руб. ]],0)</f>
        <v>0</v>
      </c>
      <c r="K314" s="916">
        <f t="shared" si="4"/>
        <v>0</v>
      </c>
      <c r="M314" s="158">
        <v>6.6528</v>
      </c>
      <c r="N314" s="158">
        <v>521492</v>
      </c>
    </row>
    <row r="315" spans="2:14" s="501" customFormat="1" ht="20.100000000000001" hidden="1" customHeight="1">
      <c r="B315" s="159">
        <v>521493</v>
      </c>
      <c r="C315" s="1039">
        <v>6.9119999999999999</v>
      </c>
      <c r="D315" s="105" t="s">
        <v>1246</v>
      </c>
      <c r="E315" s="913" t="s">
        <v>178</v>
      </c>
      <c r="F315" s="920">
        <v>0</v>
      </c>
      <c r="G315" s="1041">
        <f>IFERROR(_xlfn.CEILING.MATH(Таблица2[[#This Row],[Кол-во материала по расчету]],C315),"-")</f>
        <v>0</v>
      </c>
      <c r="H315" s="933"/>
      <c r="I315" s="921">
        <f>IFERROR(Таблица2[[#This Row],[Кол-во материала с учетом кратности упаковки*****]]*Таблица2[[#This Row],[Стоимость 
ед., руб. ]],0)</f>
        <v>0</v>
      </c>
      <c r="K315" s="916">
        <f t="shared" si="4"/>
        <v>0</v>
      </c>
      <c r="M315" s="158">
        <v>6.9119999999999999</v>
      </c>
      <c r="N315" s="158">
        <v>521493</v>
      </c>
    </row>
    <row r="316" spans="2:14" s="501" customFormat="1" ht="20.100000000000001" hidden="1" customHeight="1">
      <c r="B316" s="159">
        <v>521494</v>
      </c>
      <c r="C316" s="1039">
        <v>6.7392000000000003</v>
      </c>
      <c r="D316" s="105" t="s">
        <v>1247</v>
      </c>
      <c r="E316" s="913" t="s">
        <v>178</v>
      </c>
      <c r="F316" s="920">
        <v>0</v>
      </c>
      <c r="G316" s="1041">
        <f>IFERROR(_xlfn.CEILING.MATH(Таблица2[[#This Row],[Кол-во материала по расчету]],C316),"-")</f>
        <v>0</v>
      </c>
      <c r="H316" s="933"/>
      <c r="I316" s="921">
        <f>IFERROR(Таблица2[[#This Row],[Кол-во материала с учетом кратности упаковки*****]]*Таблица2[[#This Row],[Стоимость 
ед., руб. ]],0)</f>
        <v>0</v>
      </c>
      <c r="K316" s="916">
        <f t="shared" si="4"/>
        <v>0</v>
      </c>
      <c r="M316" s="158">
        <v>6.7392000000000003</v>
      </c>
      <c r="N316" s="158">
        <v>521494</v>
      </c>
    </row>
    <row r="317" spans="2:14" s="501" customFormat="1" ht="20.100000000000001" hidden="1" customHeight="1">
      <c r="B317" s="159">
        <v>521495</v>
      </c>
      <c r="C317" s="1039">
        <v>6.4512</v>
      </c>
      <c r="D317" s="105" t="s">
        <v>1248</v>
      </c>
      <c r="E317" s="913" t="s">
        <v>178</v>
      </c>
      <c r="F317" s="920">
        <v>0</v>
      </c>
      <c r="G317" s="1041">
        <f>IFERROR(_xlfn.CEILING.MATH(Таблица2[[#This Row],[Кол-во материала по расчету]],C317),"-")</f>
        <v>0</v>
      </c>
      <c r="H317" s="933"/>
      <c r="I317" s="921">
        <f>IFERROR(Таблица2[[#This Row],[Кол-во материала с учетом кратности упаковки*****]]*Таблица2[[#This Row],[Стоимость 
ед., руб. ]],0)</f>
        <v>0</v>
      </c>
      <c r="K317" s="916">
        <f t="shared" si="4"/>
        <v>0</v>
      </c>
      <c r="M317" s="158">
        <v>6.4512</v>
      </c>
      <c r="N317" s="158">
        <v>521495</v>
      </c>
    </row>
    <row r="318" spans="2:14" s="501" customFormat="1" ht="20.100000000000001" hidden="1" customHeight="1">
      <c r="B318" s="159">
        <v>521496</v>
      </c>
      <c r="C318" s="1039">
        <v>6.9119999999999999</v>
      </c>
      <c r="D318" s="105" t="s">
        <v>1249</v>
      </c>
      <c r="E318" s="913" t="s">
        <v>178</v>
      </c>
      <c r="F318" s="920">
        <v>0</v>
      </c>
      <c r="G318" s="1041">
        <f>IFERROR(_xlfn.CEILING.MATH(Таблица2[[#This Row],[Кол-во материала по расчету]],C318),"-")</f>
        <v>0</v>
      </c>
      <c r="H318" s="933"/>
      <c r="I318" s="921">
        <f>IFERROR(Таблица2[[#This Row],[Кол-во материала с учетом кратности упаковки*****]]*Таблица2[[#This Row],[Стоимость 
ед., руб. ]],0)</f>
        <v>0</v>
      </c>
      <c r="K318" s="916">
        <f t="shared" si="4"/>
        <v>0</v>
      </c>
      <c r="M318" s="158">
        <v>6.9119999999999999</v>
      </c>
      <c r="N318" s="158">
        <v>521496</v>
      </c>
    </row>
    <row r="319" spans="2:14" s="501" customFormat="1" ht="20.100000000000001" hidden="1" customHeight="1">
      <c r="B319" s="159">
        <v>521497</v>
      </c>
      <c r="C319" s="1039">
        <v>6.4512</v>
      </c>
      <c r="D319" s="105" t="s">
        <v>1250</v>
      </c>
      <c r="E319" s="913" t="s">
        <v>178</v>
      </c>
      <c r="F319" s="920">
        <v>0</v>
      </c>
      <c r="G319" s="1041">
        <f>IFERROR(_xlfn.CEILING.MATH(Таблица2[[#This Row],[Кол-во материала по расчету]],C319),"-")</f>
        <v>0</v>
      </c>
      <c r="H319" s="933"/>
      <c r="I319" s="921">
        <f>IFERROR(Таблица2[[#This Row],[Кол-во материала с учетом кратности упаковки*****]]*Таблица2[[#This Row],[Стоимость 
ед., руб. ]],0)</f>
        <v>0</v>
      </c>
      <c r="K319" s="916">
        <f t="shared" si="4"/>
        <v>0</v>
      </c>
      <c r="M319" s="158">
        <v>6.4512</v>
      </c>
      <c r="N319" s="158">
        <v>521497</v>
      </c>
    </row>
    <row r="320" spans="2:14" s="501" customFormat="1" ht="20.100000000000001" hidden="1" customHeight="1">
      <c r="B320" s="159">
        <v>521498</v>
      </c>
      <c r="C320" s="1039">
        <v>6.8544</v>
      </c>
      <c r="D320" s="105" t="s">
        <v>1251</v>
      </c>
      <c r="E320" s="913" t="s">
        <v>178</v>
      </c>
      <c r="F320" s="920">
        <v>0</v>
      </c>
      <c r="G320" s="1041">
        <f>IFERROR(_xlfn.CEILING.MATH(Таблица2[[#This Row],[Кол-во материала по расчету]],C320),"-")</f>
        <v>0</v>
      </c>
      <c r="H320" s="933"/>
      <c r="I320" s="921">
        <f>IFERROR(Таблица2[[#This Row],[Кол-во материала с учетом кратности упаковки*****]]*Таблица2[[#This Row],[Стоимость 
ед., руб. ]],0)</f>
        <v>0</v>
      </c>
      <c r="K320" s="916">
        <f t="shared" si="4"/>
        <v>0</v>
      </c>
      <c r="M320" s="158">
        <v>6.8544</v>
      </c>
      <c r="N320" s="158">
        <v>521498</v>
      </c>
    </row>
    <row r="321" spans="2:14" s="501" customFormat="1" ht="20.100000000000001" hidden="1" customHeight="1">
      <c r="B321" s="159">
        <v>521499</v>
      </c>
      <c r="C321" s="1039">
        <v>6.2207999999999997</v>
      </c>
      <c r="D321" s="105" t="s">
        <v>1252</v>
      </c>
      <c r="E321" s="913" t="s">
        <v>178</v>
      </c>
      <c r="F321" s="920">
        <v>0</v>
      </c>
      <c r="G321" s="1041">
        <f>IFERROR(_xlfn.CEILING.MATH(Таблица2[[#This Row],[Кол-во материала по расчету]],C321),"-")</f>
        <v>0</v>
      </c>
      <c r="H321" s="933"/>
      <c r="I321" s="921">
        <f>IFERROR(Таблица2[[#This Row],[Кол-во материала с учетом кратности упаковки*****]]*Таблица2[[#This Row],[Стоимость 
ед., руб. ]],0)</f>
        <v>0</v>
      </c>
      <c r="K321" s="916">
        <f t="shared" si="4"/>
        <v>0</v>
      </c>
      <c r="M321" s="158">
        <v>6.2207999999999997</v>
      </c>
      <c r="N321" s="158">
        <v>521499</v>
      </c>
    </row>
    <row r="322" spans="2:14" s="501" customFormat="1" ht="20.100000000000001" hidden="1" customHeight="1">
      <c r="B322" s="159">
        <v>521486</v>
      </c>
      <c r="C322" s="1039">
        <v>6.9119999999999999</v>
      </c>
      <c r="D322" s="105" t="s">
        <v>1239</v>
      </c>
      <c r="E322" s="913" t="s">
        <v>178</v>
      </c>
      <c r="F322" s="920">
        <v>0</v>
      </c>
      <c r="G322" s="1041">
        <f>IFERROR(_xlfn.CEILING.MATH(Таблица2[[#This Row],[Кол-во материала по расчету]],C322),"-")</f>
        <v>0</v>
      </c>
      <c r="H322" s="933"/>
      <c r="I322" s="921">
        <f>IFERROR(Таблица2[[#This Row],[Кол-во материала с учетом кратности упаковки*****]]*Таблица2[[#This Row],[Стоимость 
ед., руб. ]],0)</f>
        <v>0</v>
      </c>
      <c r="K322" s="916">
        <f t="shared" si="4"/>
        <v>0</v>
      </c>
      <c r="M322" s="158">
        <v>6.9119999999999999</v>
      </c>
      <c r="N322" s="158">
        <v>521486</v>
      </c>
    </row>
    <row r="323" spans="2:14" s="501" customFormat="1" ht="20.100000000000001" hidden="1" customHeight="1">
      <c r="B323" s="159">
        <v>521487</v>
      </c>
      <c r="C323" s="1039">
        <v>6.9119999999999999</v>
      </c>
      <c r="D323" s="105" t="s">
        <v>1240</v>
      </c>
      <c r="E323" s="913" t="s">
        <v>178</v>
      </c>
      <c r="F323" s="920">
        <v>0</v>
      </c>
      <c r="G323" s="1041">
        <f>IFERROR(_xlfn.CEILING.MATH(Таблица2[[#This Row],[Кол-во материала по расчету]],C323),"-")</f>
        <v>0</v>
      </c>
      <c r="H323" s="933"/>
      <c r="I323" s="921">
        <f>IFERROR(Таблица2[[#This Row],[Кол-во материала с учетом кратности упаковки*****]]*Таблица2[[#This Row],[Стоимость 
ед., руб. ]],0)</f>
        <v>0</v>
      </c>
      <c r="K323" s="916">
        <f t="shared" si="4"/>
        <v>0</v>
      </c>
      <c r="M323" s="158">
        <v>6.9119999999999999</v>
      </c>
      <c r="N323" s="158">
        <v>521487</v>
      </c>
    </row>
    <row r="324" spans="2:14" s="501" customFormat="1" ht="20.100000000000001" hidden="1" customHeight="1">
      <c r="B324" s="159">
        <v>521488</v>
      </c>
      <c r="C324" s="1039">
        <v>6.4512</v>
      </c>
      <c r="D324" s="105" t="s">
        <v>1241</v>
      </c>
      <c r="E324" s="913" t="s">
        <v>178</v>
      </c>
      <c r="F324" s="920">
        <v>0</v>
      </c>
      <c r="G324" s="1041">
        <f>IFERROR(_xlfn.CEILING.MATH(Таблица2[[#This Row],[Кол-во материала по расчету]],C324),"-")</f>
        <v>0</v>
      </c>
      <c r="H324" s="933"/>
      <c r="I324" s="921">
        <f>IFERROR(Таблица2[[#This Row],[Кол-во материала с учетом кратности упаковки*****]]*Таблица2[[#This Row],[Стоимость 
ед., руб. ]],0)</f>
        <v>0</v>
      </c>
      <c r="K324" s="916">
        <f t="shared" si="4"/>
        <v>0</v>
      </c>
      <c r="M324" s="158">
        <v>6.4512</v>
      </c>
      <c r="N324" s="158">
        <v>521488</v>
      </c>
    </row>
    <row r="325" spans="2:14" s="501" customFormat="1" ht="20.100000000000001" hidden="1" customHeight="1">
      <c r="B325" s="159">
        <v>521489</v>
      </c>
      <c r="C325" s="1039">
        <v>6.9119999999999999</v>
      </c>
      <c r="D325" s="105" t="s">
        <v>1242</v>
      </c>
      <c r="E325" s="913" t="s">
        <v>178</v>
      </c>
      <c r="F325" s="920">
        <v>0</v>
      </c>
      <c r="G325" s="1041">
        <f>IFERROR(_xlfn.CEILING.MATH(Таблица2[[#This Row],[Кол-во материала по расчету]],C325),"-")</f>
        <v>0</v>
      </c>
      <c r="H325" s="933"/>
      <c r="I325" s="921">
        <f>IFERROR(Таблица2[[#This Row],[Кол-во материала с учетом кратности упаковки*****]]*Таблица2[[#This Row],[Стоимость 
ед., руб. ]],0)</f>
        <v>0</v>
      </c>
      <c r="K325" s="916">
        <f t="shared" si="4"/>
        <v>0</v>
      </c>
      <c r="M325" s="158">
        <v>6.9119999999999999</v>
      </c>
      <c r="N325" s="158">
        <v>521489</v>
      </c>
    </row>
    <row r="326" spans="2:14" s="501" customFormat="1" ht="20.100000000000001" hidden="1" customHeight="1">
      <c r="B326" s="159">
        <v>521490</v>
      </c>
      <c r="C326" s="1039">
        <v>6.2207999999999997</v>
      </c>
      <c r="D326" s="105" t="s">
        <v>1243</v>
      </c>
      <c r="E326" s="913" t="s">
        <v>178</v>
      </c>
      <c r="F326" s="920">
        <v>0</v>
      </c>
      <c r="G326" s="1041">
        <f>IFERROR(_xlfn.CEILING.MATH(Таблица2[[#This Row],[Кол-во материала по расчету]],C326),"-")</f>
        <v>0</v>
      </c>
      <c r="H326" s="933"/>
      <c r="I326" s="921">
        <f>IFERROR(Таблица2[[#This Row],[Кол-во материала с учетом кратности упаковки*****]]*Таблица2[[#This Row],[Стоимость 
ед., руб. ]],0)</f>
        <v>0</v>
      </c>
      <c r="K326" s="916">
        <f t="shared" si="4"/>
        <v>0</v>
      </c>
      <c r="M326" s="158">
        <v>6.2207999999999997</v>
      </c>
      <c r="N326" s="158">
        <v>521490</v>
      </c>
    </row>
    <row r="327" spans="2:14" s="501" customFormat="1" ht="20.100000000000001" hidden="1" customHeight="1">
      <c r="B327" s="159">
        <v>524894</v>
      </c>
      <c r="C327" s="1039">
        <v>6.9119999999999999</v>
      </c>
      <c r="D327" s="105" t="s">
        <v>1204</v>
      </c>
      <c r="E327" s="913" t="s">
        <v>178</v>
      </c>
      <c r="F327" s="920">
        <v>0</v>
      </c>
      <c r="G327" s="1041">
        <f>IFERROR(_xlfn.CEILING.MATH(Таблица2[[#This Row],[Кол-во материала по расчету]],C327),"-")</f>
        <v>0</v>
      </c>
      <c r="H327" s="933"/>
      <c r="I327" s="921">
        <f>IFERROR(Таблица2[[#This Row],[Кол-во материала с учетом кратности упаковки*****]]*Таблица2[[#This Row],[Стоимость 
ед., руб. ]],0)</f>
        <v>0</v>
      </c>
      <c r="K327" s="916">
        <f t="shared" si="4"/>
        <v>0</v>
      </c>
      <c r="M327" s="158">
        <v>6.9119999999999999</v>
      </c>
      <c r="N327" s="158">
        <v>524894</v>
      </c>
    </row>
    <row r="328" spans="2:14" s="501" customFormat="1" ht="20.100000000000001" hidden="1" customHeight="1">
      <c r="B328" s="159">
        <v>524895</v>
      </c>
      <c r="C328" s="1039">
        <v>6.6528</v>
      </c>
      <c r="D328" s="105" t="s">
        <v>1205</v>
      </c>
      <c r="E328" s="913" t="s">
        <v>178</v>
      </c>
      <c r="F328" s="920">
        <v>0</v>
      </c>
      <c r="G328" s="1041">
        <f>IFERROR(_xlfn.CEILING.MATH(Таблица2[[#This Row],[Кол-во материала по расчету]],C328),"-")</f>
        <v>0</v>
      </c>
      <c r="H328" s="933"/>
      <c r="I328" s="921">
        <f>IFERROR(Таблица2[[#This Row],[Кол-во материала с учетом кратности упаковки*****]]*Таблица2[[#This Row],[Стоимость 
ед., руб. ]],0)</f>
        <v>0</v>
      </c>
      <c r="K328" s="916">
        <f t="shared" si="4"/>
        <v>0</v>
      </c>
      <c r="M328" s="158">
        <v>6.6528</v>
      </c>
      <c r="N328" s="158">
        <v>524895</v>
      </c>
    </row>
    <row r="329" spans="2:14" s="501" customFormat="1" ht="20.100000000000001" hidden="1" customHeight="1">
      <c r="B329" s="159">
        <v>524896</v>
      </c>
      <c r="C329" s="1039">
        <v>6.9119999999999999</v>
      </c>
      <c r="D329" s="105" t="s">
        <v>1206</v>
      </c>
      <c r="E329" s="913" t="s">
        <v>178</v>
      </c>
      <c r="F329" s="920">
        <v>0</v>
      </c>
      <c r="G329" s="1041">
        <f>IFERROR(_xlfn.CEILING.MATH(Таблица2[[#This Row],[Кол-во материала по расчету]],C329),"-")</f>
        <v>0</v>
      </c>
      <c r="H329" s="933"/>
      <c r="I329" s="921">
        <f>IFERROR(Таблица2[[#This Row],[Кол-во материала с учетом кратности упаковки*****]]*Таблица2[[#This Row],[Стоимость 
ед., руб. ]],0)</f>
        <v>0</v>
      </c>
      <c r="K329" s="916">
        <f t="shared" si="4"/>
        <v>0</v>
      </c>
      <c r="M329" s="158">
        <v>6.9119999999999999</v>
      </c>
      <c r="N329" s="158">
        <v>524896</v>
      </c>
    </row>
    <row r="330" spans="2:14" s="501" customFormat="1" ht="20.100000000000001" hidden="1" customHeight="1">
      <c r="B330" s="159">
        <v>524918</v>
      </c>
      <c r="C330" s="1039">
        <v>6.7392000000000003</v>
      </c>
      <c r="D330" s="105" t="s">
        <v>1207</v>
      </c>
      <c r="E330" s="913" t="s">
        <v>178</v>
      </c>
      <c r="F330" s="920">
        <v>0</v>
      </c>
      <c r="G330" s="1041">
        <f>IFERROR(_xlfn.CEILING.MATH(Таблица2[[#This Row],[Кол-во материала по расчету]],C330),"-")</f>
        <v>0</v>
      </c>
      <c r="H330" s="933"/>
      <c r="I330" s="921">
        <f>IFERROR(Таблица2[[#This Row],[Кол-во материала с учетом кратности упаковки*****]]*Таблица2[[#This Row],[Стоимость 
ед., руб. ]],0)</f>
        <v>0</v>
      </c>
      <c r="K330" s="916">
        <f t="shared" ref="K330:K394" si="5">IF(F330=0,0,1)</f>
        <v>0</v>
      </c>
      <c r="M330" s="158">
        <v>6.7392000000000003</v>
      </c>
      <c r="N330" s="158">
        <v>524918</v>
      </c>
    </row>
    <row r="331" spans="2:14" s="501" customFormat="1" ht="20.100000000000001" hidden="1" customHeight="1">
      <c r="B331" s="159">
        <v>524919</v>
      </c>
      <c r="C331" s="1039">
        <v>6.4512</v>
      </c>
      <c r="D331" s="105" t="s">
        <v>1208</v>
      </c>
      <c r="E331" s="913" t="s">
        <v>178</v>
      </c>
      <c r="F331" s="920">
        <v>0</v>
      </c>
      <c r="G331" s="1041">
        <f>IFERROR(_xlfn.CEILING.MATH(Таблица2[[#This Row],[Кол-во материала по расчету]],C331),"-")</f>
        <v>0</v>
      </c>
      <c r="H331" s="933"/>
      <c r="I331" s="921">
        <f>IFERROR(Таблица2[[#This Row],[Кол-во материала с учетом кратности упаковки*****]]*Таблица2[[#This Row],[Стоимость 
ед., руб. ]],0)</f>
        <v>0</v>
      </c>
      <c r="K331" s="916">
        <f t="shared" si="5"/>
        <v>0</v>
      </c>
      <c r="M331" s="158">
        <v>6.4512</v>
      </c>
      <c r="N331" s="158">
        <v>524919</v>
      </c>
    </row>
    <row r="332" spans="2:14" s="501" customFormat="1" ht="20.100000000000001" hidden="1" customHeight="1">
      <c r="B332" s="159">
        <v>524879</v>
      </c>
      <c r="C332" s="1039">
        <v>6.9119999999999999</v>
      </c>
      <c r="D332" s="105" t="s">
        <v>1209</v>
      </c>
      <c r="E332" s="913" t="s">
        <v>178</v>
      </c>
      <c r="F332" s="920">
        <v>0</v>
      </c>
      <c r="G332" s="1041">
        <f>IFERROR(_xlfn.CEILING.MATH(Таблица2[[#This Row],[Кол-во материала по расчету]],C332),"-")</f>
        <v>0</v>
      </c>
      <c r="H332" s="933"/>
      <c r="I332" s="921">
        <f>IFERROR(Таблица2[[#This Row],[Кол-во материала с учетом кратности упаковки*****]]*Таблица2[[#This Row],[Стоимость 
ед., руб. ]],0)</f>
        <v>0</v>
      </c>
      <c r="K332" s="916">
        <f t="shared" si="5"/>
        <v>0</v>
      </c>
      <c r="M332" s="158">
        <v>6.9119999999999999</v>
      </c>
      <c r="N332" s="158">
        <v>524879</v>
      </c>
    </row>
    <row r="333" spans="2:14" s="501" customFormat="1" ht="20.100000000000001" hidden="1" customHeight="1">
      <c r="B333" s="159">
        <v>524920</v>
      </c>
      <c r="C333" s="1039">
        <v>6.4512</v>
      </c>
      <c r="D333" s="105" t="s">
        <v>1210</v>
      </c>
      <c r="E333" s="913" t="s">
        <v>178</v>
      </c>
      <c r="F333" s="920">
        <v>0</v>
      </c>
      <c r="G333" s="1041">
        <f>IFERROR(_xlfn.CEILING.MATH(Таблица2[[#This Row],[Кол-во материала по расчету]],C333),"-")</f>
        <v>0</v>
      </c>
      <c r="H333" s="933"/>
      <c r="I333" s="921">
        <f>IFERROR(Таблица2[[#This Row],[Кол-во материала с учетом кратности упаковки*****]]*Таблица2[[#This Row],[Стоимость 
ед., руб. ]],0)</f>
        <v>0</v>
      </c>
      <c r="K333" s="916">
        <f t="shared" si="5"/>
        <v>0</v>
      </c>
      <c r="M333" s="158">
        <v>6.4512</v>
      </c>
      <c r="N333" s="158">
        <v>524920</v>
      </c>
    </row>
    <row r="334" spans="2:14" s="501" customFormat="1" ht="20.100000000000001" customHeight="1">
      <c r="B334" s="159">
        <v>524921</v>
      </c>
      <c r="C334" s="1039">
        <v>6.8544</v>
      </c>
      <c r="D334" s="105" t="s">
        <v>1211</v>
      </c>
      <c r="E334" s="913" t="s">
        <v>178</v>
      </c>
      <c r="F334" s="920">
        <v>306.6001</v>
      </c>
      <c r="G334" s="1041">
        <f>IFERROR(_xlfn.CEILING.MATH(Таблица2[[#This Row],[Кол-во материала по расчету]],C334),"-")</f>
        <v>308.44799999999998</v>
      </c>
      <c r="H334" s="933"/>
      <c r="I334" s="921">
        <f>IFERROR(Таблица2[[#This Row],[Кол-во материала с учетом кратности упаковки*****]]*Таблица2[[#This Row],[Стоимость 
ед., руб. ]],0)</f>
        <v>0</v>
      </c>
      <c r="K334" s="916">
        <f t="shared" si="5"/>
        <v>1</v>
      </c>
      <c r="M334" s="158">
        <v>6.8544</v>
      </c>
      <c r="N334" s="158">
        <v>524921</v>
      </c>
    </row>
    <row r="335" spans="2:14" s="501" customFormat="1" ht="20.100000000000001" hidden="1" customHeight="1">
      <c r="B335" s="159">
        <v>523815</v>
      </c>
      <c r="C335" s="1039">
        <v>6.2207999999999997</v>
      </c>
      <c r="D335" s="105" t="s">
        <v>1212</v>
      </c>
      <c r="E335" s="913" t="s">
        <v>178</v>
      </c>
      <c r="F335" s="920">
        <v>0</v>
      </c>
      <c r="G335" s="1041">
        <f>IFERROR(_xlfn.CEILING.MATH(Таблица2[[#This Row],[Кол-во материала по расчету]],C335),"-")</f>
        <v>0</v>
      </c>
      <c r="H335" s="933"/>
      <c r="I335" s="921">
        <f>IFERROR(Таблица2[[#This Row],[Кол-во материала с учетом кратности упаковки*****]]*Таблица2[[#This Row],[Стоимость 
ед., руб. ]],0)</f>
        <v>0</v>
      </c>
      <c r="K335" s="916">
        <f t="shared" si="5"/>
        <v>0</v>
      </c>
      <c r="M335" s="158">
        <v>6.2207999999999997</v>
      </c>
      <c r="N335" s="158">
        <v>523815</v>
      </c>
    </row>
    <row r="336" spans="2:14" s="501" customFormat="1" ht="20.100000000000001" hidden="1" customHeight="1">
      <c r="B336" s="159">
        <v>524930</v>
      </c>
      <c r="C336" s="1039">
        <v>6.5663999999999998</v>
      </c>
      <c r="D336" s="105" t="s">
        <v>1213</v>
      </c>
      <c r="E336" s="913" t="s">
        <v>178</v>
      </c>
      <c r="F336" s="920">
        <v>0</v>
      </c>
      <c r="G336" s="1041">
        <f>IFERROR(_xlfn.CEILING.MATH(Таблица2[[#This Row],[Кол-во материала по расчету]],C336),"-")</f>
        <v>0</v>
      </c>
      <c r="H336" s="933"/>
      <c r="I336" s="921">
        <f>IFERROR(Таблица2[[#This Row],[Кол-во материала с учетом кратности упаковки*****]]*Таблица2[[#This Row],[Стоимость 
ед., руб. ]],0)</f>
        <v>0</v>
      </c>
      <c r="K336" s="916">
        <f t="shared" si="5"/>
        <v>0</v>
      </c>
      <c r="M336" s="158">
        <v>6.5663999999999998</v>
      </c>
      <c r="N336" s="158">
        <v>524930</v>
      </c>
    </row>
    <row r="337" spans="2:14" s="501" customFormat="1" ht="20.100000000000001" hidden="1" customHeight="1">
      <c r="B337" s="159">
        <v>524932</v>
      </c>
      <c r="C337" s="1039">
        <v>6.9119999999999999</v>
      </c>
      <c r="D337" s="105" t="s">
        <v>1214</v>
      </c>
      <c r="E337" s="913" t="s">
        <v>178</v>
      </c>
      <c r="F337" s="920">
        <v>0</v>
      </c>
      <c r="G337" s="1041">
        <f>IFERROR(_xlfn.CEILING.MATH(Таблица2[[#This Row],[Кол-во материала по расчету]],C337),"-")</f>
        <v>0</v>
      </c>
      <c r="H337" s="933"/>
      <c r="I337" s="921">
        <f>IFERROR(Таблица2[[#This Row],[Кол-во материала с учетом кратности упаковки*****]]*Таблица2[[#This Row],[Стоимость 
ед., руб. ]],0)</f>
        <v>0</v>
      </c>
      <c r="K337" s="916">
        <f t="shared" si="5"/>
        <v>0</v>
      </c>
      <c r="M337" s="158">
        <v>6.9119999999999999</v>
      </c>
      <c r="N337" s="158">
        <v>524932</v>
      </c>
    </row>
    <row r="338" spans="2:14" s="501" customFormat="1" ht="20.100000000000001" customHeight="1">
      <c r="B338" s="159">
        <v>524809</v>
      </c>
      <c r="C338" s="1039">
        <v>6.9119999999999999</v>
      </c>
      <c r="D338" s="105" t="s">
        <v>1199</v>
      </c>
      <c r="E338" s="913" t="s">
        <v>178</v>
      </c>
      <c r="F338" s="920">
        <v>2.4000000000000004</v>
      </c>
      <c r="G338" s="1041">
        <f>IFERROR(_xlfn.CEILING.MATH(Таблица2[[#This Row],[Кол-во материала по расчету]],C338),"-")</f>
        <v>6.9119999999999999</v>
      </c>
      <c r="H338" s="933"/>
      <c r="I338" s="921">
        <f>IFERROR(Таблица2[[#This Row],[Кол-во материала с учетом кратности упаковки*****]]*Таблица2[[#This Row],[Стоимость 
ед., руб. ]],0)</f>
        <v>0</v>
      </c>
      <c r="K338" s="916">
        <f t="shared" si="5"/>
        <v>1</v>
      </c>
      <c r="M338" s="158">
        <v>6.9119999999999999</v>
      </c>
      <c r="N338" s="158">
        <v>524809</v>
      </c>
    </row>
    <row r="339" spans="2:14" s="501" customFormat="1" ht="20.100000000000001" hidden="1" customHeight="1">
      <c r="B339" s="159">
        <v>524890</v>
      </c>
      <c r="C339" s="1039">
        <v>6.9119999999999999</v>
      </c>
      <c r="D339" s="105" t="s">
        <v>1200</v>
      </c>
      <c r="E339" s="913" t="s">
        <v>178</v>
      </c>
      <c r="F339" s="920">
        <v>0</v>
      </c>
      <c r="G339" s="1041">
        <f>IFERROR(_xlfn.CEILING.MATH(Таблица2[[#This Row],[Кол-во материала по расчету]],C339),"-")</f>
        <v>0</v>
      </c>
      <c r="H339" s="933"/>
      <c r="I339" s="921">
        <f>IFERROR(Таблица2[[#This Row],[Кол-во материала с учетом кратности упаковки*****]]*Таблица2[[#This Row],[Стоимость 
ед., руб. ]],0)</f>
        <v>0</v>
      </c>
      <c r="K339" s="916">
        <f t="shared" si="5"/>
        <v>0</v>
      </c>
      <c r="M339" s="158">
        <v>6.9119999999999999</v>
      </c>
      <c r="N339" s="158">
        <v>524890</v>
      </c>
    </row>
    <row r="340" spans="2:14" s="501" customFormat="1" ht="20.100000000000001" hidden="1" customHeight="1">
      <c r="B340" s="159">
        <v>524891</v>
      </c>
      <c r="C340" s="1039">
        <v>6.4512</v>
      </c>
      <c r="D340" s="105" t="s">
        <v>1201</v>
      </c>
      <c r="E340" s="913" t="s">
        <v>178</v>
      </c>
      <c r="F340" s="920">
        <v>0</v>
      </c>
      <c r="G340" s="1041">
        <f>IFERROR(_xlfn.CEILING.MATH(Таблица2[[#This Row],[Кол-во материала по расчету]],C340),"-")</f>
        <v>0</v>
      </c>
      <c r="H340" s="933"/>
      <c r="I340" s="921">
        <f>IFERROR(Таблица2[[#This Row],[Кол-во материала с учетом кратности упаковки*****]]*Таблица2[[#This Row],[Стоимость 
ед., руб. ]],0)</f>
        <v>0</v>
      </c>
      <c r="K340" s="916">
        <f t="shared" si="5"/>
        <v>0</v>
      </c>
      <c r="M340" s="158">
        <v>6.4512</v>
      </c>
      <c r="N340" s="158">
        <v>524891</v>
      </c>
    </row>
    <row r="341" spans="2:14" s="501" customFormat="1" ht="20.100000000000001" hidden="1" customHeight="1">
      <c r="B341" s="159">
        <v>524892</v>
      </c>
      <c r="C341" s="1039">
        <v>6.9119999999999999</v>
      </c>
      <c r="D341" s="105" t="s">
        <v>1202</v>
      </c>
      <c r="E341" s="913" t="s">
        <v>178</v>
      </c>
      <c r="F341" s="920">
        <v>0</v>
      </c>
      <c r="G341" s="1041">
        <f>IFERROR(_xlfn.CEILING.MATH(Таблица2[[#This Row],[Кол-во материала по расчету]],C341),"-")</f>
        <v>0</v>
      </c>
      <c r="H341" s="933"/>
      <c r="I341" s="921">
        <f>IFERROR(Таблица2[[#This Row],[Кол-во материала с учетом кратности упаковки*****]]*Таблица2[[#This Row],[Стоимость 
ед., руб. ]],0)</f>
        <v>0</v>
      </c>
      <c r="K341" s="916">
        <f t="shared" si="5"/>
        <v>0</v>
      </c>
      <c r="M341" s="158">
        <v>6.9119999999999999</v>
      </c>
      <c r="N341" s="158">
        <v>524892</v>
      </c>
    </row>
    <row r="342" spans="2:14" s="501" customFormat="1" ht="20.100000000000001" hidden="1" customHeight="1">
      <c r="B342" s="159">
        <v>524893</v>
      </c>
      <c r="C342" s="1039">
        <v>6.2207999999999997</v>
      </c>
      <c r="D342" s="105" t="s">
        <v>1203</v>
      </c>
      <c r="E342" s="913" t="s">
        <v>178</v>
      </c>
      <c r="F342" s="920">
        <v>0</v>
      </c>
      <c r="G342" s="1041">
        <f>IFERROR(_xlfn.CEILING.MATH(Таблица2[[#This Row],[Кол-во материала по расчету]],C342),"-")</f>
        <v>0</v>
      </c>
      <c r="H342" s="933"/>
      <c r="I342" s="921">
        <f>IFERROR(Таблица2[[#This Row],[Кол-во материала с учетом кратности упаковки*****]]*Таблица2[[#This Row],[Стоимость 
ед., руб. ]],0)</f>
        <v>0</v>
      </c>
      <c r="K342" s="916">
        <f t="shared" si="5"/>
        <v>0</v>
      </c>
      <c r="M342" s="158">
        <v>6.2207999999999997</v>
      </c>
      <c r="N342" s="158">
        <v>524893</v>
      </c>
    </row>
    <row r="343" spans="2:14" s="501" customFormat="1" ht="20.100000000000001" customHeight="1">
      <c r="B343" s="159">
        <v>602201</v>
      </c>
      <c r="C343" s="1039">
        <v>2.9952000000000001</v>
      </c>
      <c r="D343" s="105" t="s">
        <v>754</v>
      </c>
      <c r="E343" s="913" t="s">
        <v>178</v>
      </c>
      <c r="F343" s="920">
        <v>0.86399999999999999</v>
      </c>
      <c r="G343" s="1041">
        <f>IFERROR(_xlfn.CEILING.MATH(Таблица2[[#This Row],[Кол-во материала по расчету]],C343),"-")</f>
        <v>2.9952000000000001</v>
      </c>
      <c r="H343" s="933"/>
      <c r="I343" s="921">
        <f>IFERROR(Таблица2[[#This Row],[Кол-во материала с учетом кратности упаковки*****]]*Таблица2[[#This Row],[Стоимость 
ед., руб. ]],0)</f>
        <v>0</v>
      </c>
      <c r="K343" s="916">
        <f t="shared" si="5"/>
        <v>1</v>
      </c>
      <c r="M343" s="158">
        <v>2.9952000000000001</v>
      </c>
      <c r="N343" s="158">
        <v>602201</v>
      </c>
    </row>
    <row r="344" spans="2:14" s="501" customFormat="1" ht="20.100000000000001" customHeight="1">
      <c r="B344" s="159">
        <v>602202</v>
      </c>
      <c r="C344" s="1039">
        <v>3.1103999999999998</v>
      </c>
      <c r="D344" s="105" t="s">
        <v>755</v>
      </c>
      <c r="E344" s="913" t="s">
        <v>178</v>
      </c>
      <c r="F344" s="920">
        <v>1.296</v>
      </c>
      <c r="G344" s="1041">
        <f>IFERROR(_xlfn.CEILING.MATH(Таблица2[[#This Row],[Кол-во материала по расчету]],C344),"-")</f>
        <v>3.1103999999999998</v>
      </c>
      <c r="H344" s="933"/>
      <c r="I344" s="921">
        <f>IFERROR(Таблица2[[#This Row],[Кол-во материала с учетом кратности упаковки*****]]*Таблица2[[#This Row],[Стоимость 
ед., руб. ]],0)</f>
        <v>0</v>
      </c>
      <c r="K344" s="916">
        <f t="shared" si="5"/>
        <v>1</v>
      </c>
      <c r="M344" s="158">
        <v>3.1103999999999998</v>
      </c>
      <c r="N344" s="158">
        <v>602202</v>
      </c>
    </row>
    <row r="345" spans="2:14" s="501" customFormat="1" ht="20.100000000000001" customHeight="1">
      <c r="B345" s="159" t="s">
        <v>296</v>
      </c>
      <c r="C345" s="1039" t="s">
        <v>1549</v>
      </c>
      <c r="D345" s="105" t="s">
        <v>756</v>
      </c>
      <c r="E345" s="913" t="s">
        <v>178</v>
      </c>
      <c r="F345" s="920">
        <v>1.6419999999999999</v>
      </c>
      <c r="G345" s="1041" t="str">
        <f>IFERROR(_xlfn.CEILING.MATH(Таблица2[[#This Row],[Кол-во материала по расчету]],C345),"-")</f>
        <v>-</v>
      </c>
      <c r="H345" s="933"/>
      <c r="I345" s="921">
        <f>IFERROR(Таблица2[[#This Row],[Кол-во материала с учетом кратности упаковки*****]]*Таблица2[[#This Row],[Стоимость 
ед., руб. ]],0)</f>
        <v>0</v>
      </c>
      <c r="K345" s="916">
        <f t="shared" si="5"/>
        <v>1</v>
      </c>
      <c r="M345" s="158" t="s">
        <v>6</v>
      </c>
      <c r="N345" s="158" t="s">
        <v>296</v>
      </c>
    </row>
    <row r="346" spans="2:14" s="501" customFormat="1" ht="20.100000000000001" hidden="1" customHeight="1">
      <c r="B346" s="159">
        <v>602515</v>
      </c>
      <c r="C346" s="1039">
        <v>2.6928000000000001</v>
      </c>
      <c r="D346" s="105" t="s">
        <v>758</v>
      </c>
      <c r="E346" s="913" t="s">
        <v>178</v>
      </c>
      <c r="F346" s="920">
        <v>0</v>
      </c>
      <c r="G346" s="1041">
        <f>IFERROR(_xlfn.CEILING.MATH(Таблица2[[#This Row],[Кол-во материала по расчету]],C346),"-")</f>
        <v>0</v>
      </c>
      <c r="H346" s="933"/>
      <c r="I346" s="921">
        <f>IFERROR(Таблица2[[#This Row],[Кол-во материала с учетом кратности упаковки*****]]*Таблица2[[#This Row],[Стоимость 
ед., руб. ]],0)</f>
        <v>0</v>
      </c>
      <c r="K346" s="916">
        <f t="shared" si="5"/>
        <v>0</v>
      </c>
      <c r="M346" s="158">
        <v>2.6928000000000001</v>
      </c>
      <c r="N346" s="158">
        <v>602515</v>
      </c>
    </row>
    <row r="347" spans="2:14" s="501" customFormat="1" ht="20.100000000000001" hidden="1" customHeight="1">
      <c r="B347" s="159">
        <v>601852</v>
      </c>
      <c r="C347" s="1039">
        <v>3.1103999999999998</v>
      </c>
      <c r="D347" s="105" t="s">
        <v>759</v>
      </c>
      <c r="E347" s="913" t="s">
        <v>178</v>
      </c>
      <c r="F347" s="920">
        <v>0</v>
      </c>
      <c r="G347" s="1041">
        <f>IFERROR(_xlfn.CEILING.MATH(Таблица2[[#This Row],[Кол-во материала по расчету]],C347),"-")</f>
        <v>0</v>
      </c>
      <c r="H347" s="933"/>
      <c r="I347" s="921">
        <f>IFERROR(Таблица2[[#This Row],[Кол-во материала с учетом кратности упаковки*****]]*Таблица2[[#This Row],[Стоимость 
ед., руб. ]],0)</f>
        <v>0</v>
      </c>
      <c r="K347" s="916">
        <f t="shared" si="5"/>
        <v>0</v>
      </c>
      <c r="M347" s="158">
        <v>3.1103999999999998</v>
      </c>
      <c r="N347" s="158">
        <v>601852</v>
      </c>
    </row>
    <row r="348" spans="2:14" s="501" customFormat="1" ht="20.100000000000001" hidden="1" customHeight="1">
      <c r="B348" s="159">
        <v>601853</v>
      </c>
      <c r="C348" s="1039">
        <v>6.9119999999999999</v>
      </c>
      <c r="D348" s="105" t="s">
        <v>760</v>
      </c>
      <c r="E348" s="913" t="s">
        <v>178</v>
      </c>
      <c r="F348" s="920">
        <v>0</v>
      </c>
      <c r="G348" s="1041">
        <f>IFERROR(_xlfn.CEILING.MATH(Таблица2[[#This Row],[Кол-во материала по расчету]],C348),"-")</f>
        <v>0</v>
      </c>
      <c r="H348" s="933"/>
      <c r="I348" s="921">
        <f>IFERROR(Таблица2[[#This Row],[Кол-во материала с учетом кратности упаковки*****]]*Таблица2[[#This Row],[Стоимость 
ед., руб. ]],0)</f>
        <v>0</v>
      </c>
      <c r="K348" s="916">
        <f t="shared" si="5"/>
        <v>0</v>
      </c>
      <c r="M348" s="158">
        <v>6.9119999999999999</v>
      </c>
      <c r="N348" s="158">
        <v>601853</v>
      </c>
    </row>
    <row r="349" spans="2:14" s="501" customFormat="1" ht="20.100000000000001" hidden="1" customHeight="1">
      <c r="B349" s="159" t="s">
        <v>906</v>
      </c>
      <c r="C349" s="1039">
        <v>3.1680000000000001</v>
      </c>
      <c r="D349" s="105" t="s">
        <v>895</v>
      </c>
      <c r="E349" s="913" t="s">
        <v>178</v>
      </c>
      <c r="F349" s="920">
        <v>0</v>
      </c>
      <c r="G349" s="1041">
        <f>IFERROR(_xlfn.CEILING.MATH(Таблица2[[#This Row],[Кол-во материала по расчету]],C349),"-")</f>
        <v>0</v>
      </c>
      <c r="H349" s="933"/>
      <c r="I349" s="921">
        <f>IFERROR(Таблица2[[#This Row],[Кол-во материала с учетом кратности упаковки*****]]*Таблица2[[#This Row],[Стоимость 
ед., руб. ]],0)</f>
        <v>0</v>
      </c>
      <c r="K349" s="916">
        <f t="shared" si="5"/>
        <v>0</v>
      </c>
      <c r="M349" s="158">
        <v>3.1680000000000001</v>
      </c>
      <c r="N349" s="158" t="s">
        <v>906</v>
      </c>
    </row>
    <row r="350" spans="2:14" s="501" customFormat="1" ht="20.100000000000001" hidden="1" customHeight="1">
      <c r="B350" s="159" t="s">
        <v>907</v>
      </c>
      <c r="C350" s="1039">
        <v>3.024</v>
      </c>
      <c r="D350" s="105" t="s">
        <v>896</v>
      </c>
      <c r="E350" s="913" t="s">
        <v>178</v>
      </c>
      <c r="F350" s="920">
        <v>0</v>
      </c>
      <c r="G350" s="1041">
        <f>IFERROR(_xlfn.CEILING.MATH(Таблица2[[#This Row],[Кол-во материала по расчету]],C350),"-")</f>
        <v>0</v>
      </c>
      <c r="H350" s="933"/>
      <c r="I350" s="921">
        <f>IFERROR(Таблица2[[#This Row],[Кол-во материала с учетом кратности упаковки*****]]*Таблица2[[#This Row],[Стоимость 
ед., руб. ]],0)</f>
        <v>0</v>
      </c>
      <c r="K350" s="916">
        <f t="shared" si="5"/>
        <v>0</v>
      </c>
      <c r="M350" s="158">
        <v>3.024</v>
      </c>
      <c r="N350" s="158" t="s">
        <v>907</v>
      </c>
    </row>
    <row r="351" spans="2:14" s="501" customFormat="1" ht="20.100000000000001" hidden="1" customHeight="1">
      <c r="B351" s="159">
        <v>494946</v>
      </c>
      <c r="C351" s="1039">
        <v>6.9119999999999999</v>
      </c>
      <c r="D351" s="105" t="s">
        <v>1225</v>
      </c>
      <c r="E351" s="913" t="s">
        <v>178</v>
      </c>
      <c r="F351" s="920">
        <v>0</v>
      </c>
      <c r="G351" s="1041">
        <f>IFERROR(_xlfn.CEILING.MATH(Таблица2[[#This Row],[Кол-во материала по расчету]],C351),"-")</f>
        <v>0</v>
      </c>
      <c r="H351" s="933"/>
      <c r="I351" s="921">
        <f>IFERROR(Таблица2[[#This Row],[Кол-во материала с учетом кратности упаковки*****]]*Таблица2[[#This Row],[Стоимость 
ед., руб. ]],0)</f>
        <v>0</v>
      </c>
      <c r="K351" s="916">
        <f t="shared" si="5"/>
        <v>0</v>
      </c>
      <c r="M351" s="158">
        <v>6.9119999999999999</v>
      </c>
      <c r="N351" s="158">
        <v>494946</v>
      </c>
    </row>
    <row r="352" spans="2:14" s="501" customFormat="1" ht="20.100000000000001" hidden="1" customHeight="1">
      <c r="B352" s="159">
        <v>494947</v>
      </c>
      <c r="C352" s="1039">
        <v>6.6528</v>
      </c>
      <c r="D352" s="105" t="s">
        <v>1226</v>
      </c>
      <c r="E352" s="913" t="s">
        <v>178</v>
      </c>
      <c r="F352" s="920">
        <v>0</v>
      </c>
      <c r="G352" s="1041">
        <f>IFERROR(_xlfn.CEILING.MATH(Таблица2[[#This Row],[Кол-во материала по расчету]],C352),"-")</f>
        <v>0</v>
      </c>
      <c r="H352" s="933"/>
      <c r="I352" s="921">
        <f>IFERROR(Таблица2[[#This Row],[Кол-во материала с учетом кратности упаковки*****]]*Таблица2[[#This Row],[Стоимость 
ед., руб. ]],0)</f>
        <v>0</v>
      </c>
      <c r="K352" s="916">
        <f t="shared" si="5"/>
        <v>0</v>
      </c>
      <c r="M352" s="158">
        <v>6.6528</v>
      </c>
      <c r="N352" s="158">
        <v>494947</v>
      </c>
    </row>
    <row r="353" spans="2:14" s="501" customFormat="1" ht="20.100000000000001" hidden="1" customHeight="1">
      <c r="B353" s="159">
        <v>494948</v>
      </c>
      <c r="C353" s="1039">
        <v>6.9119999999999999</v>
      </c>
      <c r="D353" s="105" t="s">
        <v>1227</v>
      </c>
      <c r="E353" s="913" t="s">
        <v>178</v>
      </c>
      <c r="F353" s="920">
        <v>0</v>
      </c>
      <c r="G353" s="1041">
        <f>IFERROR(_xlfn.CEILING.MATH(Таблица2[[#This Row],[Кол-во материала по расчету]],C353),"-")</f>
        <v>0</v>
      </c>
      <c r="H353" s="933"/>
      <c r="I353" s="921">
        <f>IFERROR(Таблица2[[#This Row],[Кол-во материала с учетом кратности упаковки*****]]*Таблица2[[#This Row],[Стоимость 
ед., руб. ]],0)</f>
        <v>0</v>
      </c>
      <c r="K353" s="916">
        <f t="shared" si="5"/>
        <v>0</v>
      </c>
      <c r="M353" s="158">
        <v>6.9119999999999999</v>
      </c>
      <c r="N353" s="158">
        <v>494948</v>
      </c>
    </row>
    <row r="354" spans="2:14" s="501" customFormat="1" ht="20.100000000000001" hidden="1" customHeight="1">
      <c r="B354" s="159">
        <v>494949</v>
      </c>
      <c r="C354" s="1039">
        <v>6.7392000000000003</v>
      </c>
      <c r="D354" s="105" t="s">
        <v>1228</v>
      </c>
      <c r="E354" s="913" t="s">
        <v>178</v>
      </c>
      <c r="F354" s="920">
        <v>0</v>
      </c>
      <c r="G354" s="1041">
        <f>IFERROR(_xlfn.CEILING.MATH(Таблица2[[#This Row],[Кол-во материала по расчету]],C354),"-")</f>
        <v>0</v>
      </c>
      <c r="H354" s="933"/>
      <c r="I354" s="921">
        <f>IFERROR(Таблица2[[#This Row],[Кол-во материала с учетом кратности упаковки*****]]*Таблица2[[#This Row],[Стоимость 
ед., руб. ]],0)</f>
        <v>0</v>
      </c>
      <c r="K354" s="916">
        <f t="shared" si="5"/>
        <v>0</v>
      </c>
      <c r="M354" s="158">
        <v>6.7392000000000003</v>
      </c>
      <c r="N354" s="158">
        <v>494949</v>
      </c>
    </row>
    <row r="355" spans="2:14" s="501" customFormat="1" ht="20.100000000000001" hidden="1" customHeight="1">
      <c r="B355" s="159">
        <v>494950</v>
      </c>
      <c r="C355" s="1039">
        <v>6.4512</v>
      </c>
      <c r="D355" s="105" t="s">
        <v>1229</v>
      </c>
      <c r="E355" s="913" t="s">
        <v>178</v>
      </c>
      <c r="F355" s="920">
        <v>0</v>
      </c>
      <c r="G355" s="1041">
        <f>IFERROR(_xlfn.CEILING.MATH(Таблица2[[#This Row],[Кол-во материала по расчету]],C355),"-")</f>
        <v>0</v>
      </c>
      <c r="H355" s="933"/>
      <c r="I355" s="921">
        <f>IFERROR(Таблица2[[#This Row],[Кол-во материала с учетом кратности упаковки*****]]*Таблица2[[#This Row],[Стоимость 
ед., руб. ]],0)</f>
        <v>0</v>
      </c>
      <c r="K355" s="916">
        <f t="shared" si="5"/>
        <v>0</v>
      </c>
      <c r="M355" s="158">
        <v>6.4512</v>
      </c>
      <c r="N355" s="158">
        <v>494950</v>
      </c>
    </row>
    <row r="356" spans="2:14" s="501" customFormat="1" ht="20.100000000000001" hidden="1" customHeight="1">
      <c r="B356" s="159">
        <v>494952</v>
      </c>
      <c r="C356" s="1039">
        <v>6.9119999999999999</v>
      </c>
      <c r="D356" s="105" t="s">
        <v>1230</v>
      </c>
      <c r="E356" s="913" t="s">
        <v>178</v>
      </c>
      <c r="F356" s="920">
        <v>0</v>
      </c>
      <c r="G356" s="1041">
        <f>IFERROR(_xlfn.CEILING.MATH(Таблица2[[#This Row],[Кол-во материала по расчету]],C356),"-")</f>
        <v>0</v>
      </c>
      <c r="H356" s="933"/>
      <c r="I356" s="921">
        <f>IFERROR(Таблица2[[#This Row],[Кол-во материала с учетом кратности упаковки*****]]*Таблица2[[#This Row],[Стоимость 
ед., руб. ]],0)</f>
        <v>0</v>
      </c>
      <c r="K356" s="916">
        <f t="shared" si="5"/>
        <v>0</v>
      </c>
      <c r="M356" s="158">
        <v>6.9119999999999999</v>
      </c>
      <c r="N356" s="158">
        <v>494952</v>
      </c>
    </row>
    <row r="357" spans="2:14" s="501" customFormat="1" ht="20.100000000000001" hidden="1" customHeight="1">
      <c r="B357" s="159">
        <v>494954</v>
      </c>
      <c r="C357" s="1039">
        <v>6.4512</v>
      </c>
      <c r="D357" s="105" t="s">
        <v>1231</v>
      </c>
      <c r="E357" s="913" t="s">
        <v>178</v>
      </c>
      <c r="F357" s="920">
        <v>0</v>
      </c>
      <c r="G357" s="1041">
        <f>IFERROR(_xlfn.CEILING.MATH(Таблица2[[#This Row],[Кол-во материала по расчету]],C357),"-")</f>
        <v>0</v>
      </c>
      <c r="H357" s="933"/>
      <c r="I357" s="921">
        <f>IFERROR(Таблица2[[#This Row],[Кол-во материала с учетом кратности упаковки*****]]*Таблица2[[#This Row],[Стоимость 
ед., руб. ]],0)</f>
        <v>0</v>
      </c>
      <c r="K357" s="916">
        <f t="shared" si="5"/>
        <v>0</v>
      </c>
      <c r="M357" s="158">
        <v>6.4512</v>
      </c>
      <c r="N357" s="158">
        <v>494954</v>
      </c>
    </row>
    <row r="358" spans="2:14" s="501" customFormat="1" ht="20.100000000000001" hidden="1" customHeight="1">
      <c r="B358" s="159">
        <v>494955</v>
      </c>
      <c r="C358" s="1039">
        <v>6.8544</v>
      </c>
      <c r="D358" s="105" t="s">
        <v>1232</v>
      </c>
      <c r="E358" s="913" t="s">
        <v>178</v>
      </c>
      <c r="F358" s="920">
        <v>0</v>
      </c>
      <c r="G358" s="1041">
        <f>IFERROR(_xlfn.CEILING.MATH(Таблица2[[#This Row],[Кол-во материала по расчету]],C358),"-")</f>
        <v>0</v>
      </c>
      <c r="H358" s="933"/>
      <c r="I358" s="921">
        <f>IFERROR(Таблица2[[#This Row],[Кол-во материала с учетом кратности упаковки*****]]*Таблица2[[#This Row],[Стоимость 
ед., руб. ]],0)</f>
        <v>0</v>
      </c>
      <c r="K358" s="916">
        <f t="shared" si="5"/>
        <v>0</v>
      </c>
      <c r="M358" s="158">
        <v>6.8544</v>
      </c>
      <c r="N358" s="158">
        <v>494955</v>
      </c>
    </row>
    <row r="359" spans="2:14" s="501" customFormat="1" ht="20.100000000000001" hidden="1" customHeight="1">
      <c r="B359" s="159">
        <v>494968</v>
      </c>
      <c r="C359" s="1039">
        <v>6.2207999999999997</v>
      </c>
      <c r="D359" s="105" t="s">
        <v>1233</v>
      </c>
      <c r="E359" s="913" t="s">
        <v>178</v>
      </c>
      <c r="F359" s="920">
        <v>0</v>
      </c>
      <c r="G359" s="1041">
        <f>IFERROR(_xlfn.CEILING.MATH(Таблица2[[#This Row],[Кол-во материала по расчету]],C359),"-")</f>
        <v>0</v>
      </c>
      <c r="H359" s="933"/>
      <c r="I359" s="921">
        <f>IFERROR(Таблица2[[#This Row],[Кол-во материала с учетом кратности упаковки*****]]*Таблица2[[#This Row],[Стоимость 
ед., руб. ]],0)</f>
        <v>0</v>
      </c>
      <c r="K359" s="916">
        <f t="shared" si="5"/>
        <v>0</v>
      </c>
      <c r="M359" s="158">
        <v>6.2207999999999997</v>
      </c>
      <c r="N359" s="158">
        <v>494968</v>
      </c>
    </row>
    <row r="360" spans="2:14" s="501" customFormat="1" ht="20.100000000000001" hidden="1" customHeight="1">
      <c r="B360" s="159">
        <v>494942</v>
      </c>
      <c r="C360" s="1039">
        <v>6.9119999999999999</v>
      </c>
      <c r="D360" s="105" t="s">
        <v>1220</v>
      </c>
      <c r="E360" s="913" t="s">
        <v>178</v>
      </c>
      <c r="F360" s="920">
        <v>0</v>
      </c>
      <c r="G360" s="1041">
        <f>IFERROR(_xlfn.CEILING.MATH(Таблица2[[#This Row],[Кол-во материала по расчету]],C360),"-")</f>
        <v>0</v>
      </c>
      <c r="H360" s="933"/>
      <c r="I360" s="921">
        <f>IFERROR(Таблица2[[#This Row],[Кол-во материала с учетом кратности упаковки*****]]*Таблица2[[#This Row],[Стоимость 
ед., руб. ]],0)</f>
        <v>0</v>
      </c>
      <c r="K360" s="916">
        <f t="shared" si="5"/>
        <v>0</v>
      </c>
      <c r="M360" s="158">
        <v>6.9119999999999999</v>
      </c>
      <c r="N360" s="158">
        <v>494942</v>
      </c>
    </row>
    <row r="361" spans="2:14" s="501" customFormat="1" ht="20.100000000000001" hidden="1" customHeight="1">
      <c r="B361" s="159">
        <v>494943</v>
      </c>
      <c r="C361" s="1039">
        <v>6.9119999999999999</v>
      </c>
      <c r="D361" s="105" t="s">
        <v>1221</v>
      </c>
      <c r="E361" s="913" t="s">
        <v>178</v>
      </c>
      <c r="F361" s="920">
        <v>0</v>
      </c>
      <c r="G361" s="1041">
        <f>IFERROR(_xlfn.CEILING.MATH(Таблица2[[#This Row],[Кол-во материала по расчету]],C361),"-")</f>
        <v>0</v>
      </c>
      <c r="H361" s="933"/>
      <c r="I361" s="921">
        <f>IFERROR(Таблица2[[#This Row],[Кол-во материала с учетом кратности упаковки*****]]*Таблица2[[#This Row],[Стоимость 
ед., руб. ]],0)</f>
        <v>0</v>
      </c>
      <c r="K361" s="916">
        <f t="shared" si="5"/>
        <v>0</v>
      </c>
      <c r="M361" s="158">
        <v>6.9119999999999999</v>
      </c>
      <c r="N361" s="158">
        <v>494943</v>
      </c>
    </row>
    <row r="362" spans="2:14" s="501" customFormat="1" ht="20.100000000000001" hidden="1" customHeight="1">
      <c r="B362" s="159">
        <v>494944</v>
      </c>
      <c r="C362" s="1039">
        <v>6.4512</v>
      </c>
      <c r="D362" s="105" t="s">
        <v>1222</v>
      </c>
      <c r="E362" s="913" t="s">
        <v>178</v>
      </c>
      <c r="F362" s="920">
        <v>0</v>
      </c>
      <c r="G362" s="1041">
        <f>IFERROR(_xlfn.CEILING.MATH(Таблица2[[#This Row],[Кол-во материала по расчету]],C362),"-")</f>
        <v>0</v>
      </c>
      <c r="H362" s="933"/>
      <c r="I362" s="921">
        <f>IFERROR(Таблица2[[#This Row],[Кол-во материала с учетом кратности упаковки*****]]*Таблица2[[#This Row],[Стоимость 
ед., руб. ]],0)</f>
        <v>0</v>
      </c>
      <c r="K362" s="916">
        <f t="shared" si="5"/>
        <v>0</v>
      </c>
      <c r="M362" s="158">
        <v>6.4512</v>
      </c>
      <c r="N362" s="158">
        <v>494944</v>
      </c>
    </row>
    <row r="363" spans="2:14" s="501" customFormat="1" ht="20.100000000000001" hidden="1" customHeight="1">
      <c r="B363" s="159">
        <v>494945</v>
      </c>
      <c r="C363" s="1039">
        <v>6.9119999999999999</v>
      </c>
      <c r="D363" s="105" t="s">
        <v>1223</v>
      </c>
      <c r="E363" s="913" t="s">
        <v>178</v>
      </c>
      <c r="F363" s="920">
        <v>0</v>
      </c>
      <c r="G363" s="1041">
        <f>IFERROR(_xlfn.CEILING.MATH(Таблица2[[#This Row],[Кол-во материала по расчету]],C363),"-")</f>
        <v>0</v>
      </c>
      <c r="H363" s="933"/>
      <c r="I363" s="921">
        <f>IFERROR(Таблица2[[#This Row],[Кол-во материала с учетом кратности упаковки*****]]*Таблица2[[#This Row],[Стоимость 
ед., руб. ]],0)</f>
        <v>0</v>
      </c>
      <c r="K363" s="916">
        <f t="shared" si="5"/>
        <v>0</v>
      </c>
      <c r="M363" s="158">
        <v>6.9119999999999999</v>
      </c>
      <c r="N363" s="158">
        <v>494945</v>
      </c>
    </row>
    <row r="364" spans="2:14" s="501" customFormat="1" ht="20.100000000000001" hidden="1" customHeight="1">
      <c r="B364" s="159">
        <v>494862</v>
      </c>
      <c r="C364" s="1039">
        <v>6.2207999999999997</v>
      </c>
      <c r="D364" s="105" t="s">
        <v>1224</v>
      </c>
      <c r="E364" s="913" t="s">
        <v>178</v>
      </c>
      <c r="F364" s="920">
        <v>0</v>
      </c>
      <c r="G364" s="1041">
        <f>IFERROR(_xlfn.CEILING.MATH(Таблица2[[#This Row],[Кол-во материала по расчету]],C364),"-")</f>
        <v>0</v>
      </c>
      <c r="H364" s="933"/>
      <c r="I364" s="921">
        <f>IFERROR(Таблица2[[#This Row],[Кол-во материала с учетом кратности упаковки*****]]*Таблица2[[#This Row],[Стоимость 
ед., руб. ]],0)</f>
        <v>0</v>
      </c>
      <c r="K364" s="916">
        <f t="shared" si="5"/>
        <v>0</v>
      </c>
      <c r="M364" s="158">
        <v>6.2207999999999997</v>
      </c>
      <c r="N364" s="158">
        <v>494862</v>
      </c>
    </row>
    <row r="365" spans="2:14" s="501" customFormat="1" ht="20.100000000000001" hidden="1" customHeight="1">
      <c r="B365" s="159">
        <v>78389</v>
      </c>
      <c r="C365" s="1039">
        <v>6.9119999999999999</v>
      </c>
      <c r="D365" s="105" t="s">
        <v>1167</v>
      </c>
      <c r="E365" s="913" t="s">
        <v>178</v>
      </c>
      <c r="F365" s="920">
        <v>0</v>
      </c>
      <c r="G365" s="1041">
        <f>IFERROR(_xlfn.CEILING.MATH(Таблица2[[#This Row],[Кол-во материала по расчету]],C365),"-")</f>
        <v>0</v>
      </c>
      <c r="H365" s="933"/>
      <c r="I365" s="921">
        <f>IFERROR(Таблица2[[#This Row],[Кол-во материала с учетом кратности упаковки*****]]*Таблица2[[#This Row],[Стоимость 
ед., руб. ]],0)</f>
        <v>0</v>
      </c>
      <c r="K365" s="916">
        <f t="shared" si="5"/>
        <v>0</v>
      </c>
      <c r="M365" s="158">
        <v>6.9119999999999999</v>
      </c>
      <c r="N365" s="158">
        <v>78389</v>
      </c>
    </row>
    <row r="366" spans="2:14" s="501" customFormat="1" ht="20.100000000000001" hidden="1" customHeight="1">
      <c r="B366" s="159">
        <v>25304</v>
      </c>
      <c r="C366" s="1039">
        <v>6.6528</v>
      </c>
      <c r="D366" s="105" t="s">
        <v>1168</v>
      </c>
      <c r="E366" s="913" t="s">
        <v>178</v>
      </c>
      <c r="F366" s="920">
        <v>0</v>
      </c>
      <c r="G366" s="1041">
        <f>IFERROR(_xlfn.CEILING.MATH(Таблица2[[#This Row],[Кол-во материала по расчету]],C366),"-")</f>
        <v>0</v>
      </c>
      <c r="H366" s="933"/>
      <c r="I366" s="921">
        <f>IFERROR(Таблица2[[#This Row],[Кол-во материала с учетом кратности упаковки*****]]*Таблица2[[#This Row],[Стоимость 
ед., руб. ]],0)</f>
        <v>0</v>
      </c>
      <c r="K366" s="916">
        <f t="shared" si="5"/>
        <v>0</v>
      </c>
      <c r="M366" s="158">
        <v>6.6528</v>
      </c>
      <c r="N366" s="158">
        <v>25304</v>
      </c>
    </row>
    <row r="367" spans="2:14" s="501" customFormat="1" ht="20.100000000000001" hidden="1" customHeight="1">
      <c r="B367" s="159">
        <v>28737</v>
      </c>
      <c r="C367" s="1039">
        <v>6.9119999999999999</v>
      </c>
      <c r="D367" s="105" t="s">
        <v>1169</v>
      </c>
      <c r="E367" s="913" t="s">
        <v>178</v>
      </c>
      <c r="F367" s="920">
        <v>0</v>
      </c>
      <c r="G367" s="1041">
        <f>IFERROR(_xlfn.CEILING.MATH(Таблица2[[#This Row],[Кол-во материала по расчету]],C367),"-")</f>
        <v>0</v>
      </c>
      <c r="H367" s="933"/>
      <c r="I367" s="921">
        <f>IFERROR(Таблица2[[#This Row],[Кол-во материала с учетом кратности упаковки*****]]*Таблица2[[#This Row],[Стоимость 
ед., руб. ]],0)</f>
        <v>0</v>
      </c>
      <c r="K367" s="916">
        <f t="shared" si="5"/>
        <v>0</v>
      </c>
      <c r="M367" s="158">
        <v>6.9119999999999999</v>
      </c>
      <c r="N367" s="158">
        <v>28737</v>
      </c>
    </row>
    <row r="368" spans="2:14" s="501" customFormat="1" ht="20.100000000000001" hidden="1" customHeight="1">
      <c r="B368" s="159">
        <v>31625</v>
      </c>
      <c r="C368" s="1039">
        <v>6.7392000000000003</v>
      </c>
      <c r="D368" s="105" t="s">
        <v>1170</v>
      </c>
      <c r="E368" s="913" t="s">
        <v>178</v>
      </c>
      <c r="F368" s="920">
        <v>0</v>
      </c>
      <c r="G368" s="1041">
        <f>IFERROR(_xlfn.CEILING.MATH(Таблица2[[#This Row],[Кол-во материала по расчету]],C368),"-")</f>
        <v>0</v>
      </c>
      <c r="H368" s="933"/>
      <c r="I368" s="921">
        <f>IFERROR(Таблица2[[#This Row],[Кол-во материала с учетом кратности упаковки*****]]*Таблица2[[#This Row],[Стоимость 
ед., руб. ]],0)</f>
        <v>0</v>
      </c>
      <c r="K368" s="916">
        <f t="shared" si="5"/>
        <v>0</v>
      </c>
      <c r="M368" s="158">
        <v>6.7392000000000003</v>
      </c>
      <c r="N368" s="158">
        <v>31625</v>
      </c>
    </row>
    <row r="369" spans="2:14" s="501" customFormat="1" ht="20.100000000000001" hidden="1" customHeight="1">
      <c r="B369" s="159">
        <v>12468</v>
      </c>
      <c r="C369" s="1039">
        <v>6.4512</v>
      </c>
      <c r="D369" s="105" t="s">
        <v>1171</v>
      </c>
      <c r="E369" s="913" t="s">
        <v>178</v>
      </c>
      <c r="F369" s="920">
        <v>0</v>
      </c>
      <c r="G369" s="1041">
        <f>IFERROR(_xlfn.CEILING.MATH(Таблица2[[#This Row],[Кол-во материала по расчету]],C369),"-")</f>
        <v>0</v>
      </c>
      <c r="H369" s="933"/>
      <c r="I369" s="921">
        <f>IFERROR(Таблица2[[#This Row],[Кол-во материала с учетом кратности упаковки*****]]*Таблица2[[#This Row],[Стоимость 
ед., руб. ]],0)</f>
        <v>0</v>
      </c>
      <c r="K369" s="916">
        <f t="shared" si="5"/>
        <v>0</v>
      </c>
      <c r="M369" s="158">
        <v>6.4512</v>
      </c>
      <c r="N369" s="158">
        <v>12468</v>
      </c>
    </row>
    <row r="370" spans="2:14" s="501" customFormat="1" ht="20.100000000000001" hidden="1" customHeight="1">
      <c r="B370" s="159">
        <v>37612</v>
      </c>
      <c r="C370" s="1039">
        <v>6.9119999999999999</v>
      </c>
      <c r="D370" s="105" t="s">
        <v>1172</v>
      </c>
      <c r="E370" s="913" t="s">
        <v>178</v>
      </c>
      <c r="F370" s="920">
        <v>0</v>
      </c>
      <c r="G370" s="1041">
        <f>IFERROR(_xlfn.CEILING.MATH(Таблица2[[#This Row],[Кол-во материала по расчету]],C370),"-")</f>
        <v>0</v>
      </c>
      <c r="H370" s="933"/>
      <c r="I370" s="921">
        <f>IFERROR(Таблица2[[#This Row],[Кол-во материала с учетом кратности упаковки*****]]*Таблица2[[#This Row],[Стоимость 
ед., руб. ]],0)</f>
        <v>0</v>
      </c>
      <c r="K370" s="916">
        <f t="shared" si="5"/>
        <v>0</v>
      </c>
      <c r="M370" s="158">
        <v>6.9119999999999999</v>
      </c>
      <c r="N370" s="158">
        <v>37612</v>
      </c>
    </row>
    <row r="371" spans="2:14" s="501" customFormat="1" ht="20.100000000000001" hidden="1" customHeight="1">
      <c r="B371" s="159">
        <v>36476</v>
      </c>
      <c r="C371" s="1039">
        <v>6.4512</v>
      </c>
      <c r="D371" s="105" t="s">
        <v>1173</v>
      </c>
      <c r="E371" s="913" t="s">
        <v>178</v>
      </c>
      <c r="F371" s="920">
        <v>0</v>
      </c>
      <c r="G371" s="1041">
        <f>IFERROR(_xlfn.CEILING.MATH(Таблица2[[#This Row],[Кол-во материала по расчету]],C371),"-")</f>
        <v>0</v>
      </c>
      <c r="H371" s="933"/>
      <c r="I371" s="921">
        <f>IFERROR(Таблица2[[#This Row],[Кол-во материала с учетом кратности упаковки*****]]*Таблица2[[#This Row],[Стоимость 
ед., руб. ]],0)</f>
        <v>0</v>
      </c>
      <c r="K371" s="916">
        <f t="shared" si="5"/>
        <v>0</v>
      </c>
      <c r="M371" s="158">
        <v>6.4512</v>
      </c>
      <c r="N371" s="158">
        <v>36476</v>
      </c>
    </row>
    <row r="372" spans="2:14" s="501" customFormat="1" ht="20.100000000000001" hidden="1" customHeight="1">
      <c r="B372" s="159">
        <v>210571</v>
      </c>
      <c r="C372" s="1039">
        <v>6.8544</v>
      </c>
      <c r="D372" s="105" t="s">
        <v>1174</v>
      </c>
      <c r="E372" s="913" t="s">
        <v>178</v>
      </c>
      <c r="F372" s="920">
        <v>0</v>
      </c>
      <c r="G372" s="1041">
        <f>IFERROR(_xlfn.CEILING.MATH(Таблица2[[#This Row],[Кол-во материала по расчету]],C372),"-")</f>
        <v>0</v>
      </c>
      <c r="H372" s="933"/>
      <c r="I372" s="921">
        <f>IFERROR(Таблица2[[#This Row],[Кол-во материала с учетом кратности упаковки*****]]*Таблица2[[#This Row],[Стоимость 
ед., руб. ]],0)</f>
        <v>0</v>
      </c>
      <c r="K372" s="916">
        <f t="shared" si="5"/>
        <v>0</v>
      </c>
      <c r="M372" s="158">
        <v>6.8544</v>
      </c>
      <c r="N372" s="158">
        <v>210571</v>
      </c>
    </row>
    <row r="373" spans="2:14" s="501" customFormat="1" ht="20.100000000000001" hidden="1" customHeight="1">
      <c r="B373" s="159">
        <v>345526</v>
      </c>
      <c r="C373" s="1039">
        <v>6.2207999999999997</v>
      </c>
      <c r="D373" s="105" t="s">
        <v>1175</v>
      </c>
      <c r="E373" s="913" t="s">
        <v>178</v>
      </c>
      <c r="F373" s="920">
        <v>0</v>
      </c>
      <c r="G373" s="1041">
        <f>IFERROR(_xlfn.CEILING.MATH(Таблица2[[#This Row],[Кол-во материала по расчету]],C373),"-")</f>
        <v>0</v>
      </c>
      <c r="H373" s="933"/>
      <c r="I373" s="921">
        <f>IFERROR(Таблица2[[#This Row],[Кол-во материала с учетом кратности упаковки*****]]*Таблица2[[#This Row],[Стоимость 
ед., руб. ]],0)</f>
        <v>0</v>
      </c>
      <c r="K373" s="916">
        <f t="shared" si="5"/>
        <v>0</v>
      </c>
      <c r="M373" s="158">
        <v>6.2207999999999997</v>
      </c>
      <c r="N373" s="158">
        <v>345526</v>
      </c>
    </row>
    <row r="374" spans="2:14" s="501" customFormat="1" ht="20.100000000000001" hidden="1" customHeight="1">
      <c r="B374" s="159">
        <v>28579</v>
      </c>
      <c r="C374" s="1039">
        <v>6.9119999999999999</v>
      </c>
      <c r="D374" s="105" t="s">
        <v>1162</v>
      </c>
      <c r="E374" s="913" t="s">
        <v>178</v>
      </c>
      <c r="F374" s="920">
        <v>0</v>
      </c>
      <c r="G374" s="1041">
        <f>IFERROR(_xlfn.CEILING.MATH(Таблица2[[#This Row],[Кол-во материала по расчету]],C374),"-")</f>
        <v>0</v>
      </c>
      <c r="H374" s="933"/>
      <c r="I374" s="921">
        <f>IFERROR(Таблица2[[#This Row],[Кол-во материала с учетом кратности упаковки*****]]*Таблица2[[#This Row],[Стоимость 
ед., руб. ]],0)</f>
        <v>0</v>
      </c>
      <c r="K374" s="916">
        <f t="shared" si="5"/>
        <v>0</v>
      </c>
      <c r="M374" s="158">
        <v>6.9119999999999999</v>
      </c>
      <c r="N374" s="158">
        <v>28579</v>
      </c>
    </row>
    <row r="375" spans="2:14" s="501" customFormat="1" ht="20.100000000000001" hidden="1" customHeight="1">
      <c r="B375" s="159">
        <v>28528</v>
      </c>
      <c r="C375" s="1039">
        <v>6.9119999999999999</v>
      </c>
      <c r="D375" s="105" t="s">
        <v>1163</v>
      </c>
      <c r="E375" s="913" t="s">
        <v>178</v>
      </c>
      <c r="F375" s="920">
        <v>0</v>
      </c>
      <c r="G375" s="1041">
        <f>IFERROR(_xlfn.CEILING.MATH(Таблица2[[#This Row],[Кол-во материала по расчету]],C375),"-")</f>
        <v>0</v>
      </c>
      <c r="H375" s="933"/>
      <c r="I375" s="921">
        <f>IFERROR(Таблица2[[#This Row],[Кол-во материала с учетом кратности упаковки*****]]*Таблица2[[#This Row],[Стоимость 
ед., руб. ]],0)</f>
        <v>0</v>
      </c>
      <c r="K375" s="916">
        <f t="shared" si="5"/>
        <v>0</v>
      </c>
      <c r="M375" s="158">
        <v>6.9119999999999999</v>
      </c>
      <c r="N375" s="158">
        <v>28528</v>
      </c>
    </row>
    <row r="376" spans="2:14" s="501" customFormat="1" ht="20.100000000000001" hidden="1" customHeight="1">
      <c r="B376" s="159">
        <v>12469</v>
      </c>
      <c r="C376" s="1039">
        <v>6.4512</v>
      </c>
      <c r="D376" s="105" t="s">
        <v>1164</v>
      </c>
      <c r="E376" s="913" t="s">
        <v>178</v>
      </c>
      <c r="F376" s="920">
        <v>0</v>
      </c>
      <c r="G376" s="1041">
        <f>IFERROR(_xlfn.CEILING.MATH(Таблица2[[#This Row],[Кол-во материала по расчету]],C376),"-")</f>
        <v>0</v>
      </c>
      <c r="H376" s="933"/>
      <c r="I376" s="921">
        <f>IFERROR(Таблица2[[#This Row],[Кол-во материала с учетом кратности упаковки*****]]*Таблица2[[#This Row],[Стоимость 
ед., руб. ]],0)</f>
        <v>0</v>
      </c>
      <c r="K376" s="916">
        <f t="shared" si="5"/>
        <v>0</v>
      </c>
      <c r="M376" s="158">
        <v>6.4512</v>
      </c>
      <c r="N376" s="158">
        <v>12469</v>
      </c>
    </row>
    <row r="377" spans="2:14" s="501" customFormat="1" ht="20.100000000000001" hidden="1" customHeight="1">
      <c r="B377" s="159">
        <v>28369</v>
      </c>
      <c r="C377" s="1039">
        <v>6.9119999999999999</v>
      </c>
      <c r="D377" s="105" t="s">
        <v>1165</v>
      </c>
      <c r="E377" s="913" t="s">
        <v>178</v>
      </c>
      <c r="F377" s="920">
        <v>0</v>
      </c>
      <c r="G377" s="1041">
        <f>IFERROR(_xlfn.CEILING.MATH(Таблица2[[#This Row],[Кол-во материала по расчету]],C377),"-")</f>
        <v>0</v>
      </c>
      <c r="H377" s="933"/>
      <c r="I377" s="921">
        <f>IFERROR(Таблица2[[#This Row],[Кол-во материала с учетом кратности упаковки*****]]*Таблица2[[#This Row],[Стоимость 
ед., руб. ]],0)</f>
        <v>0</v>
      </c>
      <c r="K377" s="916">
        <f t="shared" si="5"/>
        <v>0</v>
      </c>
      <c r="M377" s="158">
        <v>6.9119999999999999</v>
      </c>
      <c r="N377" s="158">
        <v>28369</v>
      </c>
    </row>
    <row r="378" spans="2:14" s="501" customFormat="1" ht="20.100000000000001" hidden="1" customHeight="1">
      <c r="B378" s="159">
        <v>29639</v>
      </c>
      <c r="C378" s="1039">
        <v>6.2207999999999997</v>
      </c>
      <c r="D378" s="105" t="s">
        <v>1166</v>
      </c>
      <c r="E378" s="913" t="s">
        <v>178</v>
      </c>
      <c r="F378" s="920">
        <v>0</v>
      </c>
      <c r="G378" s="1041">
        <f>IFERROR(_xlfn.CEILING.MATH(Таблица2[[#This Row],[Кол-во материала по расчету]],C378),"-")</f>
        <v>0</v>
      </c>
      <c r="H378" s="933"/>
      <c r="I378" s="921">
        <f>IFERROR(Таблица2[[#This Row],[Кол-во материала с учетом кратности упаковки*****]]*Таблица2[[#This Row],[Стоимость 
ед., руб. ]],0)</f>
        <v>0</v>
      </c>
      <c r="K378" s="916">
        <f t="shared" si="5"/>
        <v>0</v>
      </c>
      <c r="M378" s="158">
        <v>6.2207999999999997</v>
      </c>
      <c r="N378" s="158">
        <v>29639</v>
      </c>
    </row>
    <row r="379" spans="2:14" s="501" customFormat="1" ht="20.100000000000001" hidden="1" customHeight="1">
      <c r="B379" s="159">
        <v>494975</v>
      </c>
      <c r="C379" s="1039">
        <v>6.9119999999999999</v>
      </c>
      <c r="D379" s="105" t="s">
        <v>1193</v>
      </c>
      <c r="E379" s="913" t="s">
        <v>178</v>
      </c>
      <c r="F379" s="920">
        <v>0</v>
      </c>
      <c r="G379" s="1041">
        <f>IFERROR(_xlfn.CEILING.MATH(Таблица2[[#This Row],[Кол-во материала по расчету]],C379),"-")</f>
        <v>0</v>
      </c>
      <c r="H379" s="933"/>
      <c r="I379" s="921">
        <f>IFERROR(Таблица2[[#This Row],[Кол-во материала с учетом кратности упаковки*****]]*Таблица2[[#This Row],[Стоимость 
ед., руб. ]],0)</f>
        <v>0</v>
      </c>
      <c r="K379" s="916">
        <f t="shared" si="5"/>
        <v>0</v>
      </c>
      <c r="M379" s="158">
        <v>6.9119999999999999</v>
      </c>
      <c r="N379" s="158">
        <v>494975</v>
      </c>
    </row>
    <row r="380" spans="2:14" s="501" customFormat="1" ht="20.100000000000001" hidden="1" customHeight="1">
      <c r="B380" s="159">
        <v>494976</v>
      </c>
      <c r="C380" s="1039">
        <v>6.6528</v>
      </c>
      <c r="D380" s="105" t="s">
        <v>1194</v>
      </c>
      <c r="E380" s="913" t="s">
        <v>178</v>
      </c>
      <c r="F380" s="920">
        <v>0</v>
      </c>
      <c r="G380" s="1041">
        <f>IFERROR(_xlfn.CEILING.MATH(Таблица2[[#This Row],[Кол-во материала по расчету]],C380),"-")</f>
        <v>0</v>
      </c>
      <c r="H380" s="933"/>
      <c r="I380" s="921">
        <f>IFERROR(Таблица2[[#This Row],[Кол-во материала с учетом кратности упаковки*****]]*Таблица2[[#This Row],[Стоимость 
ед., руб. ]],0)</f>
        <v>0</v>
      </c>
      <c r="K380" s="916">
        <f t="shared" si="5"/>
        <v>0</v>
      </c>
      <c r="M380" s="158">
        <v>6.6528</v>
      </c>
      <c r="N380" s="158">
        <v>494976</v>
      </c>
    </row>
    <row r="381" spans="2:14" s="501" customFormat="1" ht="20.100000000000001" hidden="1" customHeight="1">
      <c r="B381" s="159">
        <v>494977</v>
      </c>
      <c r="C381" s="1039">
        <v>6.9119999999999999</v>
      </c>
      <c r="D381" s="105" t="s">
        <v>1195</v>
      </c>
      <c r="E381" s="913" t="s">
        <v>178</v>
      </c>
      <c r="F381" s="920">
        <v>0</v>
      </c>
      <c r="G381" s="1041">
        <f>IFERROR(_xlfn.CEILING.MATH(Таблица2[[#This Row],[Кол-во материала по расчету]],C381),"-")</f>
        <v>0</v>
      </c>
      <c r="H381" s="933"/>
      <c r="I381" s="921">
        <f>IFERROR(Таблица2[[#This Row],[Кол-во материала с учетом кратности упаковки*****]]*Таблица2[[#This Row],[Стоимость 
ед., руб. ]],0)</f>
        <v>0</v>
      </c>
      <c r="K381" s="916">
        <f t="shared" si="5"/>
        <v>0</v>
      </c>
      <c r="M381" s="158">
        <v>6.9119999999999999</v>
      </c>
      <c r="N381" s="158">
        <v>494977</v>
      </c>
    </row>
    <row r="382" spans="2:14" s="501" customFormat="1" ht="20.100000000000001" hidden="1" customHeight="1">
      <c r="B382" s="159">
        <v>494987</v>
      </c>
      <c r="C382" s="1039">
        <v>6.7392000000000003</v>
      </c>
      <c r="D382" s="105" t="s">
        <v>1196</v>
      </c>
      <c r="E382" s="913" t="s">
        <v>178</v>
      </c>
      <c r="F382" s="920">
        <v>0</v>
      </c>
      <c r="G382" s="1041">
        <f>IFERROR(_xlfn.CEILING.MATH(Таблица2[[#This Row],[Кол-во материала по расчету]],C382),"-")</f>
        <v>0</v>
      </c>
      <c r="H382" s="933"/>
      <c r="I382" s="921">
        <f>IFERROR(Таблица2[[#This Row],[Кол-во материала с учетом кратности упаковки*****]]*Таблица2[[#This Row],[Стоимость 
ед., руб. ]],0)</f>
        <v>0</v>
      </c>
      <c r="K382" s="916">
        <f t="shared" si="5"/>
        <v>0</v>
      </c>
      <c r="M382" s="158">
        <v>6.7392000000000003</v>
      </c>
      <c r="N382" s="158">
        <v>494987</v>
      </c>
    </row>
    <row r="383" spans="2:14" s="501" customFormat="1" ht="20.100000000000001" hidden="1" customHeight="1">
      <c r="B383" s="159">
        <v>494988</v>
      </c>
      <c r="C383" s="1039">
        <v>6.4512</v>
      </c>
      <c r="D383" s="105" t="s">
        <v>1197</v>
      </c>
      <c r="E383" s="913" t="s">
        <v>178</v>
      </c>
      <c r="F383" s="920">
        <v>0</v>
      </c>
      <c r="G383" s="1041">
        <f>IFERROR(_xlfn.CEILING.MATH(Таблица2[[#This Row],[Кол-во материала по расчету]],C383),"-")</f>
        <v>0</v>
      </c>
      <c r="H383" s="933"/>
      <c r="I383" s="921">
        <f>IFERROR(Таблица2[[#This Row],[Кол-во материала с учетом кратности упаковки*****]]*Таблица2[[#This Row],[Стоимость 
ед., руб. ]],0)</f>
        <v>0</v>
      </c>
      <c r="K383" s="916">
        <f t="shared" si="5"/>
        <v>0</v>
      </c>
      <c r="M383" s="158">
        <v>6.4512</v>
      </c>
      <c r="N383" s="158">
        <v>494988</v>
      </c>
    </row>
    <row r="384" spans="2:14" s="501" customFormat="1" ht="20.100000000000001" hidden="1" customHeight="1">
      <c r="B384" s="159">
        <v>494989</v>
      </c>
      <c r="C384" s="1039">
        <v>6.9119999999999999</v>
      </c>
      <c r="D384" s="105" t="s">
        <v>1198</v>
      </c>
      <c r="E384" s="913" t="s">
        <v>178</v>
      </c>
      <c r="F384" s="920">
        <v>0</v>
      </c>
      <c r="G384" s="1041">
        <f>IFERROR(_xlfn.CEILING.MATH(Таблица2[[#This Row],[Кол-во материала по расчету]],C384),"-")</f>
        <v>0</v>
      </c>
      <c r="H384" s="933"/>
      <c r="I384" s="921">
        <f>IFERROR(Таблица2[[#This Row],[Кол-во материала с учетом кратности упаковки*****]]*Таблица2[[#This Row],[Стоимость 
ед., руб. ]],0)</f>
        <v>0</v>
      </c>
      <c r="K384" s="916">
        <f t="shared" si="5"/>
        <v>0</v>
      </c>
      <c r="M384" s="158">
        <v>6.9119999999999999</v>
      </c>
      <c r="N384" s="158">
        <v>494989</v>
      </c>
    </row>
    <row r="385" spans="2:14" s="501" customFormat="1" ht="20.100000000000001" hidden="1" customHeight="1">
      <c r="B385" s="159">
        <v>494969</v>
      </c>
      <c r="C385" s="1039">
        <v>6.9119999999999999</v>
      </c>
      <c r="D385" s="105" t="s">
        <v>1187</v>
      </c>
      <c r="E385" s="913" t="s">
        <v>178</v>
      </c>
      <c r="F385" s="920">
        <v>0</v>
      </c>
      <c r="G385" s="1041">
        <f>IFERROR(_xlfn.CEILING.MATH(Таблица2[[#This Row],[Кол-во материала по расчету]],C385),"-")</f>
        <v>0</v>
      </c>
      <c r="H385" s="933"/>
      <c r="I385" s="921">
        <f>IFERROR(Таблица2[[#This Row],[Кол-во материала с учетом кратности упаковки*****]]*Таблица2[[#This Row],[Стоимость 
ед., руб. ]],0)</f>
        <v>0</v>
      </c>
      <c r="K385" s="916">
        <f t="shared" si="5"/>
        <v>0</v>
      </c>
      <c r="M385" s="158">
        <v>6.9119999999999999</v>
      </c>
      <c r="N385" s="158">
        <v>494969</v>
      </c>
    </row>
    <row r="386" spans="2:14" s="501" customFormat="1" ht="20.100000000000001" hidden="1" customHeight="1">
      <c r="B386" s="159">
        <v>494970</v>
      </c>
      <c r="C386" s="1039">
        <v>6.9119999999999999</v>
      </c>
      <c r="D386" s="105" t="s">
        <v>1188</v>
      </c>
      <c r="E386" s="913" t="s">
        <v>178</v>
      </c>
      <c r="F386" s="920">
        <v>0</v>
      </c>
      <c r="G386" s="1041">
        <f>IFERROR(_xlfn.CEILING.MATH(Таблица2[[#This Row],[Кол-во материала по расчету]],C386),"-")</f>
        <v>0</v>
      </c>
      <c r="H386" s="933"/>
      <c r="I386" s="921">
        <f>IFERROR(Таблица2[[#This Row],[Кол-во материала с учетом кратности упаковки*****]]*Таблица2[[#This Row],[Стоимость 
ед., руб. ]],0)</f>
        <v>0</v>
      </c>
      <c r="K386" s="916">
        <f t="shared" si="5"/>
        <v>0</v>
      </c>
      <c r="M386" s="158">
        <v>6.9119999999999999</v>
      </c>
      <c r="N386" s="158">
        <v>494970</v>
      </c>
    </row>
    <row r="387" spans="2:14" s="501" customFormat="1" ht="20.100000000000001" hidden="1" customHeight="1">
      <c r="B387" s="159">
        <v>494971</v>
      </c>
      <c r="C387" s="1039">
        <v>6.9119999999999999</v>
      </c>
      <c r="D387" s="105" t="s">
        <v>1189</v>
      </c>
      <c r="E387" s="913" t="s">
        <v>178</v>
      </c>
      <c r="F387" s="920">
        <v>0</v>
      </c>
      <c r="G387" s="1041">
        <f>IFERROR(_xlfn.CEILING.MATH(Таблица2[[#This Row],[Кол-во материала по расчету]],C387),"-")</f>
        <v>0</v>
      </c>
      <c r="H387" s="933"/>
      <c r="I387" s="921">
        <f>IFERROR(Таблица2[[#This Row],[Кол-во материала с учетом кратности упаковки*****]]*Таблица2[[#This Row],[Стоимость 
ед., руб. ]],0)</f>
        <v>0</v>
      </c>
      <c r="K387" s="916">
        <f t="shared" si="5"/>
        <v>0</v>
      </c>
      <c r="M387" s="158">
        <v>6.9119999999999999</v>
      </c>
      <c r="N387" s="158">
        <v>494971</v>
      </c>
    </row>
    <row r="388" spans="2:14" s="501" customFormat="1" ht="20.100000000000001" hidden="1" customHeight="1">
      <c r="B388" s="159">
        <v>494972</v>
      </c>
      <c r="C388" s="1039">
        <v>6.6528</v>
      </c>
      <c r="D388" s="105" t="s">
        <v>1190</v>
      </c>
      <c r="E388" s="913" t="s">
        <v>178</v>
      </c>
      <c r="F388" s="920">
        <v>0</v>
      </c>
      <c r="G388" s="1041">
        <f>IFERROR(_xlfn.CEILING.MATH(Таблица2[[#This Row],[Кол-во материала по расчету]],C388),"-")</f>
        <v>0</v>
      </c>
      <c r="H388" s="933"/>
      <c r="I388" s="921">
        <f>IFERROR(Таблица2[[#This Row],[Кол-во материала с учетом кратности упаковки*****]]*Таблица2[[#This Row],[Стоимость 
ед., руб. ]],0)</f>
        <v>0</v>
      </c>
      <c r="K388" s="916">
        <f t="shared" si="5"/>
        <v>0</v>
      </c>
      <c r="M388" s="158">
        <v>6.6528</v>
      </c>
      <c r="N388" s="158">
        <v>494972</v>
      </c>
    </row>
    <row r="389" spans="2:14" s="501" customFormat="1" ht="20.100000000000001" hidden="1" customHeight="1">
      <c r="B389" s="159">
        <v>494973</v>
      </c>
      <c r="C389" s="1039">
        <v>6.9119999999999999</v>
      </c>
      <c r="D389" s="105" t="s">
        <v>1191</v>
      </c>
      <c r="E389" s="913" t="s">
        <v>178</v>
      </c>
      <c r="F389" s="920">
        <v>0</v>
      </c>
      <c r="G389" s="1041">
        <f>IFERROR(_xlfn.CEILING.MATH(Таблица2[[#This Row],[Кол-во материала по расчету]],C389),"-")</f>
        <v>0</v>
      </c>
      <c r="H389" s="933"/>
      <c r="I389" s="921">
        <f>IFERROR(Таблица2[[#This Row],[Кол-во материала с учетом кратности упаковки*****]]*Таблица2[[#This Row],[Стоимость 
ед., руб. ]],0)</f>
        <v>0</v>
      </c>
      <c r="K389" s="916">
        <f t="shared" si="5"/>
        <v>0</v>
      </c>
      <c r="M389" s="158">
        <v>6.9119999999999999</v>
      </c>
      <c r="N389" s="158">
        <v>494973</v>
      </c>
    </row>
    <row r="390" spans="2:14" s="501" customFormat="1" ht="20.100000000000001" hidden="1" customHeight="1">
      <c r="B390" s="159">
        <v>494974</v>
      </c>
      <c r="C390" s="1039">
        <v>6.7392000000000003</v>
      </c>
      <c r="D390" s="105" t="s">
        <v>1192</v>
      </c>
      <c r="E390" s="913" t="s">
        <v>178</v>
      </c>
      <c r="F390" s="920">
        <v>0</v>
      </c>
      <c r="G390" s="1041">
        <f>IFERROR(_xlfn.CEILING.MATH(Таблица2[[#This Row],[Кол-во материала по расчету]],C390),"-")</f>
        <v>0</v>
      </c>
      <c r="H390" s="933"/>
      <c r="I390" s="921">
        <f>IFERROR(Таблица2[[#This Row],[Кол-во материала с учетом кратности упаковки*****]]*Таблица2[[#This Row],[Стоимость 
ед., руб. ]],0)</f>
        <v>0</v>
      </c>
      <c r="K390" s="916">
        <f t="shared" si="5"/>
        <v>0</v>
      </c>
      <c r="M390" s="158">
        <v>6.7392000000000003</v>
      </c>
      <c r="N390" s="158">
        <v>494974</v>
      </c>
    </row>
    <row r="391" spans="2:14" s="501" customFormat="1" ht="20.100000000000001" hidden="1" customHeight="1">
      <c r="B391" s="159">
        <v>525187</v>
      </c>
      <c r="C391" s="1039">
        <v>6.9119999999999999</v>
      </c>
      <c r="D391" s="105" t="s">
        <v>1258</v>
      </c>
      <c r="E391" s="913" t="s">
        <v>178</v>
      </c>
      <c r="F391" s="920">
        <v>0</v>
      </c>
      <c r="G391" s="1041">
        <f>IFERROR(_xlfn.CEILING.MATH(Таблица2[[#This Row],[Кол-во материала по расчету]],C391),"-")</f>
        <v>0</v>
      </c>
      <c r="H391" s="933"/>
      <c r="I391" s="921">
        <f>IFERROR(Таблица2[[#This Row],[Кол-во материала с учетом кратности упаковки*****]]*Таблица2[[#This Row],[Стоимость 
ед., руб. ]],0)</f>
        <v>0</v>
      </c>
      <c r="K391" s="916">
        <f t="shared" si="5"/>
        <v>0</v>
      </c>
      <c r="M391" s="158">
        <v>6.9119999999999999</v>
      </c>
      <c r="N391" s="158">
        <v>525187</v>
      </c>
    </row>
    <row r="392" spans="2:14" s="501" customFormat="1" ht="20.100000000000001" hidden="1" customHeight="1">
      <c r="B392" s="159">
        <v>525188</v>
      </c>
      <c r="C392" s="1039">
        <v>6.9119999999999999</v>
      </c>
      <c r="D392" s="105" t="s">
        <v>1259</v>
      </c>
      <c r="E392" s="913" t="s">
        <v>178</v>
      </c>
      <c r="F392" s="920">
        <v>0</v>
      </c>
      <c r="G392" s="1041">
        <f>IFERROR(_xlfn.CEILING.MATH(Таблица2[[#This Row],[Кол-во материала по расчету]],C392),"-")</f>
        <v>0</v>
      </c>
      <c r="H392" s="933"/>
      <c r="I392" s="921">
        <f>IFERROR(Таблица2[[#This Row],[Кол-во материала с учетом кратности упаковки*****]]*Таблица2[[#This Row],[Стоимость 
ед., руб. ]],0)</f>
        <v>0</v>
      </c>
      <c r="K392" s="916">
        <f t="shared" si="5"/>
        <v>0</v>
      </c>
      <c r="M392" s="158">
        <v>6.9119999999999999</v>
      </c>
      <c r="N392" s="158">
        <v>525188</v>
      </c>
    </row>
    <row r="393" spans="2:14" s="501" customFormat="1" ht="20.100000000000001" hidden="1" customHeight="1">
      <c r="B393" s="159" t="s">
        <v>296</v>
      </c>
      <c r="C393" s="1039">
        <v>10</v>
      </c>
      <c r="D393" s="105" t="s">
        <v>818</v>
      </c>
      <c r="E393" s="1047" t="s">
        <v>112</v>
      </c>
      <c r="F393" s="920">
        <v>0</v>
      </c>
      <c r="G393" s="1041">
        <f>IFERROR(_xlfn.CEILING.MATH(Таблица2[[#This Row],[Кол-во материала по расчету]],C393),"-")</f>
        <v>0</v>
      </c>
      <c r="H393" s="933"/>
      <c r="I393" s="921">
        <f>IFERROR(Таблица2[[#This Row],[Кол-во материала с учетом кратности упаковки*****]]*Таблица2[[#This Row],[Стоимость 
ед., руб. ]],0)</f>
        <v>0</v>
      </c>
      <c r="K393" s="916">
        <f t="shared" si="5"/>
        <v>0</v>
      </c>
      <c r="M393" s="158">
        <v>10</v>
      </c>
      <c r="N393" s="158" t="s">
        <v>296</v>
      </c>
    </row>
    <row r="394" spans="2:14" s="501" customFormat="1" ht="20.100000000000001" hidden="1" customHeight="1">
      <c r="B394" s="159" t="s">
        <v>1098</v>
      </c>
      <c r="C394" s="1039">
        <v>8</v>
      </c>
      <c r="D394" s="105" t="s">
        <v>1103</v>
      </c>
      <c r="E394" s="1047" t="s">
        <v>112</v>
      </c>
      <c r="F394" s="920">
        <v>0</v>
      </c>
      <c r="G394" s="1041">
        <f>IFERROR(_xlfn.CEILING.MATH(Таблица2[[#This Row],[Кол-во материала по расчету]],C394),"-")</f>
        <v>0</v>
      </c>
      <c r="H394" s="933"/>
      <c r="I394" s="921">
        <f>IFERROR(Таблица2[[#This Row],[Кол-во материала с учетом кратности упаковки*****]]*Таблица2[[#This Row],[Стоимость 
ед., руб. ]],0)</f>
        <v>0</v>
      </c>
      <c r="K394" s="916">
        <f t="shared" si="5"/>
        <v>0</v>
      </c>
      <c r="M394" s="158">
        <v>8</v>
      </c>
      <c r="N394" s="158" t="s">
        <v>1098</v>
      </c>
    </row>
    <row r="395" spans="2:14" s="501" customFormat="1" ht="20.100000000000001" hidden="1" customHeight="1">
      <c r="B395" s="159">
        <v>22450</v>
      </c>
      <c r="C395" s="1039">
        <v>8</v>
      </c>
      <c r="D395" s="105" t="s">
        <v>819</v>
      </c>
      <c r="E395" s="1047" t="s">
        <v>112</v>
      </c>
      <c r="F395" s="920">
        <v>0</v>
      </c>
      <c r="G395" s="1041">
        <f>IFERROR(_xlfn.CEILING.MATH(Таблица2[[#This Row],[Кол-во материала по расчету]],C395),"-")</f>
        <v>0</v>
      </c>
      <c r="H395" s="933"/>
      <c r="I395" s="921">
        <f>IFERROR(Таблица2[[#This Row],[Кол-во материала с учетом кратности упаковки*****]]*Таблица2[[#This Row],[Стоимость 
ед., руб. ]],0)</f>
        <v>0</v>
      </c>
      <c r="K395" s="916">
        <f t="shared" ref="K395:K408" si="6">IF(F395=0,0,1)</f>
        <v>0</v>
      </c>
      <c r="M395" s="158">
        <v>8</v>
      </c>
      <c r="N395" s="158">
        <v>22450</v>
      </c>
    </row>
    <row r="396" spans="2:14" s="501" customFormat="1" ht="20.100000000000001" hidden="1" customHeight="1">
      <c r="B396" s="159" t="s">
        <v>1040</v>
      </c>
      <c r="C396" s="1039">
        <v>10</v>
      </c>
      <c r="D396" s="105" t="s">
        <v>817</v>
      </c>
      <c r="E396" s="1047" t="s">
        <v>112</v>
      </c>
      <c r="F396" s="920">
        <v>0</v>
      </c>
      <c r="G396" s="1041">
        <f>IFERROR(_xlfn.CEILING.MATH(Таблица2[[#This Row],[Кол-во материала по расчету]],C396),"-")</f>
        <v>0</v>
      </c>
      <c r="H396" s="933"/>
      <c r="I396" s="921">
        <f>IFERROR(Таблица2[[#This Row],[Кол-во материала с учетом кратности упаковки*****]]*Таблица2[[#This Row],[Стоимость 
ед., руб. ]],0)</f>
        <v>0</v>
      </c>
      <c r="K396" s="916">
        <f t="shared" si="6"/>
        <v>0</v>
      </c>
      <c r="M396" s="158">
        <v>10</v>
      </c>
      <c r="N396" s="158" t="s">
        <v>1040</v>
      </c>
    </row>
    <row r="397" spans="2:14" s="501" customFormat="1" ht="20.100000000000001" hidden="1" customHeight="1">
      <c r="B397" s="159" t="s">
        <v>1039</v>
      </c>
      <c r="C397" s="1039">
        <v>10</v>
      </c>
      <c r="D397" s="105" t="s">
        <v>816</v>
      </c>
      <c r="E397" s="1047" t="s">
        <v>112</v>
      </c>
      <c r="F397" s="920">
        <v>0</v>
      </c>
      <c r="G397" s="1041">
        <f>IFERROR(_xlfn.CEILING.MATH(Таблица2[[#This Row],[Кол-во материала по расчету]],C397),"-")</f>
        <v>0</v>
      </c>
      <c r="H397" s="933"/>
      <c r="I397" s="921">
        <f>IFERROR(Таблица2[[#This Row],[Кол-во материала с учетом кратности упаковки*****]]*Таблица2[[#This Row],[Стоимость 
ед., руб. ]],0)</f>
        <v>0</v>
      </c>
      <c r="K397" s="916">
        <f t="shared" si="6"/>
        <v>0</v>
      </c>
      <c r="M397" s="158">
        <v>10</v>
      </c>
      <c r="N397" s="158" t="s">
        <v>1039</v>
      </c>
    </row>
    <row r="398" spans="2:14" s="501" customFormat="1" ht="20.100000000000001" hidden="1" customHeight="1">
      <c r="B398" s="159" t="s">
        <v>841</v>
      </c>
      <c r="C398" s="1039">
        <v>8</v>
      </c>
      <c r="D398" s="105" t="s">
        <v>184</v>
      </c>
      <c r="E398" s="1047" t="s">
        <v>112</v>
      </c>
      <c r="F398" s="920">
        <v>0</v>
      </c>
      <c r="G398" s="1041">
        <f>IFERROR(_xlfn.CEILING.MATH(Таблица2[[#This Row],[Кол-во материала по расчету]],C398),"-")</f>
        <v>0</v>
      </c>
      <c r="H398" s="933"/>
      <c r="I398" s="921">
        <f>IFERROR(Таблица2[[#This Row],[Кол-во материала с учетом кратности упаковки*****]]*Таблица2[[#This Row],[Стоимость 
ед., руб. ]],0)</f>
        <v>0</v>
      </c>
      <c r="K398" s="916">
        <f t="shared" si="6"/>
        <v>0</v>
      </c>
      <c r="M398" s="158">
        <v>8</v>
      </c>
      <c r="N398" s="158" t="s">
        <v>841</v>
      </c>
    </row>
    <row r="399" spans="2:14" s="501" customFormat="1" ht="20.100000000000001" hidden="1" customHeight="1">
      <c r="B399" s="159" t="s">
        <v>1066</v>
      </c>
      <c r="C399" s="1039">
        <v>10</v>
      </c>
      <c r="D399" s="105" t="s">
        <v>814</v>
      </c>
      <c r="E399" s="1047" t="s">
        <v>112</v>
      </c>
      <c r="F399" s="920">
        <v>0</v>
      </c>
      <c r="G399" s="1041">
        <f>IFERROR(_xlfn.CEILING.MATH(Таблица2[[#This Row],[Кол-во материала по расчету]],C399),"-")</f>
        <v>0</v>
      </c>
      <c r="H399" s="933"/>
      <c r="I399" s="921">
        <f>IFERROR(Таблица2[[#This Row],[Кол-во материала с учетом кратности упаковки*****]]*Таблица2[[#This Row],[Стоимость 
ед., руб. ]],0)</f>
        <v>0</v>
      </c>
      <c r="K399" s="916">
        <f t="shared" si="6"/>
        <v>0</v>
      </c>
      <c r="M399" s="158">
        <v>10</v>
      </c>
      <c r="N399" s="158" t="s">
        <v>1066</v>
      </c>
    </row>
    <row r="400" spans="2:14" s="501" customFormat="1" ht="20.100000000000001" hidden="1" customHeight="1">
      <c r="B400" s="159" t="s">
        <v>1146</v>
      </c>
      <c r="C400" s="1039">
        <v>10</v>
      </c>
      <c r="D400" s="105" t="s">
        <v>811</v>
      </c>
      <c r="E400" s="1047" t="s">
        <v>112</v>
      </c>
      <c r="F400" s="920">
        <v>0</v>
      </c>
      <c r="G400" s="1041">
        <f>IFERROR(_xlfn.CEILING.MATH(Таблица2[[#This Row],[Кол-во материала по расчету]],C400),"-")</f>
        <v>0</v>
      </c>
      <c r="H400" s="933"/>
      <c r="I400" s="921">
        <f>IFERROR(Таблица2[[#This Row],[Кол-во материала с учетом кратности упаковки*****]]*Таблица2[[#This Row],[Стоимость 
ед., руб. ]],0)</f>
        <v>0</v>
      </c>
      <c r="K400" s="916">
        <f t="shared" si="6"/>
        <v>0</v>
      </c>
      <c r="M400" s="158">
        <v>10</v>
      </c>
      <c r="N400" s="158" t="s">
        <v>1146</v>
      </c>
    </row>
    <row r="401" spans="2:14" s="501" customFormat="1" ht="20.100000000000001" hidden="1" customHeight="1">
      <c r="B401" s="159" t="s">
        <v>1037</v>
      </c>
      <c r="C401" s="1039">
        <v>10</v>
      </c>
      <c r="D401" s="105" t="s">
        <v>813</v>
      </c>
      <c r="E401" s="1047" t="s">
        <v>112</v>
      </c>
      <c r="F401" s="920">
        <v>0</v>
      </c>
      <c r="G401" s="1041">
        <f>IFERROR(_xlfn.CEILING.MATH(Таблица2[[#This Row],[Кол-во материала по расчету]],C401),"-")</f>
        <v>0</v>
      </c>
      <c r="H401" s="933"/>
      <c r="I401" s="921">
        <f>IFERROR(Таблица2[[#This Row],[Кол-во материала с учетом кратности упаковки*****]]*Таблица2[[#This Row],[Стоимость 
ед., руб. ]],0)</f>
        <v>0</v>
      </c>
      <c r="K401" s="916">
        <f t="shared" si="6"/>
        <v>0</v>
      </c>
      <c r="M401" s="158">
        <v>10</v>
      </c>
      <c r="N401" s="158" t="s">
        <v>1037</v>
      </c>
    </row>
    <row r="402" spans="2:14" s="501" customFormat="1" ht="20.100000000000001" hidden="1" customHeight="1">
      <c r="B402" s="159" t="s">
        <v>1036</v>
      </c>
      <c r="C402" s="1039">
        <v>10</v>
      </c>
      <c r="D402" s="105" t="s">
        <v>812</v>
      </c>
      <c r="E402" s="1047" t="s">
        <v>112</v>
      </c>
      <c r="F402" s="920">
        <v>0</v>
      </c>
      <c r="G402" s="1041">
        <f>IFERROR(_xlfn.CEILING.MATH(Таблица2[[#This Row],[Кол-во материала по расчету]],C402),"-")</f>
        <v>0</v>
      </c>
      <c r="H402" s="933"/>
      <c r="I402" s="921">
        <f>IFERROR(Таблица2[[#This Row],[Кол-во материала с учетом кратности упаковки*****]]*Таблица2[[#This Row],[Стоимость 
ед., руб. ]],0)</f>
        <v>0</v>
      </c>
      <c r="K402" s="916">
        <f t="shared" si="6"/>
        <v>0</v>
      </c>
      <c r="M402" s="158">
        <v>10</v>
      </c>
      <c r="N402" s="158" t="s">
        <v>1036</v>
      </c>
    </row>
    <row r="403" spans="2:14" s="501" customFormat="1" ht="20.100000000000001" hidden="1" customHeight="1">
      <c r="B403" s="159" t="s">
        <v>1041</v>
      </c>
      <c r="C403" s="1039">
        <v>15</v>
      </c>
      <c r="D403" s="105" t="s">
        <v>815</v>
      </c>
      <c r="E403" s="1047" t="s">
        <v>112</v>
      </c>
      <c r="F403" s="920">
        <v>0</v>
      </c>
      <c r="G403" s="1041">
        <f>IFERROR(_xlfn.CEILING.MATH(Таблица2[[#This Row],[Кол-во материала по расчету]],C403),"-")</f>
        <v>0</v>
      </c>
      <c r="H403" s="933"/>
      <c r="I403" s="921">
        <f>IFERROR(Таблица2[[#This Row],[Кол-во материала с учетом кратности упаковки*****]]*Таблица2[[#This Row],[Стоимость 
ед., руб. ]],0)</f>
        <v>0</v>
      </c>
      <c r="K403" s="916">
        <f t="shared" si="6"/>
        <v>0</v>
      </c>
      <c r="M403" s="158">
        <v>15</v>
      </c>
      <c r="N403" s="158" t="s">
        <v>1041</v>
      </c>
    </row>
    <row r="404" spans="2:14" s="501" customFormat="1" ht="20.100000000000001" hidden="1" customHeight="1">
      <c r="B404" s="159" t="s">
        <v>296</v>
      </c>
      <c r="C404" s="1039">
        <v>10</v>
      </c>
      <c r="D404" s="105" t="s">
        <v>820</v>
      </c>
      <c r="E404" s="1047" t="s">
        <v>112</v>
      </c>
      <c r="F404" s="920">
        <v>0</v>
      </c>
      <c r="G404" s="1041">
        <f>IFERROR(_xlfn.CEILING.MATH(Таблица2[[#This Row],[Кол-во материала по расчету]],C404),"-")</f>
        <v>0</v>
      </c>
      <c r="H404" s="933"/>
      <c r="I404" s="921">
        <f>IFERROR(Таблица2[[#This Row],[Кол-во материала с учетом кратности упаковки*****]]*Таблица2[[#This Row],[Стоимость 
ед., руб. ]],0)</f>
        <v>0</v>
      </c>
      <c r="K404" s="916">
        <f t="shared" si="6"/>
        <v>0</v>
      </c>
      <c r="M404" s="158">
        <v>10</v>
      </c>
      <c r="N404" s="158" t="s">
        <v>296</v>
      </c>
    </row>
    <row r="405" spans="2:14" s="501" customFormat="1" ht="20.100000000000001" hidden="1" customHeight="1">
      <c r="B405" s="159" t="s">
        <v>1067</v>
      </c>
      <c r="C405" s="1039">
        <v>10</v>
      </c>
      <c r="D405" s="105" t="s">
        <v>1434</v>
      </c>
      <c r="E405" s="1047" t="s">
        <v>112</v>
      </c>
      <c r="F405" s="920">
        <v>0</v>
      </c>
      <c r="G405" s="1041">
        <f>IFERROR(_xlfn.CEILING.MATH(Таблица2[[#This Row],[Кол-во материала по расчету]],C405),"-")</f>
        <v>0</v>
      </c>
      <c r="H405" s="933"/>
      <c r="I405" s="921">
        <f>IFERROR(Таблица2[[#This Row],[Кол-во материала с учетом кратности упаковки*****]]*Таблица2[[#This Row],[Стоимость 
ед., руб. ]],0)</f>
        <v>0</v>
      </c>
      <c r="K405" s="916">
        <f t="shared" si="6"/>
        <v>0</v>
      </c>
      <c r="M405" s="158">
        <v>10</v>
      </c>
      <c r="N405" s="158" t="s">
        <v>1067</v>
      </c>
    </row>
    <row r="406" spans="2:14" s="501" customFormat="1" ht="20.100000000000001" hidden="1" customHeight="1">
      <c r="B406" s="159" t="s">
        <v>1042</v>
      </c>
      <c r="C406" s="1039">
        <v>10</v>
      </c>
      <c r="D406" s="105" t="s">
        <v>821</v>
      </c>
      <c r="E406" s="1047" t="s">
        <v>112</v>
      </c>
      <c r="F406" s="920">
        <v>0</v>
      </c>
      <c r="G406" s="1041">
        <f>IFERROR(_xlfn.CEILING.MATH(Таблица2[[#This Row],[Кол-во материала по расчету]],C406),"-")</f>
        <v>0</v>
      </c>
      <c r="H406" s="933"/>
      <c r="I406" s="921">
        <f>IFERROR(Таблица2[[#This Row],[Кол-во материала с учетом кратности упаковки*****]]*Таблица2[[#This Row],[Стоимость 
ед., руб. ]],0)</f>
        <v>0</v>
      </c>
      <c r="K406" s="916">
        <f t="shared" si="6"/>
        <v>0</v>
      </c>
      <c r="M406" s="158">
        <v>10</v>
      </c>
      <c r="N406" s="158" t="s">
        <v>1042</v>
      </c>
    </row>
    <row r="407" spans="2:14" s="501" customFormat="1" ht="20.100000000000001" hidden="1" customHeight="1">
      <c r="B407" s="159" t="s">
        <v>745</v>
      </c>
      <c r="C407" s="1039" t="s">
        <v>1549</v>
      </c>
      <c r="D407" s="105" t="s">
        <v>1497</v>
      </c>
      <c r="E407" s="1047" t="s">
        <v>151</v>
      </c>
      <c r="F407" s="920">
        <v>0</v>
      </c>
      <c r="G407" s="1041" t="str">
        <f>IFERROR(_xlfn.CEILING.MATH(Таблица2[[#This Row],[Кол-во материала по расчету]],C407),"-")</f>
        <v>-</v>
      </c>
      <c r="H407" s="933"/>
      <c r="I407" s="921">
        <f>IFERROR(Таблица2[[#This Row],[Кол-во материала с учетом кратности упаковки*****]]*Таблица2[[#This Row],[Стоимость 
ед., руб. ]],0)</f>
        <v>0</v>
      </c>
      <c r="K407" s="916">
        <f t="shared" si="6"/>
        <v>0</v>
      </c>
      <c r="M407" s="158" t="s">
        <v>6</v>
      </c>
      <c r="N407" s="158" t="s">
        <v>745</v>
      </c>
    </row>
    <row r="408" spans="2:14" s="501" customFormat="1" ht="20.100000000000001" hidden="1" customHeight="1">
      <c r="B408" s="159" t="s">
        <v>296</v>
      </c>
      <c r="C408" s="106" t="s">
        <v>1549</v>
      </c>
      <c r="D408" s="105" t="s">
        <v>283</v>
      </c>
      <c r="E408" s="1047" t="s">
        <v>183</v>
      </c>
      <c r="F408" s="920">
        <v>0</v>
      </c>
      <c r="G408" s="1041" t="str">
        <f>IFERROR(_xlfn.CEILING.MATH(Таблица2[[#This Row],[Кол-во материала по расчету]],C408),"-")</f>
        <v>-</v>
      </c>
      <c r="H408" s="933"/>
      <c r="I408" s="921">
        <f>IFERROR(Таблица2[[#This Row],[Кол-во материала с учетом кратности упаковки*****]]*Таблица2[[#This Row],[Стоимость 
ед., руб. ]],0)</f>
        <v>0</v>
      </c>
      <c r="K408" s="916">
        <f t="shared" si="6"/>
        <v>0</v>
      </c>
      <c r="M408" s="158" t="s">
        <v>6</v>
      </c>
      <c r="N408" s="158" t="s">
        <v>296</v>
      </c>
    </row>
    <row r="409" spans="2:14" s="501" customFormat="1" ht="20.100000000000001" customHeight="1">
      <c r="B409" s="106" t="s">
        <v>1451</v>
      </c>
      <c r="C409" s="106"/>
      <c r="D409" s="919"/>
      <c r="E409" s="1044"/>
      <c r="F409" s="1044" t="s">
        <v>1550</v>
      </c>
      <c r="G409" s="1044"/>
      <c r="I409" s="918">
        <f>SUBTOTAL(109,Таблица2[Стоимость 
общ., руб.])</f>
        <v>0</v>
      </c>
      <c r="K409" s="916"/>
      <c r="M409" s="158"/>
    </row>
  </sheetData>
  <autoFilter ref="K9:K408">
    <filterColumn colId="0" hiddenButton="1">
      <customFilters>
        <customFilter operator="greaterThan" val="0"/>
      </customFilters>
    </filterColumn>
  </autoFilter>
  <mergeCells count="3">
    <mergeCell ref="D5:I5"/>
    <mergeCell ref="B4:I4"/>
    <mergeCell ref="B3:K3"/>
  </mergeCells>
  <conditionalFormatting sqref="D621:E1048576 D410:E410 D10:D408">
    <cfRule type="duplicateValues" dxfId="41" priority="12"/>
  </conditionalFormatting>
  <conditionalFormatting sqref="M6">
    <cfRule type="cellIs" dxfId="40" priority="11" operator="equal">
      <formula>0</formula>
    </cfRule>
  </conditionalFormatting>
  <conditionalFormatting sqref="B409:C1048576 B1:C2 B4:C8">
    <cfRule type="duplicateValues" dxfId="39" priority="10"/>
  </conditionalFormatting>
  <conditionalFormatting sqref="D10:D1048576 D1:D2 D5:D8">
    <cfRule type="duplicateValues" dxfId="38" priority="9"/>
  </conditionalFormatting>
  <conditionalFormatting sqref="G1:G2 G6:G8 G10:G1048576">
    <cfRule type="containsText" dxfId="37" priority="5" operator="containsText" text="Введите">
      <formula>NOT(ISERROR(SEARCH("Введите",G1)))</formula>
    </cfRule>
  </conditionalFormatting>
  <conditionalFormatting sqref="C10">
    <cfRule type="containsText" dxfId="36" priority="4" operator="containsText" text="Введите">
      <formula>NOT(ISERROR(SEARCH("Введите",C10)))</formula>
    </cfRule>
  </conditionalFormatting>
  <conditionalFormatting sqref="C11:C13">
    <cfRule type="containsText" dxfId="35" priority="3" operator="containsText" text="Введите">
      <formula>NOT(ISERROR(SEARCH("Введите",C11)))</formula>
    </cfRule>
  </conditionalFormatting>
  <conditionalFormatting sqref="C14:C408">
    <cfRule type="containsText" dxfId="34" priority="2" operator="containsText" text="Введите">
      <formula>NOT(ISERROR(SEARCH("Введите",C14)))</formula>
    </cfRule>
  </conditionalFormatting>
  <conditionalFormatting sqref="I3">
    <cfRule type="containsText" dxfId="33" priority="1" operator="containsText" text="Введите">
      <formula>NOT(ISERROR(SEARCH("Введите",I3)))</formula>
    </cfRule>
  </conditionalFormatting>
  <dataValidations disablePrompts="1" count="1">
    <dataValidation type="decimal" errorStyle="information" operator="notEqual" allowBlank="1" showInputMessage="1" showErrorMessage="1" errorTitle="Ошибка" error="Проверьте соответствие материалов на листах ОБЩАЯ  И СВОДНАЯ СПЕЦИФИКАЦИЯ" sqref="M6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tableParts count="2"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 filterMode="1"/>
  <dimension ref="A1:AQ283"/>
  <sheetViews>
    <sheetView topLeftCell="A48" workbookViewId="0">
      <selection activeCell="O1" sqref="O1"/>
    </sheetView>
  </sheetViews>
  <sheetFormatPr defaultColWidth="9.109375" defaultRowHeight="13.2" outlineLevelCol="1"/>
  <cols>
    <col min="1" max="2" width="9.109375" style="93"/>
    <col min="3" max="3" width="36.109375" style="93" customWidth="1"/>
    <col min="4" max="4" width="13.44140625" style="93" bestFit="1" customWidth="1"/>
    <col min="5" max="5" width="14.44140625" style="93" customWidth="1"/>
    <col min="6" max="8" width="14.88671875" style="93" bestFit="1" customWidth="1"/>
    <col min="9" max="9" width="21.109375" style="93" customWidth="1"/>
    <col min="10" max="10" width="22.33203125" style="93" customWidth="1"/>
    <col min="11" max="11" width="9.109375" style="93" customWidth="1"/>
    <col min="12" max="12" width="9.109375" style="93"/>
    <col min="13" max="13" width="0" style="93" hidden="1" customWidth="1"/>
    <col min="14" max="16" width="9.109375" style="399" hidden="1" customWidth="1" outlineLevel="1"/>
    <col min="17" max="18" width="9" style="399" hidden="1" customWidth="1" outlineLevel="1"/>
    <col min="19" max="24" width="9.109375" style="399" hidden="1" customWidth="1" outlineLevel="1"/>
    <col min="25" max="25" width="15" style="399" hidden="1" customWidth="1" outlineLevel="1"/>
    <col min="26" max="26" width="9.109375" style="399" hidden="1" customWidth="1" outlineLevel="1"/>
    <col min="27" max="30" width="9.109375" style="93" hidden="1" customWidth="1" outlineLevel="1"/>
    <col min="31" max="31" width="10.5546875" style="93" hidden="1" customWidth="1" outlineLevel="1"/>
    <col min="32" max="34" width="9.109375" style="93" hidden="1" customWidth="1" outlineLevel="1"/>
    <col min="35" max="35" width="10.33203125" style="93" hidden="1" customWidth="1" outlineLevel="1"/>
    <col min="36" max="40" width="9.109375" style="93" hidden="1" customWidth="1" outlineLevel="1"/>
    <col min="41" max="41" width="13.33203125" style="93" hidden="1" customWidth="1" outlineLevel="1"/>
    <col min="42" max="42" width="9.109375" style="93" hidden="1" customWidth="1" outlineLevel="1"/>
    <col min="43" max="43" width="0" style="93" hidden="1" customWidth="1" collapsed="1"/>
    <col min="44" max="16384" width="9.109375" style="93"/>
  </cols>
  <sheetData>
    <row r="1" spans="1:26" ht="15.75" customHeight="1">
      <c r="A1" s="1525"/>
      <c r="B1" s="1525"/>
      <c r="C1" s="1525"/>
      <c r="D1" s="1525"/>
      <c r="E1" s="1525"/>
      <c r="F1" s="1525"/>
      <c r="G1" s="1525"/>
      <c r="H1" s="1525"/>
      <c r="I1" s="1525"/>
      <c r="O1" s="410" t="s">
        <v>330</v>
      </c>
    </row>
    <row r="2" spans="1:26" ht="15.75" customHeight="1">
      <c r="A2" s="1525"/>
      <c r="B2" s="1525"/>
      <c r="C2" s="1525"/>
      <c r="D2" s="1525"/>
      <c r="E2" s="1525"/>
      <c r="F2" s="1525"/>
      <c r="G2" s="1525"/>
      <c r="H2" s="1525"/>
      <c r="I2" s="1525"/>
      <c r="O2" s="400">
        <v>1</v>
      </c>
    </row>
    <row r="3" spans="1:26" ht="15.75" customHeight="1">
      <c r="A3" s="1525"/>
      <c r="B3" s="1525"/>
      <c r="C3" s="1525"/>
      <c r="D3" s="1525"/>
      <c r="E3" s="1525"/>
      <c r="F3" s="1525"/>
      <c r="G3" s="1525"/>
      <c r="H3" s="1525"/>
      <c r="I3" s="1525"/>
      <c r="O3" s="400">
        <v>1</v>
      </c>
    </row>
    <row r="4" spans="1:26" ht="15.75" customHeight="1">
      <c r="A4" s="1525"/>
      <c r="B4" s="1525"/>
      <c r="C4" s="1525"/>
      <c r="D4" s="1525"/>
      <c r="E4" s="1525"/>
      <c r="F4" s="1525"/>
      <c r="G4" s="1525"/>
      <c r="H4" s="1525"/>
      <c r="I4" s="1525"/>
      <c r="O4" s="400">
        <v>1</v>
      </c>
    </row>
    <row r="5" spans="1:26" ht="15.75" customHeight="1">
      <c r="A5" s="1525"/>
      <c r="B5" s="1525"/>
      <c r="C5" s="1525"/>
      <c r="D5" s="1525"/>
      <c r="E5" s="1525"/>
      <c r="F5" s="1525"/>
      <c r="G5" s="1525"/>
      <c r="H5" s="1525"/>
      <c r="I5" s="1525"/>
      <c r="O5" s="400">
        <v>1</v>
      </c>
    </row>
    <row r="6" spans="1:26" ht="15.75" customHeight="1">
      <c r="A6" s="1525"/>
      <c r="B6" s="1525"/>
      <c r="C6" s="1525"/>
      <c r="D6" s="1525"/>
      <c r="E6" s="1525"/>
      <c r="F6" s="1525"/>
      <c r="G6" s="1525"/>
      <c r="H6" s="1525"/>
      <c r="I6" s="1525"/>
      <c r="O6" s="400">
        <v>1</v>
      </c>
    </row>
    <row r="7" spans="1:26" ht="15.75" customHeight="1">
      <c r="B7" s="1524" t="s">
        <v>479</v>
      </c>
      <c r="C7" s="1524"/>
      <c r="D7" s="1524"/>
      <c r="E7" s="1524"/>
      <c r="F7" s="1524"/>
      <c r="G7" s="1524"/>
      <c r="O7" s="400">
        <v>1</v>
      </c>
    </row>
    <row r="8" spans="1:26" ht="15.75" customHeight="1">
      <c r="O8" s="400">
        <v>1</v>
      </c>
    </row>
    <row r="9" spans="1:26" ht="15.75" customHeight="1">
      <c r="B9" s="390" t="s">
        <v>515</v>
      </c>
      <c r="C9" s="389" t="s">
        <v>480</v>
      </c>
      <c r="O9" s="400">
        <v>1</v>
      </c>
    </row>
    <row r="10" spans="1:26" customFormat="1" ht="15.75" customHeight="1">
      <c r="M10" s="1"/>
      <c r="N10" s="401"/>
      <c r="O10" s="400">
        <v>1</v>
      </c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</row>
    <row r="11" spans="1:26" ht="15.75" customHeight="1">
      <c r="B11" s="1521" t="s">
        <v>601</v>
      </c>
      <c r="C11" s="1521"/>
      <c r="D11" s="1521"/>
      <c r="E11" s="1521"/>
      <c r="F11" s="1521"/>
      <c r="G11" s="1521"/>
      <c r="O11" s="400">
        <v>1</v>
      </c>
    </row>
    <row r="12" spans="1:26" ht="15.75" customHeight="1">
      <c r="B12" s="1521"/>
      <c r="C12" s="1521"/>
      <c r="D12" s="1521"/>
      <c r="E12" s="1521"/>
      <c r="F12" s="1521"/>
      <c r="G12" s="1521"/>
      <c r="O12" s="400">
        <v>1</v>
      </c>
    </row>
    <row r="13" spans="1:26" ht="15.75" hidden="1" customHeight="1">
      <c r="B13" s="1521" t="s">
        <v>943</v>
      </c>
      <c r="C13" s="1521"/>
      <c r="D13" s="1521"/>
      <c r="E13" s="1521"/>
      <c r="F13" s="1521"/>
      <c r="G13" s="1521"/>
      <c r="O13" s="400"/>
    </row>
    <row r="14" spans="1:26" ht="15.75" customHeight="1">
      <c r="B14" s="406"/>
      <c r="C14" s="406"/>
      <c r="D14" s="406"/>
      <c r="E14" s="406"/>
      <c r="F14" s="406"/>
      <c r="G14" s="406"/>
      <c r="O14" s="400">
        <v>1</v>
      </c>
    </row>
    <row r="15" spans="1:26" ht="102.75" hidden="1" customHeight="1">
      <c r="B15" s="1522"/>
      <c r="C15" s="1522"/>
      <c r="D15" s="1522"/>
      <c r="E15" s="1522"/>
      <c r="F15" s="1522"/>
      <c r="G15" s="1522"/>
      <c r="O15" s="400">
        <f>IF(B15&gt;0,1,0)</f>
        <v>0</v>
      </c>
    </row>
    <row r="16" spans="1:26" ht="15.75" hidden="1" customHeight="1">
      <c r="B16" s="388"/>
      <c r="C16" s="388"/>
      <c r="D16" s="388"/>
      <c r="E16" s="388"/>
      <c r="F16" s="388"/>
      <c r="G16" s="388"/>
      <c r="O16" s="400">
        <f>IF(B15&gt;0,1,0)</f>
        <v>0</v>
      </c>
    </row>
    <row r="17" spans="2:26" ht="15.75" customHeight="1">
      <c r="B17" s="390" t="s">
        <v>516</v>
      </c>
      <c r="C17" s="389" t="s">
        <v>481</v>
      </c>
      <c r="O17" s="400">
        <f ca="1">IF(SUM($O$20:$O$29)&gt;0,1,0)</f>
        <v>1</v>
      </c>
    </row>
    <row r="18" spans="2:26" ht="15.75" customHeight="1">
      <c r="O18" s="400">
        <f ca="1">IF(SUM($O$20:$O$29)&gt;0,1,0)</f>
        <v>1</v>
      </c>
    </row>
    <row r="19" spans="2:26" ht="37.5" customHeight="1" thickBot="1">
      <c r="B19" s="701"/>
      <c r="C19" s="701" t="s">
        <v>482</v>
      </c>
      <c r="D19" s="701" t="s">
        <v>576</v>
      </c>
      <c r="E19" s="701" t="s">
        <v>510</v>
      </c>
      <c r="F19" s="701" t="s">
        <v>511</v>
      </c>
      <c r="G19" s="701" t="s">
        <v>417</v>
      </c>
      <c r="H19" s="701" t="s">
        <v>292</v>
      </c>
      <c r="I19" s="810" t="s">
        <v>891</v>
      </c>
      <c r="O19" s="400">
        <f ca="1">IF(SUM($O$20:$O$29)&gt;0,1,0)</f>
        <v>1</v>
      </c>
    </row>
    <row r="20" spans="2:26" ht="15.75" customHeight="1" thickBot="1">
      <c r="B20" s="581" t="s">
        <v>483</v>
      </c>
      <c r="C20" s="581" t="str">
        <f ca="1">INDIRECT("ТИП1!"&amp;"$R$4")</f>
        <v>БЕТОН</v>
      </c>
      <c r="D20" s="581" t="str">
        <f ca="1">IF(AND(C20="ПРОФЛИСТ",INDIRECT("ТИП1!"&amp;"$R$5")&gt;0),INDIRECT("ТИП1!"&amp;"$R$5"),"-")</f>
        <v>-</v>
      </c>
      <c r="E20" s="581">
        <f ca="1">INDIRECT("ТИП1!"&amp;"ПЛ")</f>
        <v>41</v>
      </c>
      <c r="F20" s="581">
        <f ca="1">INDIRECT("ТИП1!"&amp;"$R$3")</f>
        <v>220</v>
      </c>
      <c r="G20" s="581" t="str">
        <f ca="1">INDIRECT("ТИП1!"&amp;"$T$3")</f>
        <v>КВ 1.7%</v>
      </c>
      <c r="H20" s="581" t="str">
        <f ca="1">INDIRECT("ТИП1!"&amp;"$T$4")</f>
        <v>НЕТ</v>
      </c>
      <c r="I20" s="811" t="str">
        <f ca="1">INDIRECT("ТИП1!"&amp;"$V$3")</f>
        <v>ПВХ</v>
      </c>
      <c r="O20" s="402">
        <f t="shared" ref="O20:O29" ca="1" si="0">IF(E20&gt;0,1,0)</f>
        <v>1</v>
      </c>
      <c r="Q20" s="814">
        <f ca="1">SUMIF(I20:I29,"ПВХ",E20:E29)</f>
        <v>1751</v>
      </c>
    </row>
    <row r="21" spans="2:26" ht="15.75" customHeight="1">
      <c r="B21" s="581" t="s">
        <v>484</v>
      </c>
      <c r="C21" s="581" t="str">
        <f ca="1">INDIRECT("ТИП2!"&amp;"$R$4")</f>
        <v>ПРОФЛИСТ</v>
      </c>
      <c r="D21" s="581" t="str">
        <f ca="1">IF(AND(C21="ПРОФЛИСТ",INDIRECT("ТИП2!"&amp;"$R$5")&gt;0),INDIRECT("ТИП2!"&amp;"$R$5"),"-")</f>
        <v>Н75</v>
      </c>
      <c r="E21" s="581">
        <f ca="1">INDIRECT("ТИП2!"&amp;"ПЛ")</f>
        <v>1710</v>
      </c>
      <c r="F21" s="581">
        <f ca="1">INDIRECT("ТИП2!"&amp;"$R$3")</f>
        <v>220</v>
      </c>
      <c r="G21" s="581" t="str">
        <f ca="1">INDIRECT("ТИП2!"&amp;"$T$3")</f>
        <v>НЕТ</v>
      </c>
      <c r="H21" s="581" t="str">
        <f ca="1">INDIRECT("ТИП2!"&amp;"$T$4")</f>
        <v>НЕТ</v>
      </c>
      <c r="I21" s="811" t="str">
        <f ca="1">INDIRECT("ТИП2!"&amp;"$V$3")</f>
        <v>ПВХ</v>
      </c>
      <c r="O21" s="402">
        <f t="shared" ca="1" si="0"/>
        <v>1</v>
      </c>
    </row>
    <row r="22" spans="2:26" ht="15.75" hidden="1" customHeight="1">
      <c r="B22" s="581" t="s">
        <v>485</v>
      </c>
      <c r="C22" s="581" t="str">
        <f ca="1">INDIRECT("ТИП3!"&amp;"$R$4")</f>
        <v>НЕТ</v>
      </c>
      <c r="D22" s="581" t="str">
        <f ca="1">IF(AND(C22="ПРОФЛИСТ",INDIRECT("ТИП3!"&amp;"$R$5")&gt;0),INDIRECT("ТИП3!"&amp;"$R$5"),"-")</f>
        <v>-</v>
      </c>
      <c r="E22" s="581">
        <f ca="1">INDIRECT("ТИП3!"&amp;"ПЛ")</f>
        <v>0</v>
      </c>
      <c r="F22" s="581">
        <f ca="1">INDIRECT("ТИП3!"&amp;"$R$3")</f>
        <v>0</v>
      </c>
      <c r="G22" s="581" t="str">
        <f ca="1">INDIRECT("ТИП3!"&amp;"$T$3")</f>
        <v>НЕТ</v>
      </c>
      <c r="H22" s="581" t="str">
        <f ca="1">INDIRECT("ТИП3!"&amp;"$T$4")</f>
        <v>НЕТ</v>
      </c>
      <c r="I22" s="811" t="str">
        <f ca="1">INDIRECT("ТИП3!"&amp;"$V$3")</f>
        <v>НЕТ</v>
      </c>
      <c r="O22" s="402">
        <f t="shared" ca="1" si="0"/>
        <v>0</v>
      </c>
    </row>
    <row r="23" spans="2:26" ht="15.75" hidden="1" customHeight="1">
      <c r="B23" s="581" t="s">
        <v>486</v>
      </c>
      <c r="C23" s="581" t="str">
        <f ca="1">INDIRECT("ТИП4!"&amp;"$R$4")</f>
        <v>НЕТ</v>
      </c>
      <c r="D23" s="581" t="str">
        <f ca="1">IF(AND(C23="ПРОФЛИСТ",INDIRECT("ТИП4!"&amp;"$R$5")&gt;0),INDIRECT("ТИП4!"&amp;"$R$5"),"-")</f>
        <v>-</v>
      </c>
      <c r="E23" s="581">
        <f ca="1">INDIRECT("ТИП4!"&amp;"ПЛ")</f>
        <v>0</v>
      </c>
      <c r="F23" s="581">
        <f ca="1">INDIRECT("ТИП4!"&amp;"$R$3")</f>
        <v>0</v>
      </c>
      <c r="G23" s="581" t="str">
        <f ca="1">INDIRECT("ТИП4!"&amp;"$T$3")</f>
        <v>НЕТ</v>
      </c>
      <c r="H23" s="581" t="str">
        <f ca="1">INDIRECT("ТИП4!"&amp;"$T$4")</f>
        <v>НЕТ</v>
      </c>
      <c r="I23" s="811" t="str">
        <f ca="1">INDIRECT("ТИП4!"&amp;"$V$3")</f>
        <v>НЕТ</v>
      </c>
      <c r="O23" s="402">
        <f t="shared" ca="1" si="0"/>
        <v>0</v>
      </c>
    </row>
    <row r="24" spans="2:26" ht="15.75" hidden="1" customHeight="1">
      <c r="B24" s="581" t="s">
        <v>487</v>
      </c>
      <c r="C24" s="581" t="str">
        <f ca="1">INDIRECT("ТИП5!"&amp;"$R$4")</f>
        <v>НЕТ</v>
      </c>
      <c r="D24" s="581" t="str">
        <f ca="1">IF(AND(C24="ПРОФЛИСТ",INDIRECT("ТИП5!"&amp;"$R$5")&gt;0),INDIRECT("ТИП5!"&amp;"$R$5"),"-")</f>
        <v>-</v>
      </c>
      <c r="E24" s="581">
        <f ca="1">INDIRECT("ТИП5!"&amp;"ПЛ")</f>
        <v>0</v>
      </c>
      <c r="F24" s="581">
        <f ca="1">INDIRECT("ТИП5!"&amp;"$R$3")</f>
        <v>0</v>
      </c>
      <c r="G24" s="581" t="str">
        <f ca="1">INDIRECT("ТИП5!"&amp;"$T$3")</f>
        <v>НЕТ</v>
      </c>
      <c r="H24" s="581" t="str">
        <f ca="1">INDIRECT("ТИП5!"&amp;"$T$4")</f>
        <v>НЕТ</v>
      </c>
      <c r="I24" s="811" t="str">
        <f ca="1">INDIRECT("ТИП5!"&amp;"$V$3")</f>
        <v>НЕТ</v>
      </c>
      <c r="O24" s="402">
        <f t="shared" ca="1" si="0"/>
        <v>0</v>
      </c>
    </row>
    <row r="25" spans="2:26" ht="15.75" hidden="1" customHeight="1">
      <c r="B25" s="581" t="s">
        <v>488</v>
      </c>
      <c r="C25" s="581" t="str">
        <f ca="1">INDIRECT("ТИП6!"&amp;"$R$4")</f>
        <v>НЕТ</v>
      </c>
      <c r="D25" s="581" t="str">
        <f ca="1">IF(AND(C25="ПРОФЛИСТ",INDIRECT("ТИП6!"&amp;"$R$5")&gt;0),INDIRECT("ТИП6!"&amp;"$R$5"),"-")</f>
        <v>-</v>
      </c>
      <c r="E25" s="581">
        <f ca="1">INDIRECT("ТИП6!"&amp;"ПЛ")</f>
        <v>0</v>
      </c>
      <c r="F25" s="581">
        <f ca="1">INDIRECT("ТИП6!"&amp;"$R$3")</f>
        <v>0</v>
      </c>
      <c r="G25" s="581" t="str">
        <f ca="1">INDIRECT("ТИП6!"&amp;"$T$3")</f>
        <v>НЕТ</v>
      </c>
      <c r="H25" s="581" t="str">
        <f ca="1">INDIRECT("ТИП6!"&amp;"$T$4")</f>
        <v>НЕТ</v>
      </c>
      <c r="I25" s="811" t="str">
        <f ca="1">INDIRECT("ТИП6!"&amp;"$V$3")</f>
        <v>НЕТ</v>
      </c>
      <c r="O25" s="402">
        <f t="shared" ca="1" si="0"/>
        <v>0</v>
      </c>
    </row>
    <row r="26" spans="2:26" ht="15.75" hidden="1" customHeight="1">
      <c r="B26" s="581" t="s">
        <v>489</v>
      </c>
      <c r="C26" s="581" t="str">
        <f ca="1">INDIRECT("ТИП7!"&amp;"$R$4")</f>
        <v>НЕТ</v>
      </c>
      <c r="D26" s="581" t="str">
        <f ca="1">IF(AND(C26="ПРОФЛИСТ",INDIRECT("ТИП7!"&amp;"$R$5")&gt;0),INDIRECT("ТИП7!"&amp;"$R$5"),"-")</f>
        <v>-</v>
      </c>
      <c r="E26" s="581">
        <f ca="1">INDIRECT("ТИП7!"&amp;"ПЛ")</f>
        <v>0</v>
      </c>
      <c r="F26" s="581">
        <f ca="1">INDIRECT("ТИП7!"&amp;"$R$3")</f>
        <v>0</v>
      </c>
      <c r="G26" s="581" t="str">
        <f ca="1">INDIRECT("ТИП7!"&amp;"$T$3")</f>
        <v>НЕТ</v>
      </c>
      <c r="H26" s="581" t="str">
        <f ca="1">INDIRECT("ТИП7!"&amp;"$T$4")</f>
        <v>НЕТ</v>
      </c>
      <c r="I26" s="811" t="str">
        <f ca="1">INDIRECT("ТИП7!"&amp;"$V$3")</f>
        <v>НЕТ</v>
      </c>
      <c r="O26" s="402">
        <f t="shared" ca="1" si="0"/>
        <v>0</v>
      </c>
    </row>
    <row r="27" spans="2:26" ht="15.75" hidden="1" customHeight="1">
      <c r="B27" s="581" t="s">
        <v>490</v>
      </c>
      <c r="C27" s="581" t="str">
        <f ca="1">INDIRECT("ТИП8!"&amp;"$R$4")</f>
        <v>НЕТ</v>
      </c>
      <c r="D27" s="581" t="str">
        <f ca="1">IF(AND(C27="ПРОФЛИСТ",INDIRECT("ТИП8!"&amp;"$R$5")&gt;0),INDIRECT("ТИП8!"&amp;"$R$5"),"-")</f>
        <v>-</v>
      </c>
      <c r="E27" s="581">
        <f ca="1">INDIRECT("ТИП8!"&amp;"ПЛ")</f>
        <v>0</v>
      </c>
      <c r="F27" s="581">
        <f ca="1">INDIRECT("ТИП8!"&amp;"$R$3")</f>
        <v>0</v>
      </c>
      <c r="G27" s="581" t="str">
        <f ca="1">INDIRECT("ТИП8!"&amp;"$T$3")</f>
        <v>НЕТ</v>
      </c>
      <c r="H27" s="581" t="str">
        <f ca="1">INDIRECT("ТИП8!"&amp;"$T$4")</f>
        <v>НЕТ</v>
      </c>
      <c r="I27" s="811" t="str">
        <f ca="1">INDIRECT("ТИП8!"&amp;"$V$3")</f>
        <v>НЕТ</v>
      </c>
      <c r="O27" s="402">
        <f t="shared" ca="1" si="0"/>
        <v>0</v>
      </c>
      <c r="Q27" s="108" t="s">
        <v>801</v>
      </c>
      <c r="R27" s="109" t="s">
        <v>602</v>
      </c>
    </row>
    <row r="28" spans="2:26" ht="15.75" hidden="1" customHeight="1">
      <c r="B28" s="581" t="s">
        <v>491</v>
      </c>
      <c r="C28" s="581" t="str">
        <f ca="1">INDIRECT("ТИП9!"&amp;"$R$4")</f>
        <v>НЕТ</v>
      </c>
      <c r="D28" s="581" t="str">
        <f ca="1">IF(AND(C28="ПРОФЛИСТ",INDIRECT("ТИП9!"&amp;"$R$5")&gt;0),INDIRECT("ТИП9!"&amp;"$R$5"),"-")</f>
        <v>-</v>
      </c>
      <c r="E28" s="581">
        <f ca="1">INDIRECT("ТИП9!"&amp;"ПЛ")</f>
        <v>0</v>
      </c>
      <c r="F28" s="581">
        <f ca="1">INDIRECT("ТИП9!"&amp;"$R$3")</f>
        <v>0</v>
      </c>
      <c r="G28" s="581" t="str">
        <f ca="1">INDIRECT("ТИП9!"&amp;"$T$3")</f>
        <v>НЕТ</v>
      </c>
      <c r="H28" s="581" t="str">
        <f ca="1">INDIRECT("ТИП9!"&amp;"$T$4")</f>
        <v>НЕТ</v>
      </c>
      <c r="I28" s="811" t="str">
        <f ca="1">INDIRECT("ТИП9!"&amp;"$V$3")</f>
        <v>НЕТ</v>
      </c>
      <c r="O28" s="402">
        <f t="shared" ca="1" si="0"/>
        <v>0</v>
      </c>
      <c r="Q28" s="108" t="s">
        <v>800</v>
      </c>
      <c r="R28" s="109" t="s">
        <v>928</v>
      </c>
    </row>
    <row r="29" spans="2:26" ht="15.75" hidden="1" customHeight="1">
      <c r="B29" s="581" t="s">
        <v>492</v>
      </c>
      <c r="C29" s="581" t="str">
        <f ca="1">INDIRECT("ТИП10!"&amp;"$R$4")</f>
        <v>НЕТ</v>
      </c>
      <c r="D29" s="581" t="str">
        <f ca="1">IF(AND(C29="ПРОФЛИСТ",INDIRECT("ТИП10!"&amp;"$R$5")&gt;0),INDIRECT("ТИП10!"&amp;"$R$5"),"-")</f>
        <v>-</v>
      </c>
      <c r="E29" s="581">
        <f ca="1">INDIRECT("ТИП10!"&amp;"ПЛ")</f>
        <v>0</v>
      </c>
      <c r="F29" s="581">
        <f ca="1">INDIRECT("ТИП10!"&amp;"$R$3")</f>
        <v>0</v>
      </c>
      <c r="G29" s="581" t="str">
        <f ca="1">INDIRECT("ТИП10!"&amp;"$T$3")</f>
        <v>НЕТ</v>
      </c>
      <c r="H29" s="581" t="str">
        <f ca="1">INDIRECT("ТИП10!"&amp;"$T$4")</f>
        <v>НЕТ</v>
      </c>
      <c r="I29" s="811" t="str">
        <f ca="1">INDIRECT("ТИП10!"&amp;"$V$3")</f>
        <v>НЕТ</v>
      </c>
      <c r="O29" s="402">
        <f t="shared" ca="1" si="0"/>
        <v>0</v>
      </c>
      <c r="Q29" s="108" t="s">
        <v>140</v>
      </c>
      <c r="R29" s="109" t="s">
        <v>897</v>
      </c>
      <c r="U29" s="93"/>
      <c r="V29" s="93"/>
      <c r="W29" s="93"/>
      <c r="X29"/>
      <c r="Y29" s="93"/>
      <c r="Z29" s="93"/>
    </row>
    <row r="30" spans="2:26" ht="15.75" customHeight="1">
      <c r="B30" s="445"/>
      <c r="C30" s="445"/>
      <c r="D30" s="445"/>
      <c r="E30" s="445"/>
      <c r="F30" s="445"/>
      <c r="G30" s="445"/>
      <c r="H30" s="445"/>
      <c r="O30" s="402">
        <v>1</v>
      </c>
      <c r="Q30" s="108" t="s">
        <v>944</v>
      </c>
      <c r="R30" s="109" t="s">
        <v>142</v>
      </c>
      <c r="S30" s="93"/>
      <c r="T30" s="93"/>
      <c r="U30" s="93"/>
      <c r="V30" s="93"/>
      <c r="W30" s="93"/>
      <c r="X30"/>
      <c r="Y30" s="93"/>
      <c r="Z30" s="93"/>
    </row>
    <row r="31" spans="2:26" ht="15.75" customHeight="1">
      <c r="B31" s="1485" t="str">
        <f ca="1">IF(OR(COUNTIF(G20:G29,Q27)&gt;0,COUNTIF(G20:G29,Q28)&gt;0,COUNTIF(H20:H29,R27)&gt;0,COUNTIF(H20:H29,R28)&gt;0,COUNTIF(H20:H29,R29)&gt;0),HYPERLINK($U$32,$Z$32),0)</f>
        <v>Альбом с примерами раскладки клиновидной теплоизоляции из каменной ваты можно скачать по этой ссылке</v>
      </c>
      <c r="C31" s="1485"/>
      <c r="D31" s="1485"/>
      <c r="E31" s="1485"/>
      <c r="F31" s="1485"/>
      <c r="G31" s="1485"/>
      <c r="H31" s="1485"/>
      <c r="O31" s="402">
        <f ca="1">IFERROR(IF(B31&gt;0,1,0),0)</f>
        <v>1</v>
      </c>
      <c r="Q31" s="108" t="s">
        <v>141</v>
      </c>
      <c r="R31" s="109" t="s">
        <v>948</v>
      </c>
      <c r="S31" s="93"/>
      <c r="T31" s="93"/>
      <c r="U31" s="447" t="s">
        <v>610</v>
      </c>
      <c r="V31" s="447"/>
      <c r="W31" s="447"/>
      <c r="X31" s="447"/>
      <c r="Y31" s="447"/>
      <c r="Z31" s="447"/>
    </row>
    <row r="32" spans="2:26" ht="15.75" hidden="1" customHeight="1">
      <c r="B32" s="1485">
        <f ca="1">IF(OR(COUNTIF(G20:G29,Q29)&gt;0,COUNTIF(G20:G29,Q30)&gt;0,COUNTIF(H20:H29,R30)&gt;0,COUNTIF(H20:H29,R31)&gt;0,COUNTIF(H20:H29,R34)&gt;0),HYPERLINK($U$33,$Z$33),0)</f>
        <v>0</v>
      </c>
      <c r="C32" s="1485"/>
      <c r="D32" s="1485"/>
      <c r="E32" s="1485"/>
      <c r="F32" s="1485"/>
      <c r="G32" s="1485"/>
      <c r="H32" s="1485"/>
      <c r="O32" s="402">
        <f ca="1">IFERROR(IF(B32&gt;0,1,0),0)</f>
        <v>0</v>
      </c>
      <c r="R32" s="109" t="s">
        <v>946</v>
      </c>
      <c r="S32" s="93"/>
      <c r="T32" s="93" t="s">
        <v>53</v>
      </c>
      <c r="U32" s="1482" t="s">
        <v>696</v>
      </c>
      <c r="V32" s="1483"/>
      <c r="W32" s="1483"/>
      <c r="X32" s="1483"/>
      <c r="Y32" s="1484"/>
      <c r="Z32" s="446" t="s">
        <v>611</v>
      </c>
    </row>
    <row r="33" spans="2:26" ht="15.75" hidden="1" customHeight="1">
      <c r="B33" s="1485">
        <f ca="1">IF(OR(COUNTIF(G20:G29,Q31)&gt;0,COUNTIF(H20:H29,R32)&gt;0,COUNTIF(H20:H29,R33)&gt;0),HYPERLINK($U$34,$Z$34),0)</f>
        <v>0</v>
      </c>
      <c r="C33" s="1485"/>
      <c r="D33" s="1485"/>
      <c r="E33" s="1485"/>
      <c r="F33" s="1485"/>
      <c r="G33" s="1485"/>
      <c r="H33" s="1485"/>
      <c r="O33" s="402">
        <f ca="1">IFERROR(IF(B33&gt;0,1,0),0)</f>
        <v>0</v>
      </c>
      <c r="R33" s="109" t="s">
        <v>947</v>
      </c>
      <c r="T33" s="399" t="s">
        <v>1506</v>
      </c>
      <c r="U33" s="1482" t="s">
        <v>697</v>
      </c>
      <c r="V33" s="1483"/>
      <c r="W33" s="1483"/>
      <c r="X33" s="1483"/>
      <c r="Y33" s="1484"/>
      <c r="Z33" s="446" t="s">
        <v>612</v>
      </c>
    </row>
    <row r="34" spans="2:26" ht="15.75" customHeight="1">
      <c r="O34" s="400">
        <f ca="1">IF(OR(O31&gt;0,O32&gt;0,O33&gt;0),1,0)</f>
        <v>1</v>
      </c>
      <c r="Q34" s="405"/>
      <c r="R34" s="109" t="s">
        <v>144</v>
      </c>
      <c r="T34" s="399" t="s">
        <v>1507</v>
      </c>
      <c r="U34" s="1482" t="s">
        <v>698</v>
      </c>
      <c r="V34" s="1483"/>
      <c r="W34" s="1483"/>
      <c r="X34" s="1483"/>
      <c r="Y34" s="1484"/>
      <c r="Z34" s="446" t="s">
        <v>613</v>
      </c>
    </row>
    <row r="35" spans="2:26" s="385" customFormat="1" ht="15.75" customHeight="1">
      <c r="B35" s="392" t="s">
        <v>517</v>
      </c>
      <c r="C35" s="391" t="s">
        <v>504</v>
      </c>
      <c r="N35" s="403"/>
      <c r="O35" s="404">
        <f ca="1">IF(SUM($O$38:$O$47)&gt;0,1,0)</f>
        <v>1</v>
      </c>
      <c r="P35" s="403"/>
      <c r="S35" s="403"/>
      <c r="T35" s="403"/>
      <c r="U35" s="403"/>
      <c r="V35" s="403"/>
      <c r="W35" s="403"/>
      <c r="X35" s="403"/>
      <c r="Z35" s="403"/>
    </row>
    <row r="36" spans="2:26" ht="15.75" customHeight="1">
      <c r="O36" s="404">
        <f ca="1">IF(SUM($O$38:$O$47)&gt;0,1,0)</f>
        <v>1</v>
      </c>
    </row>
    <row r="37" spans="2:26" ht="39.6">
      <c r="B37" s="701"/>
      <c r="C37" s="701" t="s">
        <v>129</v>
      </c>
      <c r="D37" s="701" t="s">
        <v>510</v>
      </c>
      <c r="E37" s="701" t="s">
        <v>512</v>
      </c>
      <c r="F37" s="701" t="s">
        <v>513</v>
      </c>
      <c r="O37" s="404">
        <f ca="1">IF(SUM($O$38:$O$47)&gt;0,1,0)</f>
        <v>1</v>
      </c>
    </row>
    <row r="38" spans="2:26" ht="15.75" customHeight="1">
      <c r="B38" s="581" t="s">
        <v>483</v>
      </c>
      <c r="C38" s="647" t="str">
        <f ca="1">INDIRECT("ТИП1!"&amp;"$C$13")</f>
        <v>Технобарьер (2.8 мм)</v>
      </c>
      <c r="D38" s="581">
        <f ca="1">INDIRECT("ТИП1!"&amp;"ПЛ")</f>
        <v>41</v>
      </c>
      <c r="E38" s="581">
        <f ca="1">INDIRECT("ТИП1!"&amp;"ПР")</f>
        <v>40</v>
      </c>
      <c r="F38" s="581">
        <f ca="1">INDIRECT("ТИП1!"&amp;"$I$13")</f>
        <v>64</v>
      </c>
      <c r="K38" s="105"/>
      <c r="O38" s="404">
        <f ca="1">IF(AND(D38&gt;0,F38&gt;0),1,0)</f>
        <v>1</v>
      </c>
      <c r="S38" s="93"/>
      <c r="T38" s="93"/>
      <c r="U38" s="93"/>
      <c r="V38" s="93"/>
      <c r="W38" s="93"/>
    </row>
    <row r="39" spans="2:26" ht="15.75" customHeight="1">
      <c r="B39" s="581" t="s">
        <v>484</v>
      </c>
      <c r="C39" s="647" t="str">
        <f ca="1">INDIRECT("ТИП2!"&amp;"$C$13")</f>
        <v>Паробарьер СА 500</v>
      </c>
      <c r="D39" s="581">
        <f ca="1">INDIRECT("ТИП2!"&amp;"ПЛ")</f>
        <v>1710</v>
      </c>
      <c r="E39" s="581">
        <f ca="1">INDIRECT("ТИП2!"&amp;"ПР")</f>
        <v>406</v>
      </c>
      <c r="F39" s="581">
        <f ca="1">INDIRECT("ТИП2!"&amp;"$I$13")</f>
        <v>2181</v>
      </c>
      <c r="O39" s="404">
        <f t="shared" ref="O39:O47" ca="1" si="1">IF(AND(D39&gt;0,F39&gt;0),1,0)</f>
        <v>1</v>
      </c>
      <c r="Q39" s="405"/>
      <c r="R39" s="93"/>
      <c r="S39" s="93"/>
      <c r="T39" s="93"/>
      <c r="U39" s="93"/>
      <c r="V39" s="93"/>
      <c r="W39" s="93"/>
    </row>
    <row r="40" spans="2:26" ht="15.75" hidden="1" customHeight="1">
      <c r="B40" s="581" t="s">
        <v>485</v>
      </c>
      <c r="C40" s="647">
        <f ca="1">INDIRECT("ТИП3!"&amp;"$C$13")</f>
        <v>0</v>
      </c>
      <c r="D40" s="581">
        <f ca="1">INDIRECT("ТИП3!"&amp;"ПЛ")</f>
        <v>0</v>
      </c>
      <c r="E40" s="581">
        <f ca="1">INDIRECT("ТИП3!"&amp;"ПР")</f>
        <v>0</v>
      </c>
      <c r="F40" s="581">
        <f ca="1">INDIRECT("ТИП3!"&amp;"$I$13")</f>
        <v>0</v>
      </c>
      <c r="O40" s="404">
        <f t="shared" ca="1" si="1"/>
        <v>0</v>
      </c>
      <c r="Q40" s="405"/>
      <c r="R40" s="93"/>
      <c r="S40" s="93"/>
      <c r="T40" s="93"/>
      <c r="U40" s="93"/>
      <c r="V40" s="93"/>
      <c r="W40" s="93"/>
    </row>
    <row r="41" spans="2:26" ht="15.75" hidden="1" customHeight="1">
      <c r="B41" s="581" t="s">
        <v>486</v>
      </c>
      <c r="C41" s="647">
        <f ca="1">INDIRECT("ТИП4!"&amp;"$C$13")</f>
        <v>0</v>
      </c>
      <c r="D41" s="581">
        <f ca="1">INDIRECT("ТИП4!"&amp;"ПЛ")</f>
        <v>0</v>
      </c>
      <c r="E41" s="581">
        <f ca="1">INDIRECT("ТИП4!"&amp;"ПР")</f>
        <v>0</v>
      </c>
      <c r="F41" s="581">
        <f ca="1">INDIRECT("ТИП4!"&amp;"$I$13")</f>
        <v>0</v>
      </c>
      <c r="O41" s="404">
        <f t="shared" ca="1" si="1"/>
        <v>0</v>
      </c>
      <c r="Q41" s="405"/>
      <c r="R41" s="93"/>
      <c r="S41" s="93"/>
      <c r="T41" s="93"/>
      <c r="U41" s="93"/>
      <c r="V41" s="93"/>
      <c r="W41" s="93"/>
    </row>
    <row r="42" spans="2:26" ht="15.75" hidden="1" customHeight="1">
      <c r="B42" s="581" t="s">
        <v>487</v>
      </c>
      <c r="C42" s="647">
        <f ca="1">INDIRECT("ТИП5!"&amp;"$C$13")</f>
        <v>0</v>
      </c>
      <c r="D42" s="581">
        <f ca="1">INDIRECT("ТИП5!"&amp;"ПЛ")</f>
        <v>0</v>
      </c>
      <c r="E42" s="581">
        <f ca="1">INDIRECT("ТИП5!"&amp;"ПР")</f>
        <v>0</v>
      </c>
      <c r="F42" s="581">
        <f ca="1">INDIRECT("ТИП5!"&amp;"$I$13")</f>
        <v>0</v>
      </c>
      <c r="O42" s="404">
        <f t="shared" ca="1" si="1"/>
        <v>0</v>
      </c>
      <c r="Q42" s="405"/>
      <c r="R42" s="405"/>
      <c r="S42" s="403"/>
      <c r="T42" s="403"/>
      <c r="U42" s="403"/>
      <c r="V42" s="403"/>
      <c r="W42" s="403"/>
    </row>
    <row r="43" spans="2:26" ht="15.75" hidden="1" customHeight="1">
      <c r="B43" s="581" t="s">
        <v>488</v>
      </c>
      <c r="C43" s="647">
        <f ca="1">INDIRECT("ТИП6!"&amp;"$C$13")</f>
        <v>0</v>
      </c>
      <c r="D43" s="581">
        <f ca="1">INDIRECT("ТИП6!"&amp;"ПЛ")</f>
        <v>0</v>
      </c>
      <c r="E43" s="581">
        <f ca="1">INDIRECT("ТИП6!"&amp;"ПР")</f>
        <v>0</v>
      </c>
      <c r="F43" s="581">
        <f ca="1">INDIRECT("ТИП6!"&amp;"$I$13")</f>
        <v>0</v>
      </c>
      <c r="O43" s="404">
        <f t="shared" ca="1" si="1"/>
        <v>0</v>
      </c>
      <c r="Q43" s="405"/>
      <c r="R43" s="405"/>
      <c r="S43" s="403"/>
      <c r="T43" s="403"/>
      <c r="U43" s="403"/>
      <c r="V43" s="403"/>
      <c r="W43" s="403"/>
    </row>
    <row r="44" spans="2:26" ht="15.75" hidden="1" customHeight="1">
      <c r="B44" s="581" t="s">
        <v>489</v>
      </c>
      <c r="C44" s="647">
        <f ca="1">INDIRECT("ТИП7!"&amp;"$C$13")</f>
        <v>0</v>
      </c>
      <c r="D44" s="581">
        <f ca="1">INDIRECT("ТИП7!"&amp;"ПЛ")</f>
        <v>0</v>
      </c>
      <c r="E44" s="581">
        <f ca="1">INDIRECT("ТИП7!"&amp;"ПР")</f>
        <v>0</v>
      </c>
      <c r="F44" s="581">
        <f ca="1">INDIRECT("ТИП7!"&amp;"$I$13")</f>
        <v>0</v>
      </c>
      <c r="O44" s="404">
        <f t="shared" ca="1" si="1"/>
        <v>0</v>
      </c>
      <c r="Q44" s="405"/>
      <c r="R44" s="405"/>
      <c r="S44" s="403"/>
      <c r="T44" s="403"/>
      <c r="U44" s="403"/>
      <c r="V44" s="403"/>
      <c r="W44" s="403"/>
    </row>
    <row r="45" spans="2:26" ht="15.75" hidden="1" customHeight="1">
      <c r="B45" s="581" t="s">
        <v>490</v>
      </c>
      <c r="C45" s="647">
        <f ca="1">INDIRECT("ТИП8!"&amp;"$C$13")</f>
        <v>0</v>
      </c>
      <c r="D45" s="581">
        <f ca="1">INDIRECT("ТИП8!"&amp;"ПЛ")</f>
        <v>0</v>
      </c>
      <c r="E45" s="581">
        <f ca="1">INDIRECT("ТИП8!"&amp;"ПР")</f>
        <v>0</v>
      </c>
      <c r="F45" s="581">
        <f ca="1">INDIRECT("ТИП8!"&amp;"$I$13")</f>
        <v>0</v>
      </c>
      <c r="O45" s="404">
        <f t="shared" ca="1" si="1"/>
        <v>0</v>
      </c>
      <c r="Q45" s="405"/>
      <c r="R45" s="405"/>
      <c r="S45" s="403"/>
      <c r="T45" s="403"/>
      <c r="U45" s="403"/>
      <c r="V45" s="403"/>
      <c r="W45" s="403"/>
    </row>
    <row r="46" spans="2:26" ht="15.75" hidden="1" customHeight="1">
      <c r="B46" s="581" t="s">
        <v>491</v>
      </c>
      <c r="C46" s="647">
        <f ca="1">INDIRECT("ТИП9!"&amp;"$C$13")</f>
        <v>0</v>
      </c>
      <c r="D46" s="581">
        <f ca="1">INDIRECT("ТИП9!"&amp;"ПЛ")</f>
        <v>0</v>
      </c>
      <c r="E46" s="581">
        <f ca="1">INDIRECT("ТИП9!"&amp;"ПР")</f>
        <v>0</v>
      </c>
      <c r="F46" s="581">
        <f ca="1">INDIRECT("ТИП9!"&amp;"$I$13")</f>
        <v>0</v>
      </c>
      <c r="O46" s="404">
        <f t="shared" ca="1" si="1"/>
        <v>0</v>
      </c>
      <c r="Q46" s="405"/>
      <c r="R46" s="405"/>
      <c r="S46" s="403"/>
      <c r="T46" s="403"/>
      <c r="U46" s="403"/>
      <c r="V46" s="403"/>
      <c r="W46" s="403"/>
    </row>
    <row r="47" spans="2:26" ht="15.75" hidden="1" customHeight="1">
      <c r="B47" s="581" t="s">
        <v>492</v>
      </c>
      <c r="C47" s="647">
        <f ca="1">INDIRECT("ТИП10!"&amp;"$C$13")</f>
        <v>0</v>
      </c>
      <c r="D47" s="581">
        <f ca="1">INDIRECT("ТИП10!"&amp;"ПЛ")</f>
        <v>0</v>
      </c>
      <c r="E47" s="581">
        <f ca="1">INDIRECT("ТИП10!"&amp;"ПР")</f>
        <v>0</v>
      </c>
      <c r="F47" s="581">
        <f ca="1">INDIRECT("ТИП10!"&amp;"$I$13")</f>
        <v>0</v>
      </c>
      <c r="O47" s="404">
        <f t="shared" ca="1" si="1"/>
        <v>0</v>
      </c>
      <c r="Q47" s="405"/>
      <c r="R47" s="405"/>
      <c r="S47" s="403"/>
      <c r="T47" s="403"/>
      <c r="U47" s="403"/>
      <c r="V47" s="403"/>
      <c r="W47" s="403"/>
    </row>
    <row r="48" spans="2:26" ht="15.75" customHeight="1">
      <c r="O48" s="405">
        <v>1</v>
      </c>
    </row>
    <row r="49" spans="2:26" s="385" customFormat="1" ht="15.75" customHeight="1">
      <c r="B49" s="392" t="s">
        <v>518</v>
      </c>
      <c r="C49" s="391" t="s">
        <v>505</v>
      </c>
      <c r="N49" s="403"/>
      <c r="O49" s="404">
        <f ca="1">IF(SUM($O$52:$O$61)&gt;0,1,0)</f>
        <v>1</v>
      </c>
      <c r="P49" s="403"/>
      <c r="Q49" s="403"/>
      <c r="R49" s="403"/>
      <c r="S49" s="403"/>
      <c r="T49" s="403"/>
      <c r="U49" s="403"/>
      <c r="V49" s="403"/>
      <c r="W49" s="403"/>
      <c r="X49" s="403"/>
      <c r="Y49" s="403"/>
      <c r="Z49" s="403"/>
    </row>
    <row r="50" spans="2:26" ht="15.75" customHeight="1">
      <c r="O50" s="404">
        <f ca="1">IF(SUM($O$52:$O$61)&gt;0,1,0)</f>
        <v>1</v>
      </c>
    </row>
    <row r="51" spans="2:26" ht="38.25" customHeight="1">
      <c r="B51" s="702"/>
      <c r="C51" s="702" t="s">
        <v>510</v>
      </c>
      <c r="D51" s="702" t="s">
        <v>514</v>
      </c>
      <c r="E51" s="702"/>
      <c r="F51" s="702" t="s">
        <v>605</v>
      </c>
      <c r="G51" s="702" t="s">
        <v>606</v>
      </c>
      <c r="H51" s="702" t="s">
        <v>607</v>
      </c>
      <c r="I51" s="1486" t="s">
        <v>562</v>
      </c>
      <c r="J51" s="1487"/>
      <c r="O51" s="404">
        <f ca="1">IF(SUM($O$52:$O$61)&gt;0,1,0)</f>
        <v>1</v>
      </c>
      <c r="R51" s="442" t="s">
        <v>603</v>
      </c>
      <c r="S51" s="442" t="s">
        <v>604</v>
      </c>
    </row>
    <row r="52" spans="2:26" ht="15.75" customHeight="1">
      <c r="B52" s="581" t="s">
        <v>483</v>
      </c>
      <c r="C52" s="581">
        <f ca="1">INDIRECT("ТИП1!"&amp;"ПЛ")</f>
        <v>41</v>
      </c>
      <c r="D52" s="1519">
        <f ca="1">SUM(INDIRECT("ТИП1!"&amp;"L$137:$L$216"))</f>
        <v>298</v>
      </c>
      <c r="E52" s="1520"/>
      <c r="F52" s="703">
        <f ca="1">IF($C52&gt;0,D52/$C52,0)</f>
        <v>7.2682926829268295</v>
      </c>
      <c r="G52" s="703">
        <f ca="1">IF($C52&gt;0,R52/$C52,0)</f>
        <v>3.2195121951219514</v>
      </c>
      <c r="H52" s="703">
        <f ca="1">IF($C52&gt;0,S52/$C52,0)</f>
        <v>3.9512195121951219</v>
      </c>
      <c r="I52" s="1492" t="str">
        <f ca="1">IF(INDIRECT("ТИП1!"&amp;"$AF$22")=0,"-","Содержит крепеж стороннего производителя")</f>
        <v>Содержит крепеж стороннего производителя</v>
      </c>
      <c r="J52" s="1492"/>
      <c r="O52" s="405">
        <f ca="1">IF(C52&gt;0,1,0)</f>
        <v>1</v>
      </c>
      <c r="R52" s="443">
        <f ca="1">SUM(INDIRECT("ТИП1!"&amp;"I$137:$I$216"))</f>
        <v>132</v>
      </c>
      <c r="S52" s="443">
        <f ca="1">SUM(INDIRECT("ТИП1!"&amp;"J$137:$J$216"))</f>
        <v>162</v>
      </c>
      <c r="T52" s="882" t="str">
        <f ca="1">INDIRECT("ТИП1!"&amp;"$V$4")</f>
        <v>ДА</v>
      </c>
    </row>
    <row r="53" spans="2:26" ht="15.75" customHeight="1">
      <c r="B53" s="581" t="s">
        <v>484</v>
      </c>
      <c r="C53" s="581">
        <f ca="1">INDIRECT("ТИП2!"&amp;"ПЛ")</f>
        <v>1710</v>
      </c>
      <c r="D53" s="1519">
        <f ca="1">SUM(INDIRECT("ТИП2!"&amp;"L$137:$L$216"))</f>
        <v>12002</v>
      </c>
      <c r="E53" s="1520"/>
      <c r="F53" s="703">
        <f ca="1">IF($C53&gt;0,D53/$C53,0)</f>
        <v>7.018713450292398</v>
      </c>
      <c r="G53" s="703">
        <f t="shared" ref="G53:G61" ca="1" si="2">IF($C53&gt;0,R53/$C53,0)</f>
        <v>3</v>
      </c>
      <c r="H53" s="703">
        <f t="shared" ref="H53:H61" ca="1" si="3">IF($C53&gt;0,S53/$C53,0)</f>
        <v>4</v>
      </c>
      <c r="I53" s="1492" t="str">
        <f ca="1">IF(INDIRECT("ТИП2!"&amp;"$AF$22")=0,"-","Содержит крепеж стороннего производителя")</f>
        <v>-</v>
      </c>
      <c r="J53" s="1492"/>
      <c r="O53" s="405">
        <f t="shared" ref="O53:O60" ca="1" si="4">IF(C53&gt;0,1,0)</f>
        <v>1</v>
      </c>
      <c r="R53" s="443">
        <f ca="1">SUM(INDIRECT("ТИП2!"&amp;"I$137:$I$216"))</f>
        <v>5130</v>
      </c>
      <c r="S53" s="443">
        <f ca="1">SUM(INDIRECT("ТИП2!"&amp;"J$137:$J$216"))</f>
        <v>6840</v>
      </c>
      <c r="T53" s="882" t="str">
        <f ca="1">INDIRECT("ТИП2!"&amp;"$V$4")</f>
        <v>ДА</v>
      </c>
    </row>
    <row r="54" spans="2:26" ht="15.75" hidden="1" customHeight="1">
      <c r="B54" s="581" t="s">
        <v>485</v>
      </c>
      <c r="C54" s="581">
        <f ca="1">INDIRECT("ТИП3!"&amp;"ПЛ")</f>
        <v>0</v>
      </c>
      <c r="D54" s="1519">
        <f ca="1">SUM(INDIRECT("ТИП3!"&amp;"L$137:$L$216"))</f>
        <v>0</v>
      </c>
      <c r="E54" s="1520"/>
      <c r="F54" s="703">
        <f t="shared" ref="F54:F61" ca="1" si="5">IF(C54&gt;0,D54/C54,0)</f>
        <v>0</v>
      </c>
      <c r="G54" s="703">
        <f t="shared" ca="1" si="2"/>
        <v>0</v>
      </c>
      <c r="H54" s="703">
        <f t="shared" ca="1" si="3"/>
        <v>0</v>
      </c>
      <c r="I54" s="1492" t="str">
        <f ca="1">IF(INDIRECT("ТИП3!"&amp;"$AF$22")=0,"-","Содержит крепеж стороннего производителя")</f>
        <v>-</v>
      </c>
      <c r="J54" s="1492"/>
      <c r="O54" s="405">
        <f t="shared" ca="1" si="4"/>
        <v>0</v>
      </c>
      <c r="R54" s="443">
        <f ca="1">SUM(INDIRECT("ТИП3!"&amp;"I$137:$I$216"))</f>
        <v>0</v>
      </c>
      <c r="S54" s="443">
        <f ca="1">SUM(INDIRECT("ТИП3!"&amp;"J$137:$J$216"))</f>
        <v>0</v>
      </c>
      <c r="T54" s="882" t="str">
        <f ca="1">INDIRECT("ТИП3!"&amp;"$V$4")</f>
        <v>НЕТ</v>
      </c>
    </row>
    <row r="55" spans="2:26" ht="15.75" hidden="1" customHeight="1">
      <c r="B55" s="581" t="s">
        <v>486</v>
      </c>
      <c r="C55" s="581">
        <f ca="1">INDIRECT("ТИП4!"&amp;"ПЛ")</f>
        <v>0</v>
      </c>
      <c r="D55" s="1519">
        <f ca="1">SUM(INDIRECT("ТИП4!"&amp;"L$137:$L$216"))</f>
        <v>0</v>
      </c>
      <c r="E55" s="1520"/>
      <c r="F55" s="703">
        <f t="shared" ca="1" si="5"/>
        <v>0</v>
      </c>
      <c r="G55" s="703">
        <f t="shared" ca="1" si="2"/>
        <v>0</v>
      </c>
      <c r="H55" s="703">
        <f t="shared" ca="1" si="3"/>
        <v>0</v>
      </c>
      <c r="I55" s="1492" t="str">
        <f ca="1">IF(INDIRECT("ТИП4!"&amp;"$AF$22")=0,"-","Содержит крепеж стороннего производителя")</f>
        <v>-</v>
      </c>
      <c r="J55" s="1492"/>
      <c r="O55" s="405">
        <f t="shared" ca="1" si="4"/>
        <v>0</v>
      </c>
      <c r="R55" s="443">
        <f ca="1">SUM(INDIRECT("ТИП4!"&amp;"I$137:$I$216"))</f>
        <v>0</v>
      </c>
      <c r="S55" s="443">
        <f ca="1">SUM(INDIRECT("ТИП4!"&amp;"J$137:$J$216"))</f>
        <v>0</v>
      </c>
      <c r="T55" s="882" t="str">
        <f ca="1">INDIRECT("ТИП4!"&amp;"$V$4")</f>
        <v>НЕТ</v>
      </c>
    </row>
    <row r="56" spans="2:26" ht="15.75" hidden="1" customHeight="1">
      <c r="B56" s="581" t="s">
        <v>487</v>
      </c>
      <c r="C56" s="581">
        <f ca="1">INDIRECT("ТИП5!"&amp;"ПЛ")</f>
        <v>0</v>
      </c>
      <c r="D56" s="1519">
        <f ca="1">SUM(INDIRECT("ТИП5!"&amp;"L$137:$L$216"))</f>
        <v>0</v>
      </c>
      <c r="E56" s="1520"/>
      <c r="F56" s="703">
        <f t="shared" ca="1" si="5"/>
        <v>0</v>
      </c>
      <c r="G56" s="703">
        <f t="shared" ca="1" si="2"/>
        <v>0</v>
      </c>
      <c r="H56" s="703">
        <f t="shared" ca="1" si="3"/>
        <v>0</v>
      </c>
      <c r="I56" s="1492" t="str">
        <f ca="1">IF(INDIRECT("ТИП5!"&amp;"$AF$22")=0,"-","Содержит крепеж стороннего производителя")</f>
        <v>-</v>
      </c>
      <c r="J56" s="1492"/>
      <c r="O56" s="405">
        <f t="shared" ca="1" si="4"/>
        <v>0</v>
      </c>
      <c r="R56" s="443">
        <f ca="1">SUM(INDIRECT("ТИП5!"&amp;"I$137:$I$216"))</f>
        <v>0</v>
      </c>
      <c r="S56" s="443">
        <f ca="1">SUM(INDIRECT("ТИП5!"&amp;"J$137:$J$216"))</f>
        <v>0</v>
      </c>
      <c r="T56" s="882" t="str">
        <f ca="1">INDIRECT("ТИП5!"&amp;"$V$4")</f>
        <v>НЕТ</v>
      </c>
    </row>
    <row r="57" spans="2:26" ht="15.75" hidden="1" customHeight="1">
      <c r="B57" s="581" t="s">
        <v>488</v>
      </c>
      <c r="C57" s="581">
        <f ca="1">INDIRECT("ТИП6!"&amp;"ПЛ")</f>
        <v>0</v>
      </c>
      <c r="D57" s="1519">
        <f ca="1">SUM(INDIRECT("ТИП6!"&amp;"L$137:$L$216"))</f>
        <v>0</v>
      </c>
      <c r="E57" s="1520"/>
      <c r="F57" s="703">
        <f t="shared" ca="1" si="5"/>
        <v>0</v>
      </c>
      <c r="G57" s="703">
        <f t="shared" ca="1" si="2"/>
        <v>0</v>
      </c>
      <c r="H57" s="703">
        <f t="shared" ca="1" si="3"/>
        <v>0</v>
      </c>
      <c r="I57" s="1492" t="str">
        <f ca="1">IF(INDIRECT("ТИП6!"&amp;"$AF$22")=0,"-","Содержит крепеж стороннего производителя")</f>
        <v>-</v>
      </c>
      <c r="J57" s="1492"/>
      <c r="O57" s="405">
        <f t="shared" ca="1" si="4"/>
        <v>0</v>
      </c>
      <c r="R57" s="443">
        <f ca="1">SUM(INDIRECT("ТИП6!"&amp;"I$137:$I$216"))</f>
        <v>0</v>
      </c>
      <c r="S57" s="443">
        <f ca="1">SUM(INDIRECT("ТИП6!"&amp;"J$137:$J$216"))</f>
        <v>0</v>
      </c>
      <c r="T57" s="882" t="str">
        <f ca="1">INDIRECT("ТИП6!"&amp;"$V$4")</f>
        <v>НЕТ</v>
      </c>
    </row>
    <row r="58" spans="2:26" ht="15.75" hidden="1" customHeight="1">
      <c r="B58" s="581" t="s">
        <v>489</v>
      </c>
      <c r="C58" s="581">
        <f ca="1">INDIRECT("ТИП7!"&amp;"ПЛ")</f>
        <v>0</v>
      </c>
      <c r="D58" s="1519">
        <f ca="1">SUM(INDIRECT("ТИП7!"&amp;"L$137:$L$216"))</f>
        <v>0</v>
      </c>
      <c r="E58" s="1520"/>
      <c r="F58" s="703">
        <f t="shared" ca="1" si="5"/>
        <v>0</v>
      </c>
      <c r="G58" s="703">
        <f t="shared" ca="1" si="2"/>
        <v>0</v>
      </c>
      <c r="H58" s="703">
        <f t="shared" ca="1" si="3"/>
        <v>0</v>
      </c>
      <c r="I58" s="1492" t="str">
        <f ca="1">IF(INDIRECT("ТИП7!"&amp;"$AF$22")=0,"-","Содержит крепеж стороннего производителя")</f>
        <v>-</v>
      </c>
      <c r="J58" s="1492"/>
      <c r="O58" s="405">
        <f t="shared" ca="1" si="4"/>
        <v>0</v>
      </c>
      <c r="R58" s="443">
        <f ca="1">SUM(INDIRECT("ТИП7!"&amp;"I$137:$I$216"))</f>
        <v>0</v>
      </c>
      <c r="S58" s="443">
        <f ca="1">SUM(INDIRECT("ТИП7!"&amp;"J$137:$J$216"))</f>
        <v>0</v>
      </c>
      <c r="T58" s="882" t="str">
        <f ca="1">INDIRECT("ТИП7!"&amp;"$V$4")</f>
        <v>НЕТ</v>
      </c>
    </row>
    <row r="59" spans="2:26" ht="15.75" hidden="1" customHeight="1">
      <c r="B59" s="581" t="s">
        <v>490</v>
      </c>
      <c r="C59" s="581">
        <f ca="1">INDIRECT("ТИП8!"&amp;"ПЛ")</f>
        <v>0</v>
      </c>
      <c r="D59" s="1519">
        <f ca="1">SUM(INDIRECT("ТИП8!"&amp;"L$137:$L$216"))</f>
        <v>0</v>
      </c>
      <c r="E59" s="1520"/>
      <c r="F59" s="703">
        <f t="shared" ca="1" si="5"/>
        <v>0</v>
      </c>
      <c r="G59" s="703">
        <f t="shared" ca="1" si="2"/>
        <v>0</v>
      </c>
      <c r="H59" s="703">
        <f t="shared" ca="1" si="3"/>
        <v>0</v>
      </c>
      <c r="I59" s="1492" t="str">
        <f ca="1">IF(INDIRECT("ТИП8!"&amp;"$AF$22")=0,"-","Содержит крепеж стороннего производителя")</f>
        <v>-</v>
      </c>
      <c r="J59" s="1492"/>
      <c r="O59" s="405">
        <f t="shared" ca="1" si="4"/>
        <v>0</v>
      </c>
      <c r="R59" s="443">
        <f ca="1">SUM(INDIRECT("ТИП8!"&amp;"I$137:$I$216"))</f>
        <v>0</v>
      </c>
      <c r="S59" s="443">
        <f ca="1">SUM(INDIRECT("ТИП8!"&amp;"J$137:$J$216"))</f>
        <v>0</v>
      </c>
      <c r="T59" s="882" t="str">
        <f ca="1">INDIRECT("ТИП8!"&amp;"$V$4")</f>
        <v>НЕТ</v>
      </c>
    </row>
    <row r="60" spans="2:26" ht="15.75" hidden="1" customHeight="1">
      <c r="B60" s="581" t="s">
        <v>491</v>
      </c>
      <c r="C60" s="581">
        <f ca="1">INDIRECT("ТИП9!"&amp;"ПЛ")</f>
        <v>0</v>
      </c>
      <c r="D60" s="1519">
        <f ca="1">SUM(INDIRECT("ТИП9!"&amp;"L$137:$L$216"))</f>
        <v>0</v>
      </c>
      <c r="E60" s="1520"/>
      <c r="F60" s="703">
        <f t="shared" ca="1" si="5"/>
        <v>0</v>
      </c>
      <c r="G60" s="703">
        <f t="shared" ca="1" si="2"/>
        <v>0</v>
      </c>
      <c r="H60" s="703">
        <f t="shared" ca="1" si="3"/>
        <v>0</v>
      </c>
      <c r="I60" s="1492" t="str">
        <f ca="1">IF(INDIRECT("ТИП9!"&amp;"$AF$22")=0,"-","Содержит крепеж стороннего производителя")</f>
        <v>-</v>
      </c>
      <c r="J60" s="1492"/>
      <c r="O60" s="405">
        <f t="shared" ca="1" si="4"/>
        <v>0</v>
      </c>
      <c r="R60" s="443">
        <f ca="1">SUM(INDIRECT("ТИП9!"&amp;"I$137:$I$216"))</f>
        <v>0</v>
      </c>
      <c r="S60" s="443">
        <f ca="1">SUM(INDIRECT("ТИП9!"&amp;"J$137:$J$216"))</f>
        <v>0</v>
      </c>
      <c r="T60" s="882" t="str">
        <f ca="1">INDIRECT("ТИП9!"&amp;"$V$4")</f>
        <v>НЕТ</v>
      </c>
    </row>
    <row r="61" spans="2:26" ht="15.75" hidden="1" customHeight="1">
      <c r="B61" s="581" t="s">
        <v>492</v>
      </c>
      <c r="C61" s="581">
        <f ca="1">INDIRECT("ТИП10!"&amp;"ПЛ")</f>
        <v>0</v>
      </c>
      <c r="D61" s="1519">
        <f ca="1">SUM(INDIRECT("ТИП10!"&amp;"L$137:$L$216"))</f>
        <v>0</v>
      </c>
      <c r="E61" s="1520"/>
      <c r="F61" s="703">
        <f t="shared" ca="1" si="5"/>
        <v>0</v>
      </c>
      <c r="G61" s="703">
        <f t="shared" ca="1" si="2"/>
        <v>0</v>
      </c>
      <c r="H61" s="703">
        <f t="shared" ca="1" si="3"/>
        <v>0</v>
      </c>
      <c r="I61" s="1492" t="str">
        <f ca="1">IF(INDIRECT("ТИП10!"&amp;"$AF$22")=0,"-","Содержит крепеж стороннего производителя")</f>
        <v>-</v>
      </c>
      <c r="J61" s="1492"/>
      <c r="O61" s="405">
        <f ca="1">IF(C61&gt;0,1,0)</f>
        <v>0</v>
      </c>
      <c r="R61" s="443">
        <f ca="1">SUM(INDIRECT("ТИП10!"&amp;"I$137:$I$216"))</f>
        <v>0</v>
      </c>
      <c r="S61" s="443">
        <f ca="1">SUM(INDIRECT("ТИП10!"&amp;"J$137:$J$216"))</f>
        <v>0</v>
      </c>
      <c r="T61" s="882" t="str">
        <f ca="1">INDIRECT("ТИП10!"&amp;"$V$4")</f>
        <v>НЕТ</v>
      </c>
    </row>
    <row r="62" spans="2:26" ht="15.75" customHeight="1">
      <c r="O62" s="400">
        <v>1</v>
      </c>
    </row>
    <row r="63" spans="2:26" ht="15.75" hidden="1" customHeight="1">
      <c r="B63" s="392" t="s">
        <v>519</v>
      </c>
      <c r="C63" s="391" t="s">
        <v>621</v>
      </c>
      <c r="O63" s="404">
        <f ca="1">IF(SUM($O$66:$O$75)&gt;0,1,0)</f>
        <v>0</v>
      </c>
    </row>
    <row r="64" spans="2:26" ht="15.75" hidden="1" customHeight="1">
      <c r="O64" s="404">
        <f ca="1">IF(SUM($O$66:$O$75)&gt;0,1,0)</f>
        <v>0</v>
      </c>
    </row>
    <row r="65" spans="2:41" ht="37.5" hidden="1" customHeight="1">
      <c r="B65" s="704"/>
      <c r="C65" s="701" t="s">
        <v>482</v>
      </c>
      <c r="D65" s="1523" t="s">
        <v>514</v>
      </c>
      <c r="E65" s="1523"/>
      <c r="F65" s="701" t="s">
        <v>605</v>
      </c>
      <c r="G65" s="701" t="s">
        <v>607</v>
      </c>
      <c r="H65" s="701" t="s">
        <v>682</v>
      </c>
      <c r="O65" s="404">
        <f ca="1">IF(SUM($O$66:$O$75)&gt;0,1,0)</f>
        <v>0</v>
      </c>
    </row>
    <row r="66" spans="2:41" ht="15.75" hidden="1" customHeight="1">
      <c r="B66" s="581" t="s">
        <v>483</v>
      </c>
      <c r="C66" s="647">
        <f ca="1">IF($V66&gt;0,CONCATENATE(R66,", ",S66,T66),0)</f>
        <v>0</v>
      </c>
      <c r="D66" s="1492">
        <f ca="1">W66</f>
        <v>0</v>
      </c>
      <c r="E66" s="1492"/>
      <c r="F66" s="703">
        <f ca="1">IFERROR(IF(D66&gt;0,D66/U66,0),0)</f>
        <v>0</v>
      </c>
      <c r="G66" s="703">
        <f ca="1">IFERROR((($W66-$V66)/$U66),0)</f>
        <v>0</v>
      </c>
      <c r="H66" s="703">
        <f ca="1">F66-G66</f>
        <v>0</v>
      </c>
      <c r="O66" s="405">
        <f ca="1">IF(C66&gt;0,1,0)</f>
        <v>0</v>
      </c>
      <c r="R66" s="492" t="str">
        <f ca="1">INDIRECT("ТИП1!"&amp;"$P$224")</f>
        <v>АЦЛ 6 мм</v>
      </c>
      <c r="S66" s="491">
        <f ca="1">INDIRECT("ТИП1!"&amp;"$Q$224")</f>
        <v>0</v>
      </c>
      <c r="T66" s="491" t="b">
        <f ca="1">IF(S66=1," слой",IF(AND(S66&gt;1.99,S66&lt;4.01)," слоя",IF(S66&gt;4.99," слоёв")))</f>
        <v>0</v>
      </c>
      <c r="U66" s="491">
        <f ca="1">INDIRECT("ТИП1!"&amp;"ПЛ")</f>
        <v>41</v>
      </c>
      <c r="V66" s="491">
        <f ca="1">SUM(INDIRECT("ТИП1!"&amp;"I$225:$I$295"))</f>
        <v>0</v>
      </c>
      <c r="W66" s="491">
        <f ca="1">IF(X66=1,SUM(INDIRECT("ТИП1!"&amp;"I$101:$I$113")),0)</f>
        <v>0</v>
      </c>
      <c r="X66" s="400">
        <f ca="1">IF(INDIRECT("ТИП1!"&amp;"AD$6")=1,1,0)</f>
        <v>0</v>
      </c>
    </row>
    <row r="67" spans="2:41" ht="15.75" hidden="1" customHeight="1">
      <c r="B67" s="581" t="s">
        <v>484</v>
      </c>
      <c r="C67" s="647">
        <f t="shared" ref="C67:C75" ca="1" si="6">IF($V67&gt;0,CONCATENATE(R67,", ",S67,T67),0)</f>
        <v>0</v>
      </c>
      <c r="D67" s="1492">
        <f t="shared" ref="D67:D75" ca="1" si="7">V67</f>
        <v>0</v>
      </c>
      <c r="E67" s="1492"/>
      <c r="F67" s="703">
        <f t="shared" ref="F67:F75" ca="1" si="8">IFERROR(IF(D67&gt;0,D67/U67,0),0)</f>
        <v>0</v>
      </c>
      <c r="G67" s="703">
        <f t="shared" ref="G67:G75" ca="1" si="9">IFERROR((($W67-$V67)/$U67),0)</f>
        <v>7.018713450292398</v>
      </c>
      <c r="H67" s="703">
        <f t="shared" ref="H67:H75" ca="1" si="10">F67-G67</f>
        <v>-7.018713450292398</v>
      </c>
      <c r="O67" s="405">
        <f t="shared" ref="O67:O75" ca="1" si="11">IF(C67&gt;0,1,0)</f>
        <v>0</v>
      </c>
      <c r="R67" s="492" t="str">
        <f ca="1">INDIRECT("ТИП2!"&amp;"$P$224")</f>
        <v>АЦЛ 6 мм</v>
      </c>
      <c r="S67" s="491">
        <f ca="1">INDIRECT("ТИП2!"&amp;"$Q$224")</f>
        <v>0</v>
      </c>
      <c r="T67" s="491" t="b">
        <f t="shared" ref="T67:T75" ca="1" si="12">IF(S67=1," слой",IF(AND(S67&gt;1.99,S67&lt;4.01)," слоя",IF(S67&gt;4.99," слоёв")))</f>
        <v>0</v>
      </c>
      <c r="U67" s="491">
        <f ca="1">INDIRECT("ТИП2!"&amp;"ПЛ")</f>
        <v>1710</v>
      </c>
      <c r="V67" s="490">
        <f ca="1">SUM(INDIRECT("ТИП2!"&amp;"I$225:$I$295"))</f>
        <v>0</v>
      </c>
      <c r="W67" s="491">
        <f ca="1">SUM(INDIRECT("ТИП2!"&amp;"I$101:$I$113"))</f>
        <v>12002</v>
      </c>
      <c r="X67" s="400">
        <f ca="1">IF(INDIRECT("ТИП2!"&amp;"AD$6")=1,1,0)</f>
        <v>0</v>
      </c>
    </row>
    <row r="68" spans="2:41" ht="15.75" hidden="1" customHeight="1">
      <c r="B68" s="581" t="s">
        <v>485</v>
      </c>
      <c r="C68" s="647">
        <f t="shared" ca="1" si="6"/>
        <v>0</v>
      </c>
      <c r="D68" s="1492">
        <f t="shared" ca="1" si="7"/>
        <v>0</v>
      </c>
      <c r="E68" s="1492"/>
      <c r="F68" s="703">
        <f t="shared" ca="1" si="8"/>
        <v>0</v>
      </c>
      <c r="G68" s="703">
        <f t="shared" ca="1" si="9"/>
        <v>0</v>
      </c>
      <c r="H68" s="703">
        <f t="shared" ca="1" si="10"/>
        <v>0</v>
      </c>
      <c r="O68" s="405">
        <f t="shared" ca="1" si="11"/>
        <v>0</v>
      </c>
      <c r="R68" s="492" t="str">
        <f ca="1">INDIRECT("ТИП3!"&amp;"$P$224")</f>
        <v>АЦЛ 6 мм</v>
      </c>
      <c r="S68" s="491">
        <f ca="1">INDIRECT("ТИП3!"&amp;"$Q$224")</f>
        <v>0</v>
      </c>
      <c r="T68" s="491" t="b">
        <f t="shared" ca="1" si="12"/>
        <v>0</v>
      </c>
      <c r="U68" s="491">
        <f ca="1">INDIRECT("ТИП3!"&amp;"ПЛ")</f>
        <v>0</v>
      </c>
      <c r="V68" s="490">
        <f ca="1">SUM(INDIRECT("ТИП3!"&amp;"I$225:$I$295"))</f>
        <v>0</v>
      </c>
      <c r="W68" s="491">
        <f ca="1">SUM(INDIRECT("ТИП3!"&amp;"I$101:$I$113"))</f>
        <v>0</v>
      </c>
      <c r="X68" s="400">
        <f ca="1">IF(INDIRECT("ТИП3!"&amp;"AD$6")=1,1,0)</f>
        <v>0</v>
      </c>
    </row>
    <row r="69" spans="2:41" ht="15.75" hidden="1" customHeight="1">
      <c r="B69" s="581" t="s">
        <v>486</v>
      </c>
      <c r="C69" s="647">
        <f t="shared" ca="1" si="6"/>
        <v>0</v>
      </c>
      <c r="D69" s="1492">
        <f t="shared" ca="1" si="7"/>
        <v>0</v>
      </c>
      <c r="E69" s="1492"/>
      <c r="F69" s="703">
        <f t="shared" ca="1" si="8"/>
        <v>0</v>
      </c>
      <c r="G69" s="703">
        <f t="shared" ca="1" si="9"/>
        <v>0</v>
      </c>
      <c r="H69" s="703">
        <f t="shared" ca="1" si="10"/>
        <v>0</v>
      </c>
      <c r="O69" s="405">
        <f t="shared" ca="1" si="11"/>
        <v>0</v>
      </c>
      <c r="R69" s="492" t="str">
        <f ca="1">INDIRECT("ТИП4!"&amp;"$P$224")</f>
        <v>АЦЛ 6 мм</v>
      </c>
      <c r="S69" s="491">
        <f ca="1">INDIRECT("ТИП4!"&amp;"$Q$224")</f>
        <v>0</v>
      </c>
      <c r="T69" s="491" t="b">
        <f t="shared" ca="1" si="12"/>
        <v>0</v>
      </c>
      <c r="U69" s="491">
        <f ca="1">INDIRECT("ТИП4!"&amp;"ПЛ")</f>
        <v>0</v>
      </c>
      <c r="V69" s="490">
        <f ca="1">SUM(INDIRECT("ТИП4!"&amp;"I$225:$I$295"))</f>
        <v>0</v>
      </c>
      <c r="W69" s="491">
        <f ca="1">SUM(INDIRECT("ТИП4!"&amp;"I$101:$I$113"))</f>
        <v>0</v>
      </c>
      <c r="X69" s="400">
        <f ca="1">IF(INDIRECT("ТИП4!"&amp;"AD$6")=1,1,0)</f>
        <v>0</v>
      </c>
    </row>
    <row r="70" spans="2:41" ht="15.75" hidden="1" customHeight="1">
      <c r="B70" s="581" t="s">
        <v>487</v>
      </c>
      <c r="C70" s="647">
        <f t="shared" ca="1" si="6"/>
        <v>0</v>
      </c>
      <c r="D70" s="1492">
        <f t="shared" ca="1" si="7"/>
        <v>0</v>
      </c>
      <c r="E70" s="1492"/>
      <c r="F70" s="703">
        <f t="shared" ca="1" si="8"/>
        <v>0</v>
      </c>
      <c r="G70" s="703">
        <f t="shared" ca="1" si="9"/>
        <v>0</v>
      </c>
      <c r="H70" s="703">
        <f t="shared" ca="1" si="10"/>
        <v>0</v>
      </c>
      <c r="O70" s="405">
        <f t="shared" ca="1" si="11"/>
        <v>0</v>
      </c>
      <c r="R70" s="492" t="str">
        <f ca="1">INDIRECT("ТИП5!"&amp;"$P$224")</f>
        <v>АЦЛ 6 мм</v>
      </c>
      <c r="S70" s="491">
        <f ca="1">INDIRECT("ТИП5!"&amp;"$Q$224")</f>
        <v>0</v>
      </c>
      <c r="T70" s="491" t="b">
        <f t="shared" ca="1" si="12"/>
        <v>0</v>
      </c>
      <c r="U70" s="491">
        <f ca="1">INDIRECT("ТИП5!"&amp;"ПЛ")</f>
        <v>0</v>
      </c>
      <c r="V70" s="490">
        <f ca="1">SUM(INDIRECT("ТИП5!"&amp;"I$225:$I$295"))</f>
        <v>0</v>
      </c>
      <c r="W70" s="491">
        <f ca="1">SUM(INDIRECT("ТИП5!"&amp;"I$101:$I$113"))</f>
        <v>0</v>
      </c>
      <c r="X70" s="400">
        <f ca="1">IF(INDIRECT("ТИП5!"&amp;"AD$6")=1,1,0)</f>
        <v>0</v>
      </c>
    </row>
    <row r="71" spans="2:41" ht="15.75" hidden="1" customHeight="1">
      <c r="B71" s="581" t="s">
        <v>488</v>
      </c>
      <c r="C71" s="647">
        <f t="shared" ca="1" si="6"/>
        <v>0</v>
      </c>
      <c r="D71" s="1492">
        <f t="shared" ca="1" si="7"/>
        <v>0</v>
      </c>
      <c r="E71" s="1492"/>
      <c r="F71" s="703">
        <f t="shared" ca="1" si="8"/>
        <v>0</v>
      </c>
      <c r="G71" s="703">
        <f t="shared" ca="1" si="9"/>
        <v>0</v>
      </c>
      <c r="H71" s="703">
        <f t="shared" ca="1" si="10"/>
        <v>0</v>
      </c>
      <c r="O71" s="405">
        <f t="shared" ca="1" si="11"/>
        <v>0</v>
      </c>
      <c r="R71" s="492" t="str">
        <f ca="1">INDIRECT("ТИП6!"&amp;"$P$224")</f>
        <v>АЦЛ 6 мм</v>
      </c>
      <c r="S71" s="491">
        <f ca="1">INDIRECT("ТИП6!"&amp;"$Q$224")</f>
        <v>0</v>
      </c>
      <c r="T71" s="491" t="b">
        <f t="shared" ca="1" si="12"/>
        <v>0</v>
      </c>
      <c r="U71" s="491">
        <f ca="1">INDIRECT("ТИП6!"&amp;"ПЛ")</f>
        <v>0</v>
      </c>
      <c r="V71" s="490">
        <f ca="1">SUM(INDIRECT("ТИП6!"&amp;"I$225:$I$295"))</f>
        <v>0</v>
      </c>
      <c r="W71" s="491">
        <f ca="1">SUM(INDIRECT("ТИП6!"&amp;"I$101:$I$113"))</f>
        <v>0</v>
      </c>
      <c r="X71" s="400">
        <f ca="1">IF(INDIRECT("ТИП6!"&amp;"AD$6")=1,1,0)</f>
        <v>0</v>
      </c>
    </row>
    <row r="72" spans="2:41" ht="15.75" hidden="1" customHeight="1">
      <c r="B72" s="581" t="s">
        <v>489</v>
      </c>
      <c r="C72" s="647">
        <f t="shared" ca="1" si="6"/>
        <v>0</v>
      </c>
      <c r="D72" s="1492">
        <f t="shared" ca="1" si="7"/>
        <v>0</v>
      </c>
      <c r="E72" s="1492"/>
      <c r="F72" s="703">
        <f t="shared" ca="1" si="8"/>
        <v>0</v>
      </c>
      <c r="G72" s="703">
        <f t="shared" ca="1" si="9"/>
        <v>0</v>
      </c>
      <c r="H72" s="703">
        <f t="shared" ca="1" si="10"/>
        <v>0</v>
      </c>
      <c r="O72" s="405">
        <f t="shared" ca="1" si="11"/>
        <v>0</v>
      </c>
      <c r="R72" s="492" t="str">
        <f ca="1">INDIRECT("ТИП7!"&amp;"$P$224")</f>
        <v>АЦЛ 6 мм</v>
      </c>
      <c r="S72" s="491">
        <f ca="1">INDIRECT("ТИП7!"&amp;"$Q$224")</f>
        <v>0</v>
      </c>
      <c r="T72" s="491" t="b">
        <f t="shared" ca="1" si="12"/>
        <v>0</v>
      </c>
      <c r="U72" s="491">
        <f ca="1">INDIRECT("ТИП7!"&amp;"ПЛ")</f>
        <v>0</v>
      </c>
      <c r="V72" s="490">
        <f ca="1">SUM(INDIRECT("ТИП7!"&amp;"I$225:$I$295"))</f>
        <v>0</v>
      </c>
      <c r="W72" s="491">
        <f ca="1">SUM(INDIRECT("ТИП7!"&amp;"I$101:$I$113"))</f>
        <v>0</v>
      </c>
      <c r="X72" s="400">
        <f ca="1">IF(INDIRECT("ТИП7!"&amp;"AD$6")=1,1,0)</f>
        <v>0</v>
      </c>
    </row>
    <row r="73" spans="2:41" ht="15.75" hidden="1" customHeight="1">
      <c r="B73" s="581" t="s">
        <v>490</v>
      </c>
      <c r="C73" s="647">
        <f t="shared" ca="1" si="6"/>
        <v>0</v>
      </c>
      <c r="D73" s="1492">
        <f t="shared" ca="1" si="7"/>
        <v>0</v>
      </c>
      <c r="E73" s="1492"/>
      <c r="F73" s="703">
        <f t="shared" ca="1" si="8"/>
        <v>0</v>
      </c>
      <c r="G73" s="703">
        <f t="shared" ca="1" si="9"/>
        <v>0</v>
      </c>
      <c r="H73" s="703">
        <f t="shared" ca="1" si="10"/>
        <v>0</v>
      </c>
      <c r="O73" s="405">
        <f t="shared" ca="1" si="11"/>
        <v>0</v>
      </c>
      <c r="R73" s="492" t="str">
        <f ca="1">INDIRECT("ТИП8!"&amp;"$P$224")</f>
        <v>АЦЛ 6 мм</v>
      </c>
      <c r="S73" s="491">
        <f ca="1">INDIRECT("ТИП8!"&amp;"$Q$224")</f>
        <v>0</v>
      </c>
      <c r="T73" s="491" t="b">
        <f t="shared" ca="1" si="12"/>
        <v>0</v>
      </c>
      <c r="U73" s="491">
        <f ca="1">INDIRECT("ТИП8!"&amp;"ПЛ")</f>
        <v>0</v>
      </c>
      <c r="V73" s="490">
        <f ca="1">SUM(INDIRECT("ТИП8!"&amp;"I$225:$I$295"))</f>
        <v>0</v>
      </c>
      <c r="W73" s="491">
        <f ca="1">SUM(INDIRECT("ТИП8!"&amp;"I$101:$I$113"))</f>
        <v>0</v>
      </c>
      <c r="X73" s="400">
        <f ca="1">IF(INDIRECT("ТИП8!"&amp;"AD$6")=1,1,0)</f>
        <v>0</v>
      </c>
    </row>
    <row r="74" spans="2:41" ht="15.75" hidden="1" customHeight="1">
      <c r="B74" s="581" t="s">
        <v>491</v>
      </c>
      <c r="C74" s="647">
        <f t="shared" ca="1" si="6"/>
        <v>0</v>
      </c>
      <c r="D74" s="1492">
        <f t="shared" ca="1" si="7"/>
        <v>0</v>
      </c>
      <c r="E74" s="1492"/>
      <c r="F74" s="703">
        <f t="shared" ca="1" si="8"/>
        <v>0</v>
      </c>
      <c r="G74" s="703">
        <f t="shared" ca="1" si="9"/>
        <v>0</v>
      </c>
      <c r="H74" s="703">
        <f t="shared" ca="1" si="10"/>
        <v>0</v>
      </c>
      <c r="O74" s="405">
        <f t="shared" ca="1" si="11"/>
        <v>0</v>
      </c>
      <c r="R74" s="492" t="str">
        <f ca="1">INDIRECT("ТИП9!"&amp;"$P$224")</f>
        <v>АЦЛ 6 мм</v>
      </c>
      <c r="S74" s="491">
        <f ca="1">INDIRECT("ТИП9!"&amp;"$Q$224")</f>
        <v>0</v>
      </c>
      <c r="T74" s="491" t="b">
        <f t="shared" ca="1" si="12"/>
        <v>0</v>
      </c>
      <c r="U74" s="491">
        <f ca="1">INDIRECT("ТИП9!"&amp;"ПЛ")</f>
        <v>0</v>
      </c>
      <c r="V74" s="490">
        <f ca="1">SUM(INDIRECT("ТИП9!"&amp;"I$225:$I$295"))</f>
        <v>0</v>
      </c>
      <c r="W74" s="491">
        <f ca="1">SUM(INDIRECT("ТИП9!"&amp;"I$101:$I$113"))</f>
        <v>0</v>
      </c>
      <c r="X74" s="400">
        <f ca="1">IF(INDIRECT("ТИП9!"&amp;"AD$6")=1,1,0)</f>
        <v>0</v>
      </c>
    </row>
    <row r="75" spans="2:41" ht="15.75" hidden="1" customHeight="1">
      <c r="B75" s="581" t="s">
        <v>492</v>
      </c>
      <c r="C75" s="647">
        <f t="shared" ca="1" si="6"/>
        <v>0</v>
      </c>
      <c r="D75" s="1492">
        <f t="shared" ca="1" si="7"/>
        <v>0</v>
      </c>
      <c r="E75" s="1492"/>
      <c r="F75" s="703">
        <f t="shared" ca="1" si="8"/>
        <v>0</v>
      </c>
      <c r="G75" s="703">
        <f t="shared" ca="1" si="9"/>
        <v>0</v>
      </c>
      <c r="H75" s="703">
        <f t="shared" ca="1" si="10"/>
        <v>0</v>
      </c>
      <c r="O75" s="405">
        <f t="shared" ca="1" si="11"/>
        <v>0</v>
      </c>
      <c r="R75" s="492" t="str">
        <f ca="1">INDIRECT("ТИП10!"&amp;"$P$224")</f>
        <v>АЦЛ 6 мм</v>
      </c>
      <c r="S75" s="491">
        <f ca="1">INDIRECT("ТИП10!"&amp;"$Q$224")</f>
        <v>0</v>
      </c>
      <c r="T75" s="491" t="b">
        <f t="shared" ca="1" si="12"/>
        <v>0</v>
      </c>
      <c r="U75" s="491">
        <f ca="1">INDIRECT("ТИП10!"&amp;"ПЛ")</f>
        <v>0</v>
      </c>
      <c r="V75" s="490">
        <f ca="1">SUM(INDIRECT("ТИП10!"&amp;"I$225:$I$295"))</f>
        <v>0</v>
      </c>
      <c r="W75" s="491">
        <f ca="1">SUM(INDIRECT("ТИП10!"&amp;"I$101:$I$113"))</f>
        <v>0</v>
      </c>
      <c r="X75" s="400">
        <f ca="1">IF(INDIRECT("ТИП10!"&amp;"AD$6")=1,1,0)</f>
        <v>0</v>
      </c>
    </row>
    <row r="76" spans="2:41" ht="15.75" customHeight="1">
      <c r="O76" s="400">
        <v>1</v>
      </c>
    </row>
    <row r="77" spans="2:41" s="385" customFormat="1" ht="15.75" customHeight="1">
      <c r="B77" s="392" t="s">
        <v>545</v>
      </c>
      <c r="C77" s="391" t="s">
        <v>493</v>
      </c>
      <c r="N77" s="403"/>
      <c r="O77" s="400">
        <f ca="1">IF(SUM($O$80:$O$249)&gt;0,1,)</f>
        <v>1</v>
      </c>
      <c r="P77" s="403"/>
      <c r="Q77" s="403"/>
      <c r="R77" s="403"/>
      <c r="S77" s="403"/>
      <c r="T77" s="403"/>
      <c r="U77" s="403"/>
      <c r="V77" s="403"/>
      <c r="W77" s="403"/>
      <c r="X77" s="403"/>
      <c r="Y77" s="403"/>
      <c r="Z77" s="403"/>
    </row>
    <row r="78" spans="2:41" s="385" customFormat="1">
      <c r="B78" s="386"/>
      <c r="C78" s="387"/>
      <c r="N78" s="403"/>
      <c r="O78" s="400">
        <f ca="1">IF(SUM($O$80:$O$249)&gt;0,1,)</f>
        <v>1</v>
      </c>
      <c r="P78" s="403"/>
      <c r="Q78" s="403"/>
      <c r="R78" s="403"/>
      <c r="S78" s="403"/>
      <c r="T78" s="403"/>
      <c r="U78" s="403"/>
      <c r="V78" s="403"/>
      <c r="W78" s="403"/>
      <c r="X78" s="403"/>
      <c r="Y78" s="403"/>
      <c r="Z78" s="403"/>
    </row>
    <row r="79" spans="2:41" s="385" customFormat="1" ht="26.4">
      <c r="B79" s="1523" t="s">
        <v>415</v>
      </c>
      <c r="C79" s="1523"/>
      <c r="D79" s="701" t="s">
        <v>520</v>
      </c>
      <c r="E79" s="701" t="s">
        <v>564</v>
      </c>
      <c r="F79" s="701" t="s">
        <v>565</v>
      </c>
      <c r="G79" s="701" t="s">
        <v>331</v>
      </c>
      <c r="H79" s="701" t="s">
        <v>566</v>
      </c>
      <c r="I79" s="701" t="s">
        <v>563</v>
      </c>
      <c r="N79" s="403"/>
      <c r="O79" s="400">
        <f ca="1">IF(SUM($O$80:$O$249)&gt;0,1,)</f>
        <v>1</v>
      </c>
      <c r="P79" s="403"/>
      <c r="Q79" s="403"/>
      <c r="R79" s="403"/>
      <c r="S79" s="403"/>
      <c r="T79" s="403"/>
      <c r="U79" s="403"/>
      <c r="V79" s="403"/>
      <c r="W79" s="403"/>
      <c r="X79" s="403"/>
      <c r="Y79" s="403"/>
      <c r="Z79" s="403"/>
    </row>
    <row r="80" spans="2:41" s="385" customFormat="1" ht="15.75" customHeight="1">
      <c r="B80" s="1518" t="s">
        <v>494</v>
      </c>
      <c r="C80" s="1518"/>
      <c r="D80" s="1518"/>
      <c r="E80" s="1518"/>
      <c r="F80" s="1518"/>
      <c r="G80" s="1518"/>
      <c r="H80" s="1518"/>
      <c r="I80" s="1518"/>
      <c r="N80" s="403"/>
      <c r="O80" s="405">
        <f ca="1">IF(SUM(O81:O96)&gt;0,1,0)</f>
        <v>1</v>
      </c>
      <c r="P80" s="403"/>
      <c r="Q80" s="1488" t="s">
        <v>527</v>
      </c>
      <c r="R80" s="1489"/>
      <c r="S80" s="1489"/>
      <c r="T80" s="1489"/>
      <c r="U80" s="1489"/>
      <c r="V80" s="432">
        <f ca="1">INDIRECT("ТИП1!"&amp;"$Z$4")</f>
        <v>1</v>
      </c>
      <c r="W80" s="431" t="str">
        <f ca="1">IF(INDIRECT("ТИП1!"&amp;"$Z$4")=1,"●","")</f>
        <v>●</v>
      </c>
      <c r="X80" s="1490" t="s">
        <v>528</v>
      </c>
      <c r="Y80" s="1491"/>
      <c r="Z80" s="1491"/>
      <c r="AA80" s="1491"/>
      <c r="AB80" s="1491"/>
      <c r="AC80" s="433">
        <f ca="1">INDIRECT("ТИП1!"&amp;"$Z$3")</f>
        <v>0</v>
      </c>
      <c r="AD80" s="434" t="str">
        <f ca="1">IF(INDIRECT("ТИП1!"&amp;"$Z$3")=1,"●","")</f>
        <v/>
      </c>
      <c r="AH80" s="1493" t="s">
        <v>577</v>
      </c>
      <c r="AI80" s="1493"/>
      <c r="AJ80" s="1493"/>
      <c r="AK80" s="1493"/>
      <c r="AL80" s="1493"/>
      <c r="AM80" s="1493"/>
      <c r="AN80" s="1493"/>
      <c r="AO80" s="1493"/>
    </row>
    <row r="81" spans="1:41" s="385" customFormat="1" ht="15.75" hidden="1" customHeight="1">
      <c r="A81" s="117"/>
      <c r="B81" s="1125" t="str">
        <f ca="1">IF(AND($V$80=1,Q81&gt;0),Q81,IF(AND($AC$80=1,X81&gt;0),X81,"-"))</f>
        <v>-</v>
      </c>
      <c r="C81" s="1125"/>
      <c r="D81" s="581" t="str">
        <f ca="1">IF(AND($V$80=1,S81&gt;0),S81,IF(AND($AC$80=1,Z81&gt;0),Z81,"-"))</f>
        <v>-</v>
      </c>
      <c r="E81" s="581" t="str">
        <f ca="1">IF(AND($V$80=1,T81&gt;0),T81,IF(AND($AC$80=1,AA81&gt;0),AA81,"-"))</f>
        <v>-</v>
      </c>
      <c r="F81" s="581" t="str">
        <f ca="1">IF(AND($V$80=1,U81&gt;0),U81,IF(AND($AC$80=1,AB81&gt;0),AB81,"-"))</f>
        <v>-</v>
      </c>
      <c r="G81" s="581" t="str">
        <f ca="1">IF(AND($V$80=1,V81&gt;0),V81,IF(AND($AC$80=1,AC81&gt;0),AC81,"-"))</f>
        <v>-</v>
      </c>
      <c r="H81" s="581" t="str">
        <f ca="1">IF(AND($V$80=1,W81&gt;0),W81,IF(AND($AC$80=1,AD81&gt;0),AD81,"-"))</f>
        <v>-</v>
      </c>
      <c r="I81" s="705" t="str">
        <f ca="1">IF(AND(R81&gt;0,$V$80=1),IF(OR(R81=1,R81=2),HYPERLINK($AH$83,$AM$83),IF(R81&gt;=3,HYPERLINK($AH$82,$AM$82))),IF(AND(Y81&gt;0,$AC$80=1),HYPERLINK($AH$81,$AM$81),""))</f>
        <v/>
      </c>
      <c r="N81" s="403"/>
      <c r="O81" s="405">
        <f ca="1">IF(D81="-",0,1)</f>
        <v>0</v>
      </c>
      <c r="P81" s="403"/>
      <c r="Q81" s="413">
        <f ca="1">IF(S81&gt;0,INDIRECT("ТИП1!"&amp;"$P$81"),0)</f>
        <v>0</v>
      </c>
      <c r="R81" s="414">
        <f ca="1">IFERROR(INDIRECT("ТИП1!"&amp;"$AN$81"),0)</f>
        <v>0</v>
      </c>
      <c r="S81" s="414">
        <f ca="1">IFERROR(INDIRECT("ТИП1!"&amp;"$T$81"),0)</f>
        <v>0</v>
      </c>
      <c r="T81" s="414">
        <f ca="1">IFERROR(INDIRECT("ТИП1!"&amp;"$R$81"),0)</f>
        <v>0</v>
      </c>
      <c r="U81" s="414">
        <f ca="1">IFERROR(INDIRECT("ТИП1!"&amp;"$S$81"),0)</f>
        <v>0</v>
      </c>
      <c r="V81" s="414">
        <f ca="1">IFERROR(INDIRECT("ТИП1!"&amp;"$U$81"),0)</f>
        <v>0</v>
      </c>
      <c r="W81" s="416">
        <f ca="1">IFERROR(INDIRECT("ТИП1!"&amp;"$V$81"),0)</f>
        <v>0</v>
      </c>
      <c r="X81" s="415">
        <f ca="1">IF(Z81&gt;0,INDIRECT("ТИП1!"&amp;"$P$133"),0)</f>
        <v>0</v>
      </c>
      <c r="Y81" s="414">
        <f ca="1">IFERROR(INDIRECT("ТИП1!"&amp;"$AN$133"),0)</f>
        <v>0</v>
      </c>
      <c r="Z81" s="416">
        <f ca="1">IFERROR(INDIRECT("ТИП1!"&amp;"$T$133"),0)</f>
        <v>0</v>
      </c>
      <c r="AA81" s="414">
        <f ca="1">IFERROR(INDIRECT("ТИП1!"&amp;"$R$133"),0)</f>
        <v>0</v>
      </c>
      <c r="AB81" s="414">
        <f ca="1">IFERROR(INDIRECT("ТИП1!"&amp;"$S$133"),0)</f>
        <v>0</v>
      </c>
      <c r="AC81" s="414">
        <f ca="1">IFERROR(INDIRECT("ТИП1!"&amp;"$U$133"),0)</f>
        <v>0</v>
      </c>
      <c r="AD81" s="414">
        <f ca="1">IFERROR(INDIRECT("ТИП1!"&amp;"$V$133"),0)</f>
        <v>0</v>
      </c>
      <c r="AE81" s="1517" t="s">
        <v>567</v>
      </c>
      <c r="AH81" s="1482" t="s">
        <v>699</v>
      </c>
      <c r="AI81" s="1483"/>
      <c r="AJ81" s="1483"/>
      <c r="AK81" s="1483"/>
      <c r="AL81" s="1484"/>
      <c r="AM81" s="1497" t="s">
        <v>578</v>
      </c>
      <c r="AN81" s="1498"/>
      <c r="AO81" s="1499"/>
    </row>
    <row r="82" spans="1:41" s="385" customFormat="1" ht="15.75" hidden="1" customHeight="1">
      <c r="A82" s="117"/>
      <c r="B82" s="1125" t="str">
        <f t="shared" ref="B82:B96" ca="1" si="13">IF(AND($V$80=1,Q82&gt;0),Q82,IF(AND($AC$80=1,X82&gt;0),X82,"-"))</f>
        <v>-</v>
      </c>
      <c r="C82" s="1125"/>
      <c r="D82" s="581" t="str">
        <f t="shared" ref="D82:D96" ca="1" si="14">IF(AND($V$80=1,S82&gt;0),S82,IF(AND($AC$80=1,Z82&gt;0),Z82,"-"))</f>
        <v>-</v>
      </c>
      <c r="E82" s="581" t="str">
        <f t="shared" ref="E82:E96" ca="1" si="15">IF(AND($V$80=1,T82&gt;0),T82,IF(AND($AC$80=1,AA82&gt;0),AA82,"-"))</f>
        <v>-</v>
      </c>
      <c r="F82" s="581" t="str">
        <f t="shared" ref="F82:F96" ca="1" si="16">IF(AND($V$80=1,U82&gt;0),U82,IF(AND($AC$80=1,AB82&gt;0),AB82,"-"))</f>
        <v>-</v>
      </c>
      <c r="G82" s="581" t="str">
        <f t="shared" ref="G82:G96" ca="1" si="17">IF(AND($V$80=1,V82&gt;0),V82,IF(AND($AC$80=1,AC82&gt;0),AC82,"-"))</f>
        <v>-</v>
      </c>
      <c r="H82" s="581" t="str">
        <f t="shared" ref="H82:H96" ca="1" si="18">IF(AND($V$80=1,W82&gt;0),W82,IF(AND($AC$80=1,AD82&gt;0),AD82,"-"))</f>
        <v>-</v>
      </c>
      <c r="I82" s="705" t="str">
        <f ca="1">IF(AND(R82&gt;0,$V$80=1),IF(OR(R82=1,R82=2),HYPERLINK($AH$83,$AM$83),IF(R82&gt;=3,HYPERLINK($AH$82,$AM$82))),IF(AND(Y82&gt;0,$AC$80=1),HYPERLINK($AH$81,$AM$81),""))</f>
        <v/>
      </c>
      <c r="N82" s="403"/>
      <c r="O82" s="405">
        <f t="shared" ref="O82:O96" ca="1" si="19">IF(D82="-",0,1)</f>
        <v>0</v>
      </c>
      <c r="P82" s="403"/>
      <c r="Q82" s="413">
        <f ca="1">IF(S82&gt;0,INDIRECT("ТИП1!"&amp;"$P$82"),0)</f>
        <v>0</v>
      </c>
      <c r="R82" s="414">
        <f ca="1">IFERROR(INDIRECT("ТИП1!"&amp;"$AN$82"),0)</f>
        <v>0</v>
      </c>
      <c r="S82" s="414">
        <f ca="1">IFERROR(INDIRECT("ТИП1!"&amp;"$T$82"),0)</f>
        <v>0</v>
      </c>
      <c r="T82" s="414">
        <f ca="1">IFERROR(INDIRECT("ТИП1!"&amp;"$R$82"),0)</f>
        <v>0</v>
      </c>
      <c r="U82" s="414">
        <f ca="1">IFERROR(INDIRECT("ТИП1!"&amp;"$S$82"),0)</f>
        <v>0</v>
      </c>
      <c r="V82" s="414">
        <f ca="1">IFERROR(INDIRECT("ТИП1!"&amp;"$U$82"),0)</f>
        <v>0</v>
      </c>
      <c r="W82" s="414">
        <f ca="1">IFERROR(INDIRECT("ТИП1!"&amp;"$V$82"),0)</f>
        <v>0</v>
      </c>
      <c r="X82" s="413">
        <f ca="1">IF(Z82&gt;0,INDIRECT("ТИП1!"&amp;"$P$134"),0)</f>
        <v>0</v>
      </c>
      <c r="Y82" s="414">
        <f ca="1">IFERROR(INDIRECT("ТИП1!"&amp;"$AN$134"),0)</f>
        <v>0</v>
      </c>
      <c r="Z82" s="414">
        <f ca="1">IFERROR(INDIRECT("ТИП1!"&amp;"$T$134"),0)</f>
        <v>0</v>
      </c>
      <c r="AA82" s="414">
        <f ca="1">IFERROR(INDIRECT("ТИП1!"&amp;"$R$134"),0)</f>
        <v>0</v>
      </c>
      <c r="AB82" s="414">
        <f ca="1">IFERROR(INDIRECT("ТИП1!"&amp;"$S$134"),0)</f>
        <v>0</v>
      </c>
      <c r="AC82" s="414">
        <f ca="1">IFERROR(INDIRECT("ТИП1!"&amp;"$U$134"),0)</f>
        <v>0</v>
      </c>
      <c r="AD82" s="414">
        <f ca="1">IFERROR(INDIRECT("ТИП1!"&amp;"$V$134"),0)</f>
        <v>0</v>
      </c>
      <c r="AE82" s="1517"/>
      <c r="AH82" s="1482" t="s">
        <v>1034</v>
      </c>
      <c r="AI82" s="1483"/>
      <c r="AJ82" s="1483"/>
      <c r="AK82" s="1483"/>
      <c r="AL82" s="1484"/>
      <c r="AM82" s="1497" t="s">
        <v>595</v>
      </c>
      <c r="AN82" s="1498"/>
      <c r="AO82" s="1499"/>
    </row>
    <row r="83" spans="1:41" s="385" customFormat="1" ht="15.75" hidden="1" customHeight="1">
      <c r="A83" s="117"/>
      <c r="B83" s="1125" t="str">
        <f t="shared" ca="1" si="13"/>
        <v>-</v>
      </c>
      <c r="C83" s="1125"/>
      <c r="D83" s="581" t="str">
        <f t="shared" ca="1" si="14"/>
        <v>-</v>
      </c>
      <c r="E83" s="581" t="str">
        <f t="shared" ca="1" si="15"/>
        <v>-</v>
      </c>
      <c r="F83" s="581" t="str">
        <f t="shared" ca="1" si="16"/>
        <v>-</v>
      </c>
      <c r="G83" s="581" t="str">
        <f t="shared" ca="1" si="17"/>
        <v>-</v>
      </c>
      <c r="H83" s="581" t="str">
        <f t="shared" ca="1" si="18"/>
        <v>-</v>
      </c>
      <c r="I83" s="705" t="str">
        <f ca="1">IF(AND(R83&gt;0,$V$80=1),IF(OR(R83=1,R83=2),HYPERLINK($AH$83,$AM$83),IF(R83&gt;=3,HYPERLINK($AH$82,$AM$82))),IF(AND(Y83&gt;0,$AC$80=1),HYPERLINK($AH$81,$AM$81),""))</f>
        <v/>
      </c>
      <c r="N83" s="403"/>
      <c r="O83" s="405">
        <f t="shared" ca="1" si="19"/>
        <v>0</v>
      </c>
      <c r="P83" s="403"/>
      <c r="Q83" s="413">
        <f ca="1">IF(S83&gt;0,INDIRECT("ТИП1!"&amp;"$P$83"),0)</f>
        <v>0</v>
      </c>
      <c r="R83" s="414">
        <f ca="1">IFERROR(INDIRECT("ТИП1!"&amp;"$AN$83"),0)</f>
        <v>0</v>
      </c>
      <c r="S83" s="414">
        <f ca="1">IFERROR(INDIRECT("ТИП1!"&amp;"$T$83"),0)</f>
        <v>0</v>
      </c>
      <c r="T83" s="414">
        <f ca="1">IFERROR(INDIRECT("ТИП1!"&amp;"$R$83"),0)</f>
        <v>0</v>
      </c>
      <c r="U83" s="414">
        <f ca="1">IFERROR(INDIRECT("ТИП1!"&amp;"$S$83"),0)</f>
        <v>0</v>
      </c>
      <c r="V83" s="414">
        <f ca="1">IFERROR(INDIRECT("ТИП1!"&amp;"$U$83"),0)</f>
        <v>0</v>
      </c>
      <c r="W83" s="414">
        <f ca="1">IFERROR(INDIRECT("ТИП1!"&amp;"$V$83"),0)</f>
        <v>0</v>
      </c>
      <c r="X83" s="413">
        <f ca="1">IF(Z83&gt;0,INDIRECT("ТИП1!"&amp;"$P$135"),0)</f>
        <v>0</v>
      </c>
      <c r="Y83" s="414">
        <f ca="1">IFERROR(INDIRECT("ТИП1!"&amp;"$AN$135"),0)</f>
        <v>0</v>
      </c>
      <c r="Z83" s="414">
        <f ca="1">IFERROR(INDIRECT("ТИП1!"&amp;"$T$135"),0)</f>
        <v>0</v>
      </c>
      <c r="AA83" s="414">
        <f ca="1">IFERROR(INDIRECT("ТИП1!"&amp;"$R$135"),0)</f>
        <v>0</v>
      </c>
      <c r="AB83" s="414">
        <f ca="1">IFERROR(INDIRECT("ТИП1!"&amp;"$S$135"),0)</f>
        <v>0</v>
      </c>
      <c r="AC83" s="414">
        <f ca="1">IFERROR(INDIRECT("ТИП1!"&amp;"$U$135"),0)</f>
        <v>0</v>
      </c>
      <c r="AD83" s="414">
        <f ca="1">IFERROR(INDIRECT("ТИП1!"&amp;"$V$135"),0)</f>
        <v>0</v>
      </c>
      <c r="AE83" s="1517"/>
      <c r="AH83" s="1482" t="s">
        <v>580</v>
      </c>
      <c r="AI83" s="1483"/>
      <c r="AJ83" s="1483"/>
      <c r="AK83" s="1483"/>
      <c r="AL83" s="1484"/>
      <c r="AM83" s="1497" t="s">
        <v>579</v>
      </c>
      <c r="AN83" s="1498"/>
      <c r="AO83" s="1499"/>
    </row>
    <row r="84" spans="1:41" s="385" customFormat="1" ht="15.75" hidden="1" customHeight="1">
      <c r="A84" s="117"/>
      <c r="B84" s="1125" t="str">
        <f t="shared" ca="1" si="13"/>
        <v>-</v>
      </c>
      <c r="C84" s="1125"/>
      <c r="D84" s="581" t="str">
        <f t="shared" ca="1" si="14"/>
        <v>-</v>
      </c>
      <c r="E84" s="581" t="str">
        <f t="shared" ca="1" si="15"/>
        <v>-</v>
      </c>
      <c r="F84" s="581" t="str">
        <f t="shared" ca="1" si="16"/>
        <v>-</v>
      </c>
      <c r="G84" s="581" t="str">
        <f t="shared" ca="1" si="17"/>
        <v>-</v>
      </c>
      <c r="H84" s="581" t="str">
        <f t="shared" ca="1" si="18"/>
        <v>-</v>
      </c>
      <c r="I84" s="705" t="str">
        <f ca="1">IF(AND(R84&gt;0,$V$80=1),IF(OR(R84=1,R84=2),HYPERLINK($AH$83,$AM$83),IF(R84&gt;=3,HYPERLINK($AH$82,$AM$82))),IF(AND(Y84&gt;0,$AC$80=1),HYPERLINK($AH$81,$AM$81),""))</f>
        <v/>
      </c>
      <c r="N84" s="403"/>
      <c r="O84" s="405">
        <f t="shared" ca="1" si="19"/>
        <v>0</v>
      </c>
      <c r="P84" s="403"/>
      <c r="Q84" s="413">
        <f ca="1">IF(S84&gt;0,INDIRECT("ТИП1!"&amp;"$P$84"),0)</f>
        <v>0</v>
      </c>
      <c r="R84" s="414">
        <f ca="1">IFERROR(INDIRECT("ТИП1!"&amp;"$AN$84"),0)</f>
        <v>0</v>
      </c>
      <c r="S84" s="414">
        <f ca="1">IFERROR(INDIRECT("ТИП1!"&amp;"$T$84"),0)</f>
        <v>0</v>
      </c>
      <c r="T84" s="414">
        <f ca="1">IFERROR(INDIRECT("ТИП1!"&amp;"$R$84"),0)</f>
        <v>0</v>
      </c>
      <c r="U84" s="414">
        <f ca="1">IFERROR(INDIRECT("ТИП1!"&amp;"$S$84"),0)</f>
        <v>0</v>
      </c>
      <c r="V84" s="414">
        <f ca="1">IFERROR(INDIRECT("ТИП1!"&amp;"$U$84"),0)</f>
        <v>0</v>
      </c>
      <c r="W84" s="414">
        <f ca="1">IFERROR(INDIRECT("ТИП1!"&amp;"$V$84"),0)</f>
        <v>0</v>
      </c>
      <c r="X84" s="413">
        <f ca="1">IF(Z84&gt;0,INDIRECT("ТИП1!"&amp;"$P$136"),0)</f>
        <v>0</v>
      </c>
      <c r="Y84" s="414">
        <f ca="1">IFERROR(INDIRECT("ТИП1!"&amp;"$AN$136"),0)</f>
        <v>0</v>
      </c>
      <c r="Z84" s="414">
        <f ca="1">IFERROR(INDIRECT("ТИП1!"&amp;"$T$136"),0)</f>
        <v>0</v>
      </c>
      <c r="AA84" s="414">
        <f ca="1">IFERROR(INDIRECT("ТИП1!"&amp;"$R$136"),0)</f>
        <v>0</v>
      </c>
      <c r="AB84" s="414">
        <f ca="1">IFERROR(INDIRECT("ТИП1!"&amp;"$S$136"),0)</f>
        <v>0</v>
      </c>
      <c r="AC84" s="414">
        <f ca="1">IFERROR(INDIRECT("ТИП1!"&amp;"$U$136"),0)</f>
        <v>0</v>
      </c>
      <c r="AD84" s="414">
        <f ca="1">IFERROR(INDIRECT("ТИП1!"&amp;"$V$136"),0)</f>
        <v>0</v>
      </c>
      <c r="AE84" s="1517"/>
      <c r="AH84" s="1509" t="s">
        <v>586</v>
      </c>
      <c r="AI84" s="1510"/>
      <c r="AJ84" s="1510"/>
      <c r="AK84" s="1510"/>
      <c r="AL84" s="1511"/>
      <c r="AM84" s="1506" t="s">
        <v>587</v>
      </c>
      <c r="AN84" s="1507"/>
      <c r="AO84" s="1508"/>
    </row>
    <row r="85" spans="1:41" s="385" customFormat="1" ht="15.75" hidden="1" customHeight="1">
      <c r="A85" s="117"/>
      <c r="B85" s="1125" t="str">
        <f t="shared" ca="1" si="13"/>
        <v>-</v>
      </c>
      <c r="C85" s="1125"/>
      <c r="D85" s="581" t="str">
        <f t="shared" ca="1" si="14"/>
        <v>-</v>
      </c>
      <c r="E85" s="581" t="str">
        <f t="shared" ca="1" si="15"/>
        <v>-</v>
      </c>
      <c r="F85" s="581" t="str">
        <f t="shared" ca="1" si="16"/>
        <v>-</v>
      </c>
      <c r="G85" s="581" t="str">
        <f t="shared" ca="1" si="17"/>
        <v>-</v>
      </c>
      <c r="H85" s="581" t="str">
        <f t="shared" ca="1" si="18"/>
        <v>-</v>
      </c>
      <c r="I85" s="705" t="str">
        <f ca="1">IF(AND(R85&gt;0,$V$80=1),IF(OR(R85=1,R85=2),HYPERLINK($AH$83,$AM$83),IF(R85&gt;=3,HYPERLINK($AH$82,$AM$82))),IF(AND(Y85&gt;0,$AC$80=1),HYPERLINK($AH$81,$AM$81),""))</f>
        <v/>
      </c>
      <c r="K85" s="440"/>
      <c r="N85" s="403"/>
      <c r="O85" s="405">
        <f t="shared" ca="1" si="19"/>
        <v>0</v>
      </c>
      <c r="P85" s="403"/>
      <c r="Q85" s="413">
        <f ca="1">IF(S85&gt;0,INDIRECT("ТИП1!"&amp;"$P$85"),0)</f>
        <v>0</v>
      </c>
      <c r="R85" s="414">
        <f ca="1">IFERROR(INDIRECT("ТИП1!"&amp;"$AN$85"),0)</f>
        <v>0</v>
      </c>
      <c r="S85" s="414">
        <f ca="1">IFERROR(INDIRECT("ТИП1!"&amp;"$T$85"),0)</f>
        <v>0</v>
      </c>
      <c r="T85" s="414">
        <f ca="1">IFERROR(INDIRECT("ТИП1!"&amp;"$R$85"),0)</f>
        <v>0</v>
      </c>
      <c r="U85" s="414">
        <f ca="1">IFERROR(INDIRECT("ТИП1!"&amp;"$S$85"),0)</f>
        <v>0</v>
      </c>
      <c r="V85" s="414">
        <f ca="1">IFERROR(INDIRECT("ТИП1!"&amp;"$U$85"),0)</f>
        <v>0</v>
      </c>
      <c r="W85" s="414">
        <f ca="1">IFERROR(INDIRECT("ТИП1!"&amp;"$V$85"),0)</f>
        <v>0</v>
      </c>
      <c r="X85" s="413">
        <f ca="1">IF(Z85&gt;0,INDIRECT("ТИП1!"&amp;"$P$137"),0)</f>
        <v>0</v>
      </c>
      <c r="Y85" s="414">
        <f ca="1">IFERROR(INDIRECT("ТИП1!"&amp;"$AN$137"),0)</f>
        <v>0</v>
      </c>
      <c r="Z85" s="414">
        <f ca="1">IFERROR(INDIRECT("ТИП1!"&amp;"$T$137"),0)</f>
        <v>0</v>
      </c>
      <c r="AA85" s="414">
        <f ca="1">IFERROR(INDIRECT("ТИП1!"&amp;"$R$137"),0)</f>
        <v>0</v>
      </c>
      <c r="AB85" s="414">
        <f ca="1">IFERROR(INDIRECT("ТИП1!"&amp;"$S$137"),0)</f>
        <v>0</v>
      </c>
      <c r="AC85" s="414">
        <f ca="1">IFERROR(INDIRECT("ТИП1!"&amp;"$U$137"),0)</f>
        <v>0</v>
      </c>
      <c r="AD85" s="414">
        <f ca="1">IFERROR(INDIRECT("ТИП1!"&amp;"$V$137"),0)</f>
        <v>0</v>
      </c>
      <c r="AE85" s="1517"/>
      <c r="AH85" s="1509" t="s">
        <v>588</v>
      </c>
      <c r="AI85" s="1510"/>
      <c r="AJ85" s="1510"/>
      <c r="AK85" s="1510"/>
      <c r="AL85" s="1511"/>
      <c r="AM85" s="1506" t="s">
        <v>589</v>
      </c>
      <c r="AN85" s="1507"/>
      <c r="AO85" s="1508"/>
    </row>
    <row r="86" spans="1:41" s="385" customFormat="1" ht="15.75" hidden="1" customHeight="1">
      <c r="A86" s="117"/>
      <c r="B86" s="1125" t="str">
        <f t="shared" ca="1" si="13"/>
        <v>-</v>
      </c>
      <c r="C86" s="1125"/>
      <c r="D86" s="581" t="str">
        <f t="shared" ca="1" si="14"/>
        <v>-</v>
      </c>
      <c r="E86" s="581" t="str">
        <f t="shared" ca="1" si="15"/>
        <v>-</v>
      </c>
      <c r="F86" s="581" t="str">
        <f t="shared" ca="1" si="16"/>
        <v>-</v>
      </c>
      <c r="G86" s="581" t="str">
        <f t="shared" ca="1" si="17"/>
        <v>-</v>
      </c>
      <c r="H86" s="581" t="str">
        <f t="shared" ca="1" si="18"/>
        <v>-</v>
      </c>
      <c r="I86" s="705" t="str">
        <f ca="1">IF(AND(R86&gt;0,$V$80=1),IF(OR(R86=1,R86=2),HYPERLINK($AH$85,$AM$85),IF(R86&gt;=3,HYPERLINK($AH$86,$AM$86))),IF(AND(Y86&gt;0,$AC$80=1),HYPERLINK($AH$84,$AM$84),""))</f>
        <v/>
      </c>
      <c r="N86" s="403"/>
      <c r="O86" s="405">
        <f t="shared" ca="1" si="19"/>
        <v>0</v>
      </c>
      <c r="P86" s="403"/>
      <c r="Q86" s="421">
        <f ca="1">IF(S86&gt;0,INDIRECT("ТИП1!"&amp;"$P$88"),0)</f>
        <v>0</v>
      </c>
      <c r="R86" s="422">
        <f ca="1">IFERROR(INDIRECT("ТИП1!"&amp;"$AN$88"),0)</f>
        <v>0</v>
      </c>
      <c r="S86" s="422">
        <f ca="1">IFERROR(INDIRECT("ТИП1!"&amp;"$T$88"),0)</f>
        <v>0</v>
      </c>
      <c r="T86" s="422">
        <f ca="1">IFERROR(INDIRECT("ТИП1!"&amp;"$R$88"),0)</f>
        <v>0</v>
      </c>
      <c r="U86" s="422">
        <f ca="1">IFERROR(INDIRECT("ТИП1!"&amp;"$S$88"),0)</f>
        <v>0</v>
      </c>
      <c r="V86" s="422">
        <f ca="1">IFERROR(INDIRECT("ТИП1!"&amp;"$U$88"),0)</f>
        <v>0</v>
      </c>
      <c r="W86" s="422">
        <f ca="1">IFERROR(INDIRECT("ТИП1!"&amp;"$V$88"),0)</f>
        <v>0</v>
      </c>
      <c r="X86" s="421">
        <f ca="1">IF(Z86&gt;0,INDIRECT("ТИП1!"&amp;"$P$141"),0)</f>
        <v>0</v>
      </c>
      <c r="Y86" s="422">
        <f ca="1">IFERROR(INDIRECT("ТИП1!"&amp;"$AN$141"),0)</f>
        <v>0</v>
      </c>
      <c r="Z86" s="422">
        <f ca="1">IFERROR(INDIRECT("ТИП1!"&amp;"$T$141"),0)</f>
        <v>0</v>
      </c>
      <c r="AA86" s="422">
        <f ca="1">IFERROR(INDIRECT("ТИП1!"&amp;"$R$141"),0)</f>
        <v>0</v>
      </c>
      <c r="AB86" s="422">
        <f ca="1">IFERROR(INDIRECT("ТИП1!"&amp;"$S$141"),0)</f>
        <v>0</v>
      </c>
      <c r="AC86" s="422">
        <f ca="1">IFERROR(INDIRECT("ТИП1!"&amp;"$U$141"),0)</f>
        <v>0</v>
      </c>
      <c r="AD86" s="422">
        <f ca="1">IFERROR(INDIRECT("ТИП1!"&amp;"$V$141"),0)</f>
        <v>0</v>
      </c>
      <c r="AE86" s="1515" t="s">
        <v>568</v>
      </c>
      <c r="AH86" s="1509" t="s">
        <v>590</v>
      </c>
      <c r="AI86" s="1510"/>
      <c r="AJ86" s="1510"/>
      <c r="AK86" s="1510"/>
      <c r="AL86" s="1511"/>
      <c r="AM86" s="1506" t="s">
        <v>596</v>
      </c>
      <c r="AN86" s="1507"/>
      <c r="AO86" s="1508"/>
    </row>
    <row r="87" spans="1:41" s="385" customFormat="1" ht="15.75" hidden="1" customHeight="1">
      <c r="A87" s="117"/>
      <c r="B87" s="1125" t="str">
        <f t="shared" ca="1" si="13"/>
        <v>-</v>
      </c>
      <c r="C87" s="1125"/>
      <c r="D87" s="581" t="str">
        <f t="shared" ca="1" si="14"/>
        <v>-</v>
      </c>
      <c r="E87" s="581" t="str">
        <f t="shared" ca="1" si="15"/>
        <v>-</v>
      </c>
      <c r="F87" s="581" t="str">
        <f t="shared" ca="1" si="16"/>
        <v>-</v>
      </c>
      <c r="G87" s="581" t="str">
        <f t="shared" ca="1" si="17"/>
        <v>-</v>
      </c>
      <c r="H87" s="581" t="str">
        <f t="shared" ca="1" si="18"/>
        <v>-</v>
      </c>
      <c r="I87" s="705" t="str">
        <f ca="1">IF(AND(R87&gt;0,$V$80=1),IF(OR(R87=1,R87=2),HYPERLINK($AH$85,$AM$85),IF(R87&gt;=3,HYPERLINK($AH$86,$AM$86))),IF(AND(Y87&gt;0,$AC$80=1),HYPERLINK($AH$84,$AM$84),""))</f>
        <v/>
      </c>
      <c r="N87" s="403"/>
      <c r="O87" s="405">
        <f t="shared" ca="1" si="19"/>
        <v>0</v>
      </c>
      <c r="P87" s="403"/>
      <c r="Q87" s="421">
        <f ca="1">IF(S87&gt;0,INDIRECT("ТИП1!"&amp;"$P$89"),0)</f>
        <v>0</v>
      </c>
      <c r="R87" s="422">
        <f ca="1">IFERROR(INDIRECT("ТИП1!"&amp;"$AN$89"),0)</f>
        <v>0</v>
      </c>
      <c r="S87" s="422">
        <f ca="1">IFERROR(INDIRECT("ТИП1!"&amp;"$T$89"),0)</f>
        <v>0</v>
      </c>
      <c r="T87" s="422">
        <f ca="1">IFERROR(INDIRECT("ТИП1!"&amp;"$R$89"),0)</f>
        <v>0</v>
      </c>
      <c r="U87" s="422">
        <f ca="1">IFERROR(INDIRECT("ТИП1!"&amp;"$S$89"),0)</f>
        <v>0</v>
      </c>
      <c r="V87" s="422">
        <f ca="1">IFERROR(INDIRECT("ТИП1!"&amp;"$U$89"),0)</f>
        <v>0</v>
      </c>
      <c r="W87" s="422">
        <f ca="1">IFERROR(INDIRECT("ТИП1!"&amp;"$V$89"),0)</f>
        <v>0</v>
      </c>
      <c r="X87" s="421">
        <f ca="1">IF(Z87&gt;0,INDIRECT("ТИП1!"&amp;"$P$142"),0)</f>
        <v>0</v>
      </c>
      <c r="Y87" s="422">
        <f ca="1">IFERROR(INDIRECT("ТИП1!"&amp;"$AN$142"),0)</f>
        <v>0</v>
      </c>
      <c r="Z87" s="422">
        <f ca="1">IFERROR(INDIRECT("ТИП1!"&amp;"$T$142"),0)</f>
        <v>0</v>
      </c>
      <c r="AA87" s="422">
        <f ca="1">IFERROR(INDIRECT("ТИП1!"&amp;"$R$142"),0)</f>
        <v>0</v>
      </c>
      <c r="AB87" s="422">
        <f ca="1">IFERROR(INDIRECT("ТИП1!"&amp;"$S$142"),0)</f>
        <v>0</v>
      </c>
      <c r="AC87" s="422">
        <f ca="1">IFERROR(INDIRECT("ТИП1!"&amp;"$U$142"),0)</f>
        <v>0</v>
      </c>
      <c r="AD87" s="422">
        <f ca="1">IFERROR(INDIRECT("ТИП1!"&amp;"$V$142"),0)</f>
        <v>0</v>
      </c>
      <c r="AE87" s="1515"/>
      <c r="AH87" s="1512" t="s">
        <v>581</v>
      </c>
      <c r="AI87" s="1513"/>
      <c r="AJ87" s="1513"/>
      <c r="AK87" s="1513"/>
      <c r="AL87" s="1514"/>
      <c r="AM87" s="1500" t="s">
        <v>582</v>
      </c>
      <c r="AN87" s="1501"/>
      <c r="AO87" s="1502"/>
    </row>
    <row r="88" spans="1:41" s="385" customFormat="1" ht="15.75" hidden="1" customHeight="1">
      <c r="A88" s="117"/>
      <c r="B88" s="1125" t="str">
        <f t="shared" ca="1" si="13"/>
        <v>-</v>
      </c>
      <c r="C88" s="1125"/>
      <c r="D88" s="581" t="str">
        <f t="shared" ca="1" si="14"/>
        <v>-</v>
      </c>
      <c r="E88" s="581" t="str">
        <f t="shared" ca="1" si="15"/>
        <v>-</v>
      </c>
      <c r="F88" s="581" t="str">
        <f t="shared" ca="1" si="16"/>
        <v>-</v>
      </c>
      <c r="G88" s="581" t="str">
        <f t="shared" ca="1" si="17"/>
        <v>-</v>
      </c>
      <c r="H88" s="581" t="str">
        <f t="shared" ca="1" si="18"/>
        <v>-</v>
      </c>
      <c r="I88" s="705" t="str">
        <f ca="1">IF(AND(R88&gt;0,$V$80=1),IF(OR(R88=1,R88=2),HYPERLINK($AH$85,$AM$85),IF(R88&gt;=3,HYPERLINK($AH$86,$AM$86))),IF(AND(Y88&gt;0,$AC$80=1),HYPERLINK($AH$84,$AM$84),""))</f>
        <v/>
      </c>
      <c r="N88" s="403"/>
      <c r="O88" s="405">
        <f t="shared" ca="1" si="19"/>
        <v>0</v>
      </c>
      <c r="P88" s="403"/>
      <c r="Q88" s="421">
        <f ca="1">IF(S88&gt;0,INDIRECT("ТИП1!"&amp;"$P$90"),0)</f>
        <v>0</v>
      </c>
      <c r="R88" s="422">
        <f ca="1">IFERROR(INDIRECT("ТИП1!"&amp;"$AN$90"),0)</f>
        <v>0</v>
      </c>
      <c r="S88" s="422">
        <f ca="1">IFERROR(INDIRECT("ТИП1!"&amp;"$T$90"),0)</f>
        <v>0</v>
      </c>
      <c r="T88" s="422">
        <f ca="1">IFERROR(INDIRECT("ТИП1!"&amp;"$R$90"),0)</f>
        <v>0</v>
      </c>
      <c r="U88" s="422">
        <f ca="1">IFERROR(INDIRECT("ТИП1!"&amp;"$S$90"),0)</f>
        <v>0</v>
      </c>
      <c r="V88" s="422">
        <f ca="1">IFERROR(INDIRECT("ТИП1!"&amp;"$U$90"),0)</f>
        <v>0</v>
      </c>
      <c r="W88" s="422">
        <f ca="1">IFERROR(INDIRECT("ТИП1!"&amp;"$V$90"),0)</f>
        <v>0</v>
      </c>
      <c r="X88" s="421">
        <f ca="1">IF(Z88&gt;0,INDIRECT("ТИП1!"&amp;"$P$143"),0)</f>
        <v>0</v>
      </c>
      <c r="Y88" s="422">
        <f ca="1">IFERROR(INDIRECT("ТИП1!"&amp;"$AN$143"),0)</f>
        <v>0</v>
      </c>
      <c r="Z88" s="422">
        <f ca="1">IFERROR(INDIRECT("ТИП1!"&amp;"$T$143"),0)</f>
        <v>0</v>
      </c>
      <c r="AA88" s="422">
        <f ca="1">IFERROR(INDIRECT("ТИП1!"&amp;"$R$143"),0)</f>
        <v>0</v>
      </c>
      <c r="AB88" s="422">
        <f ca="1">IFERROR(INDIRECT("ТИП1!"&amp;"$S$143"),0)</f>
        <v>0</v>
      </c>
      <c r="AC88" s="422">
        <f ca="1">IFERROR(INDIRECT("ТИП1!"&amp;"$U$143"),0)</f>
        <v>0</v>
      </c>
      <c r="AD88" s="422">
        <f ca="1">IFERROR(INDIRECT("ТИП1!"&amp;"$V$143"),0)</f>
        <v>0</v>
      </c>
      <c r="AE88" s="1515"/>
      <c r="AH88" s="1512" t="s">
        <v>583</v>
      </c>
      <c r="AI88" s="1513"/>
      <c r="AJ88" s="1513"/>
      <c r="AK88" s="1513"/>
      <c r="AL88" s="1514"/>
      <c r="AM88" s="1500" t="s">
        <v>584</v>
      </c>
      <c r="AN88" s="1501"/>
      <c r="AO88" s="1502"/>
    </row>
    <row r="89" spans="1:41" s="385" customFormat="1" ht="15.75" hidden="1" customHeight="1">
      <c r="A89" s="117"/>
      <c r="B89" s="1125" t="str">
        <f t="shared" ca="1" si="13"/>
        <v>-</v>
      </c>
      <c r="C89" s="1125"/>
      <c r="D89" s="581" t="str">
        <f t="shared" ca="1" si="14"/>
        <v>-</v>
      </c>
      <c r="E89" s="581" t="str">
        <f t="shared" ca="1" si="15"/>
        <v>-</v>
      </c>
      <c r="F89" s="581" t="str">
        <f t="shared" ca="1" si="16"/>
        <v>-</v>
      </c>
      <c r="G89" s="581" t="str">
        <f t="shared" ca="1" si="17"/>
        <v>-</v>
      </c>
      <c r="H89" s="581" t="str">
        <f t="shared" ca="1" si="18"/>
        <v>-</v>
      </c>
      <c r="I89" s="705" t="str">
        <f ca="1">IF(AND(R89&gt;0,$V$80=1),IF(OR(R89=1,R89=2),HYPERLINK($AH$85,$AM$85),IF(R89&gt;=3,HYPERLINK($AH$86,$AM$86))),IF(AND(Y89&gt;0,$AC$80=1),HYPERLINK($AH$84,$AM$84),""))</f>
        <v/>
      </c>
      <c r="N89" s="403"/>
      <c r="O89" s="405">
        <f t="shared" ca="1" si="19"/>
        <v>0</v>
      </c>
      <c r="P89" s="403"/>
      <c r="Q89" s="421">
        <f ca="1">IF(S89&gt;0,INDIRECT("ТИП1!"&amp;"$P$91"),0)</f>
        <v>0</v>
      </c>
      <c r="R89" s="422">
        <f ca="1">IFERROR(INDIRECT("ТИП1!"&amp;"$AN$91"),0)</f>
        <v>0</v>
      </c>
      <c r="S89" s="422">
        <f ca="1">IFERROR(INDIRECT("ТИП1!"&amp;"$T$91"),0)</f>
        <v>0</v>
      </c>
      <c r="T89" s="422">
        <f ca="1">IFERROR(INDIRECT("ТИП1!"&amp;"$R$91"),0)</f>
        <v>0</v>
      </c>
      <c r="U89" s="422">
        <f ca="1">IFERROR(INDIRECT("ТИП1!"&amp;"$S$91"),0)</f>
        <v>0</v>
      </c>
      <c r="V89" s="422">
        <f ca="1">IFERROR(INDIRECT("ТИП1!"&amp;"$U$91"),0)</f>
        <v>0</v>
      </c>
      <c r="W89" s="422">
        <f ca="1">IFERROR(INDIRECT("ТИП1!"&amp;"$V$91"),0)</f>
        <v>0</v>
      </c>
      <c r="X89" s="421">
        <f ca="1">IF(Z89&gt;0,INDIRECT("ТИП1!"&amp;"$P$144"),0)</f>
        <v>0</v>
      </c>
      <c r="Y89" s="422">
        <f ca="1">IFERROR(INDIRECT("ТИП1!"&amp;"$AN$144"),0)</f>
        <v>0</v>
      </c>
      <c r="Z89" s="422">
        <f ca="1">IFERROR(INDIRECT("ТИП1!"&amp;"$T$144"),0)</f>
        <v>0</v>
      </c>
      <c r="AA89" s="422">
        <f ca="1">IFERROR(INDIRECT("ТИП1!"&amp;"$R$144"),0)</f>
        <v>0</v>
      </c>
      <c r="AB89" s="422">
        <f ca="1">IFERROR(INDIRECT("ТИП1!"&amp;"$S$144"),0)</f>
        <v>0</v>
      </c>
      <c r="AC89" s="422">
        <f ca="1">IFERROR(INDIRECT("ТИП1!"&amp;"$U$144"),0)</f>
        <v>0</v>
      </c>
      <c r="AD89" s="422">
        <f ca="1">IFERROR(INDIRECT("ТИП1!"&amp;"$V$144"),0)</f>
        <v>0</v>
      </c>
      <c r="AE89" s="1515"/>
      <c r="AH89" s="1512" t="s">
        <v>585</v>
      </c>
      <c r="AI89" s="1513"/>
      <c r="AJ89" s="1513"/>
      <c r="AK89" s="1513"/>
      <c r="AL89" s="1514"/>
      <c r="AM89" s="1500" t="s">
        <v>597</v>
      </c>
      <c r="AN89" s="1501"/>
      <c r="AO89" s="1502"/>
    </row>
    <row r="90" spans="1:41" s="385" customFormat="1" ht="15.75" hidden="1" customHeight="1">
      <c r="A90" s="117"/>
      <c r="B90" s="1125" t="str">
        <f t="shared" ca="1" si="13"/>
        <v>-</v>
      </c>
      <c r="C90" s="1125"/>
      <c r="D90" s="581" t="str">
        <f t="shared" ca="1" si="14"/>
        <v>-</v>
      </c>
      <c r="E90" s="581" t="str">
        <f t="shared" ca="1" si="15"/>
        <v>-</v>
      </c>
      <c r="F90" s="581" t="str">
        <f t="shared" ca="1" si="16"/>
        <v>-</v>
      </c>
      <c r="G90" s="581" t="str">
        <f t="shared" ca="1" si="17"/>
        <v>-</v>
      </c>
      <c r="H90" s="581" t="str">
        <f t="shared" ca="1" si="18"/>
        <v>-</v>
      </c>
      <c r="I90" s="705" t="str">
        <f ca="1">IF(AND(R90&gt;0,$V$80=1),IF(OR(R90=1,R90=2),HYPERLINK($AH$85,$AM$85),IF(R90&gt;=3,HYPERLINK($AH$86,$AM$86))),IF(AND(Y90&gt;0,$AC$80=1),HYPERLINK($AH$84,$AM$84),""))</f>
        <v/>
      </c>
      <c r="N90" s="403"/>
      <c r="O90" s="405">
        <f t="shared" ca="1" si="19"/>
        <v>0</v>
      </c>
      <c r="P90" s="403"/>
      <c r="Q90" s="421">
        <f ca="1">IF(S90&gt;0,INDIRECT("ТИП1!"&amp;"$P$92"),0)</f>
        <v>0</v>
      </c>
      <c r="R90" s="422">
        <f ca="1">IFERROR(INDIRECT("ТИП1!"&amp;"$AN$92"),0)</f>
        <v>0</v>
      </c>
      <c r="S90" s="422">
        <f ca="1">IFERROR(INDIRECT("ТИП1!"&amp;"$T$92"),0)</f>
        <v>0</v>
      </c>
      <c r="T90" s="422">
        <f ca="1">IFERROR(INDIRECT("ТИП1!"&amp;"$R$92"),0)</f>
        <v>0</v>
      </c>
      <c r="U90" s="422">
        <f ca="1">IFERROR(INDIRECT("ТИП1!"&amp;"$S$92"),0)</f>
        <v>0</v>
      </c>
      <c r="V90" s="422">
        <f ca="1">IFERROR(INDIRECT("ТИП1!"&amp;"$U$92"),0)</f>
        <v>0</v>
      </c>
      <c r="W90" s="422">
        <f ca="1">IFERROR(INDIRECT("ТИП1!"&amp;"$V$92"),0)</f>
        <v>0</v>
      </c>
      <c r="X90" s="421">
        <f ca="1">IF(Z90&gt;0,INDIRECT("ТИП1!"&amp;"$P$145"),0)</f>
        <v>0</v>
      </c>
      <c r="Y90" s="422">
        <f ca="1">IFERROR(INDIRECT("ТИП1!"&amp;"$AN$145"),0)</f>
        <v>0</v>
      </c>
      <c r="Z90" s="422">
        <f ca="1">IFERROR(INDIRECT("ТИП1!"&amp;"$T$145"),0)</f>
        <v>0</v>
      </c>
      <c r="AA90" s="422">
        <f ca="1">IFERROR(INDIRECT("ТИП1!"&amp;"$R$145"),0)</f>
        <v>0</v>
      </c>
      <c r="AB90" s="422">
        <f ca="1">IFERROR(INDIRECT("ТИП1!"&amp;"$S$145"),0)</f>
        <v>0</v>
      </c>
      <c r="AC90" s="422">
        <f ca="1">IFERROR(INDIRECT("ТИП1!"&amp;"$U$145"),0)</f>
        <v>0</v>
      </c>
      <c r="AD90" s="422">
        <f ca="1">IFERROR(INDIRECT("ТИП1!"&amp;"$V$145"),0)</f>
        <v>0</v>
      </c>
      <c r="AE90" s="1515"/>
      <c r="AH90" s="1494" t="s">
        <v>591</v>
      </c>
      <c r="AI90" s="1495"/>
      <c r="AJ90" s="1495"/>
      <c r="AK90" s="1495"/>
      <c r="AL90" s="1496"/>
      <c r="AM90" s="1503" t="s">
        <v>594</v>
      </c>
      <c r="AN90" s="1504"/>
      <c r="AO90" s="1505"/>
    </row>
    <row r="91" spans="1:41" s="385" customFormat="1" ht="15.75" customHeight="1">
      <c r="A91" s="117"/>
      <c r="B91" s="1125">
        <f t="shared" ca="1" si="13"/>
        <v>1</v>
      </c>
      <c r="C91" s="1125"/>
      <c r="D91" s="581">
        <f t="shared" ca="1" si="14"/>
        <v>13.8</v>
      </c>
      <c r="E91" s="581" t="str">
        <f t="shared" ca="1" si="15"/>
        <v>-</v>
      </c>
      <c r="F91" s="581">
        <f t="shared" ca="1" si="16"/>
        <v>500</v>
      </c>
      <c r="G91" s="581" t="str">
        <f t="shared" ca="1" si="17"/>
        <v>-</v>
      </c>
      <c r="H91" s="581" t="str">
        <f t="shared" ca="1" si="18"/>
        <v>-</v>
      </c>
      <c r="I91" s="705" t="str">
        <f ca="1">IF(AND(R91&gt;0,$V$80=1),IF(OR(R91=1,R91=2),HYPERLINK($AH$88,$AM$88),IF(R91&gt;=3,HYPERLINK($AH$89,$AM$89))),IF(AND(Y91&gt;0,$AC$80=1),HYPERLINK($AH$87,$AM$87),""))</f>
        <v>Краевая ПВХ</v>
      </c>
      <c r="N91" s="403"/>
      <c r="O91" s="405">
        <f t="shared" ca="1" si="19"/>
        <v>1</v>
      </c>
      <c r="P91" s="403"/>
      <c r="Q91" s="419">
        <f ca="1">IF(S91&gt;0,INDIRECT("ТИП1!"&amp;"$Q$95"),0)</f>
        <v>1</v>
      </c>
      <c r="R91" s="420">
        <f ca="1">IFERROR(INDIRECT("ТИП1!"&amp;"$AN$95"),0)</f>
        <v>1</v>
      </c>
      <c r="S91" s="420">
        <f ca="1">IFERROR(INDIRECT("ТИП1!"&amp;"$T$95"),0)</f>
        <v>13.8</v>
      </c>
      <c r="T91" s="420" t="s">
        <v>6</v>
      </c>
      <c r="U91" s="420">
        <f ca="1">IFERROR(INDIRECT("ТИП1!"&amp;"$S$95"),0)</f>
        <v>500</v>
      </c>
      <c r="V91" s="420">
        <f ca="1">IFERROR(INDIRECT("ТИП1!"&amp;"$U$95"),0)</f>
        <v>0</v>
      </c>
      <c r="W91" s="420">
        <f ca="1">IFERROR(INDIRECT("ТИП1!"&amp;"$V$95"),0)</f>
        <v>0</v>
      </c>
      <c r="X91" s="419">
        <f ca="1">IF(Z91&gt;0,INDIRECT("ТИП1!"&amp;"$Q$149"),0)</f>
        <v>0</v>
      </c>
      <c r="Y91" s="420">
        <f ca="1">IFERROR(INDIRECT("ТИП1!"&amp;"$AN$149"),0)</f>
        <v>0</v>
      </c>
      <c r="Z91" s="420">
        <f ca="1">IFERROR(INDIRECT("ТИП1!"&amp;"$T$149"),0)</f>
        <v>0</v>
      </c>
      <c r="AA91" s="425" t="s">
        <v>6</v>
      </c>
      <c r="AB91" s="420">
        <f ca="1">IFERROR(INDIRECT("ТИП1!"&amp;"$S$149"),0)</f>
        <v>0</v>
      </c>
      <c r="AC91" s="420">
        <f ca="1">IFERROR(INDIRECT("ТИП1!"&amp;"$U$149"),0)</f>
        <v>0</v>
      </c>
      <c r="AD91" s="420">
        <f ca="1">IFERROR(INDIRECT("ТИП1!"&amp;"$V$149"),0)</f>
        <v>0</v>
      </c>
      <c r="AE91" s="1516" t="s">
        <v>569</v>
      </c>
      <c r="AH91" s="1494" t="s">
        <v>592</v>
      </c>
      <c r="AI91" s="1495"/>
      <c r="AJ91" s="1495"/>
      <c r="AK91" s="1495"/>
      <c r="AL91" s="1496"/>
      <c r="AM91" s="1503" t="s">
        <v>593</v>
      </c>
      <c r="AN91" s="1504"/>
      <c r="AO91" s="1505"/>
    </row>
    <row r="92" spans="1:41" s="385" customFormat="1" ht="15.75" customHeight="1">
      <c r="A92" s="117"/>
      <c r="B92" s="1125">
        <f t="shared" ca="1" si="13"/>
        <v>2</v>
      </c>
      <c r="C92" s="1125"/>
      <c r="D92" s="581">
        <f t="shared" ca="1" si="14"/>
        <v>20.299999999999997</v>
      </c>
      <c r="E92" s="581" t="str">
        <f t="shared" ca="1" si="15"/>
        <v>-</v>
      </c>
      <c r="F92" s="581">
        <f t="shared" ca="1" si="16"/>
        <v>600</v>
      </c>
      <c r="G92" s="581">
        <f t="shared" ca="1" si="17"/>
        <v>500</v>
      </c>
      <c r="H92" s="581">
        <f t="shared" ca="1" si="18"/>
        <v>50</v>
      </c>
      <c r="I92" s="705" t="str">
        <f ca="1">IF(AND(R92&gt;0,$V$80=1),IF(OR(R92=1,R92=2),HYPERLINK($AH$88,$AM$88),IF(R92&gt;=3,HYPERLINK($AH$89,$AM$89))),IF(AND(Y92&gt;0,$AC$80=1),HYPERLINK($AH$87,$AM$87),""))</f>
        <v>Краевая ПВХ с утеплением</v>
      </c>
      <c r="N92" s="403"/>
      <c r="O92" s="405">
        <f t="shared" ca="1" si="19"/>
        <v>1</v>
      </c>
      <c r="P92" s="403"/>
      <c r="Q92" s="419">
        <f ca="1">IF(S92&gt;0,INDIRECT("ТИП1!"&amp;"$Q$96"),0)</f>
        <v>2</v>
      </c>
      <c r="R92" s="420">
        <f ca="1">IFERROR(INDIRECT("ТИП1!"&amp;"$AN$96"),0)</f>
        <v>4</v>
      </c>
      <c r="S92" s="420">
        <f ca="1">IFERROR(INDIRECT("ТИП1!"&amp;"$T$96"),0)</f>
        <v>20.299999999999997</v>
      </c>
      <c r="T92" s="420" t="s">
        <v>6</v>
      </c>
      <c r="U92" s="420">
        <f ca="1">IFERROR(INDIRECT("ТИП1!"&amp;"$S$96"),0)</f>
        <v>600</v>
      </c>
      <c r="V92" s="420">
        <f ca="1">IFERROR(INDIRECT("ТИП1!"&amp;"$U$96"),0)</f>
        <v>500</v>
      </c>
      <c r="W92" s="420">
        <f ca="1">IFERROR(INDIRECT("ТИП1!"&amp;"$V$96"),0)</f>
        <v>50</v>
      </c>
      <c r="X92" s="419">
        <f ca="1">IF(Z92&gt;0,INDIRECT("ТИП1!"&amp;"$Q$150"),0)</f>
        <v>0</v>
      </c>
      <c r="Y92" s="420">
        <f ca="1">IFERROR(INDIRECT("ТИП1!"&amp;"$AN$150"),0)</f>
        <v>0</v>
      </c>
      <c r="Z92" s="420">
        <f ca="1">IFERROR(INDIRECT("ТИП1!"&amp;"$T$150"),0)</f>
        <v>0</v>
      </c>
      <c r="AA92" s="425" t="s">
        <v>6</v>
      </c>
      <c r="AB92" s="420">
        <f ca="1">IFERROR(INDIRECT("ТИП1!"&amp;"$S$150"),0)</f>
        <v>0</v>
      </c>
      <c r="AC92" s="420">
        <f ca="1">IFERROR(INDIRECT("ТИП1!"&amp;"$U$150"),0)</f>
        <v>0</v>
      </c>
      <c r="AD92" s="420">
        <f ca="1">IFERROR(INDIRECT("ТИП1!"&amp;"$V$150"),0)</f>
        <v>0</v>
      </c>
      <c r="AE92" s="1516"/>
    </row>
    <row r="93" spans="1:41" s="385" customFormat="1" ht="15.75" hidden="1" customHeight="1">
      <c r="A93" s="117"/>
      <c r="B93" s="1125" t="str">
        <f t="shared" ca="1" si="13"/>
        <v>-</v>
      </c>
      <c r="C93" s="1125"/>
      <c r="D93" s="581" t="str">
        <f t="shared" ca="1" si="14"/>
        <v>-</v>
      </c>
      <c r="E93" s="581" t="str">
        <f t="shared" ca="1" si="15"/>
        <v>-</v>
      </c>
      <c r="F93" s="581" t="str">
        <f t="shared" ca="1" si="16"/>
        <v>-</v>
      </c>
      <c r="G93" s="581" t="str">
        <f t="shared" ca="1" si="17"/>
        <v>-</v>
      </c>
      <c r="H93" s="581" t="str">
        <f t="shared" ca="1" si="18"/>
        <v>-</v>
      </c>
      <c r="I93" s="705" t="str">
        <f ca="1">IF(AND(R93&gt;0,$V$80=1),IF(OR(R93=1,R93=2),HYPERLINK($AH$88,$AM$88),IF(R93&gt;=3,HYPERLINK($AH$89,$AM$89))),IF(AND(Y93&gt;0,$AC$80=1),HYPERLINK($AH$87,$AM$87),""))</f>
        <v/>
      </c>
      <c r="N93" s="403"/>
      <c r="O93" s="405">
        <f t="shared" ca="1" si="19"/>
        <v>0</v>
      </c>
      <c r="P93" s="403"/>
      <c r="Q93" s="419">
        <f ca="1">IF(S93&gt;0,INDIRECT("ТИП1!"&amp;"$Q$97"),0)</f>
        <v>0</v>
      </c>
      <c r="R93" s="420">
        <f ca="1">IFERROR(INDIRECT("ТИП1!"&amp;"$AN$97"),0)</f>
        <v>0</v>
      </c>
      <c r="S93" s="420">
        <f ca="1">IFERROR(INDIRECT("ТИП1!"&amp;"$T$97"),0)</f>
        <v>0</v>
      </c>
      <c r="T93" s="420" t="s">
        <v>6</v>
      </c>
      <c r="U93" s="420">
        <f ca="1">IFERROR(INDIRECT("ТИП1!"&amp;"$S$97"),0)</f>
        <v>0</v>
      </c>
      <c r="V93" s="420">
        <f ca="1">IFERROR(INDIRECT("ТИП1!"&amp;"$U$97"),0)</f>
        <v>0</v>
      </c>
      <c r="W93" s="420">
        <f ca="1">IFERROR(INDIRECT("ТИП1!"&amp;"$V$97"),0)</f>
        <v>0</v>
      </c>
      <c r="X93" s="419">
        <f ca="1">IF(Z93&gt;0,INDIRECT("ТИП1!"&amp;"$Q$151"),0)</f>
        <v>0</v>
      </c>
      <c r="Y93" s="420">
        <f ca="1">IFERROR(INDIRECT("ТИП1!"&amp;"$AN$151"),0)</f>
        <v>0</v>
      </c>
      <c r="Z93" s="420">
        <f ca="1">IFERROR(INDIRECT("ТИП1!"&amp;"$T$151"),0)</f>
        <v>0</v>
      </c>
      <c r="AA93" s="425" t="s">
        <v>6</v>
      </c>
      <c r="AB93" s="420">
        <f ca="1">IFERROR(INDIRECT("ТИП1!"&amp;"$S$151"),0)</f>
        <v>0</v>
      </c>
      <c r="AC93" s="420">
        <f ca="1">IFERROR(INDIRECT("ТИП1!"&amp;"$U$151"),0)</f>
        <v>0</v>
      </c>
      <c r="AD93" s="420">
        <f ca="1">IFERROR(INDIRECT("ТИП1!"&amp;"$V$151"),0)</f>
        <v>0</v>
      </c>
      <c r="AE93" s="1516"/>
    </row>
    <row r="94" spans="1:41" s="385" customFormat="1" ht="15.75" hidden="1" customHeight="1">
      <c r="A94" s="117"/>
      <c r="B94" s="1125" t="str">
        <f t="shared" ca="1" si="13"/>
        <v>-</v>
      </c>
      <c r="C94" s="1125"/>
      <c r="D94" s="581" t="str">
        <f t="shared" ca="1" si="14"/>
        <v>-</v>
      </c>
      <c r="E94" s="581" t="str">
        <f t="shared" ca="1" si="15"/>
        <v>-</v>
      </c>
      <c r="F94" s="581" t="str">
        <f t="shared" ca="1" si="16"/>
        <v>-</v>
      </c>
      <c r="G94" s="581" t="str">
        <f t="shared" ca="1" si="17"/>
        <v>-</v>
      </c>
      <c r="H94" s="581" t="str">
        <f t="shared" ca="1" si="18"/>
        <v>-</v>
      </c>
      <c r="I94" s="705" t="str">
        <f ca="1">IF(AND(R94&gt;0,$V$80=1),IF(OR(R94=1,R94=2),HYPERLINK($AH$88,$AM$88),IF(R94&gt;=3,HYPERLINK($AH$89,$AM$89))),IF(AND(Y94&gt;0,$AC$80=1),HYPERLINK($AH$87,$AM$87),""))</f>
        <v/>
      </c>
      <c r="N94" s="403"/>
      <c r="O94" s="405">
        <f t="shared" ca="1" si="19"/>
        <v>0</v>
      </c>
      <c r="P94" s="403"/>
      <c r="Q94" s="419">
        <f ca="1">IF(S94&gt;0,INDIRECT("ТИП1!"&amp;"$Q$98"),0)</f>
        <v>0</v>
      </c>
      <c r="R94" s="420">
        <f ca="1">IFERROR(INDIRECT("ТИП1!"&amp;"$AN$98"),0)</f>
        <v>0</v>
      </c>
      <c r="S94" s="420">
        <f ca="1">IFERROR(INDIRECT("ТИП1!"&amp;"$T$98"),0)</f>
        <v>0</v>
      </c>
      <c r="T94" s="420" t="s">
        <v>6</v>
      </c>
      <c r="U94" s="420">
        <f ca="1">IFERROR(INDIRECT("ТИП1!"&amp;"$S$98"),0)</f>
        <v>0</v>
      </c>
      <c r="V94" s="420">
        <f ca="1">IFERROR(INDIRECT("ТИП1!"&amp;"$U$98"),0)</f>
        <v>0</v>
      </c>
      <c r="W94" s="420">
        <f ca="1">IFERROR(INDIRECT("ТИП1!"&amp;"$V$98"),0)</f>
        <v>0</v>
      </c>
      <c r="X94" s="419">
        <f ca="1">IF(Z94&gt;0,INDIRECT("ТИП1!"&amp;"$Q$152"),0)</f>
        <v>0</v>
      </c>
      <c r="Y94" s="420">
        <f ca="1">IFERROR(INDIRECT("ТИП1!"&amp;"$AN$152"),0)</f>
        <v>0</v>
      </c>
      <c r="Z94" s="420">
        <f ca="1">IFERROR(INDIRECT("ТИП1!"&amp;"$T$152"),0)</f>
        <v>0</v>
      </c>
      <c r="AA94" s="425" t="s">
        <v>6</v>
      </c>
      <c r="AB94" s="420">
        <f ca="1">IFERROR(INDIRECT("ТИП1!"&amp;"$S$152"),0)</f>
        <v>0</v>
      </c>
      <c r="AC94" s="420">
        <f ca="1">IFERROR(INDIRECT("ТИП1!"&amp;"$U$152"),0)</f>
        <v>0</v>
      </c>
      <c r="AD94" s="420">
        <f ca="1">IFERROR(INDIRECT("ТИП1!"&amp;"$V$152"),0)</f>
        <v>0</v>
      </c>
      <c r="AE94" s="1516"/>
    </row>
    <row r="95" spans="1:41" s="385" customFormat="1" ht="15.75" customHeight="1">
      <c r="B95" s="1125">
        <f t="shared" ca="1" si="13"/>
        <v>1</v>
      </c>
      <c r="C95" s="1125"/>
      <c r="D95" s="581">
        <f t="shared" ca="1" si="14"/>
        <v>5.9</v>
      </c>
      <c r="E95" s="581" t="str">
        <f t="shared" ca="1" si="15"/>
        <v>-</v>
      </c>
      <c r="F95" s="581" t="str">
        <f t="shared" ca="1" si="16"/>
        <v>-</v>
      </c>
      <c r="G95" s="581" t="str">
        <f t="shared" ca="1" si="17"/>
        <v>-</v>
      </c>
      <c r="H95" s="581" t="str">
        <f t="shared" ca="1" si="18"/>
        <v>-</v>
      </c>
      <c r="I95" s="705" t="str">
        <f ca="1">IF(AND(R95&gt;0,$V$80=1),HYPERLINK($AH$91,$AM$91),IF(AND(Z95&gt;0,$AC$80=1),HYPERLINK($AH$90,$AM$90),""))</f>
        <v>Открытый ПВХ</v>
      </c>
      <c r="N95" s="403"/>
      <c r="O95" s="405">
        <f t="shared" ca="1" si="19"/>
        <v>1</v>
      </c>
      <c r="P95" s="403"/>
      <c r="Q95" s="423">
        <f ca="1">IF(S95&gt;0,(INDIRECT("ТИП1!"&amp;"$Q$101")),0)</f>
        <v>1</v>
      </c>
      <c r="R95" s="424">
        <f ca="1">IFERROR(INDIRECT("ТИП1!"&amp;"$AN$101"),0)</f>
        <v>2</v>
      </c>
      <c r="S95" s="424">
        <f ca="1">IFERROR(INDIRECT("ТИП1!"&amp;"$S$101"),0)</f>
        <v>5.9</v>
      </c>
      <c r="T95" s="424" t="s">
        <v>6</v>
      </c>
      <c r="U95" s="424" t="s">
        <v>6</v>
      </c>
      <c r="V95" s="424" t="s">
        <v>6</v>
      </c>
      <c r="W95" s="424" t="s">
        <v>6</v>
      </c>
      <c r="X95" s="423">
        <f ca="1">IF(Z95&gt;0,INDIRECT("ТИП1!"&amp;"$R$156"),0)</f>
        <v>0</v>
      </c>
      <c r="Y95" s="424" t="s">
        <v>6</v>
      </c>
      <c r="Z95" s="424">
        <f ca="1">IFERROR(INDIRECT("ТИП1!"&amp;"$T$156"),0)</f>
        <v>0</v>
      </c>
      <c r="AA95" s="426" t="s">
        <v>6</v>
      </c>
      <c r="AB95" s="426" t="s">
        <v>6</v>
      </c>
      <c r="AC95" s="426" t="s">
        <v>6</v>
      </c>
      <c r="AD95" s="426" t="s">
        <v>6</v>
      </c>
      <c r="AE95" s="411" t="s">
        <v>570</v>
      </c>
    </row>
    <row r="96" spans="1:41" s="385" customFormat="1" ht="15.75" hidden="1" customHeight="1">
      <c r="B96" s="1125" t="str">
        <f t="shared" ca="1" si="13"/>
        <v>-</v>
      </c>
      <c r="C96" s="1125"/>
      <c r="D96" s="581" t="str">
        <f t="shared" ca="1" si="14"/>
        <v>-</v>
      </c>
      <c r="E96" s="581" t="str">
        <f t="shared" ca="1" si="15"/>
        <v>-</v>
      </c>
      <c r="F96" s="581" t="str">
        <f t="shared" ca="1" si="16"/>
        <v>-</v>
      </c>
      <c r="G96" s="581" t="str">
        <f t="shared" ca="1" si="17"/>
        <v>-</v>
      </c>
      <c r="H96" s="581" t="str">
        <f t="shared" ca="1" si="18"/>
        <v>-</v>
      </c>
      <c r="I96" s="581" t="s">
        <v>6</v>
      </c>
      <c r="N96" s="403"/>
      <c r="O96" s="405">
        <f t="shared" ca="1" si="19"/>
        <v>0</v>
      </c>
      <c r="P96" s="403"/>
      <c r="Q96" s="417">
        <f ca="1">IF(S96&gt;0,INDIRECT("ТИП1!"&amp;"$P$124"),0)</f>
        <v>0</v>
      </c>
      <c r="R96" s="418" t="s">
        <v>6</v>
      </c>
      <c r="S96" s="418">
        <f ca="1">IFERROR(INDIRECT("ТИП1!"&amp;"$S$125"),0)</f>
        <v>0</v>
      </c>
      <c r="T96" s="418" t="s">
        <v>6</v>
      </c>
      <c r="U96" s="418" t="s">
        <v>6</v>
      </c>
      <c r="V96" s="418" t="s">
        <v>6</v>
      </c>
      <c r="W96" s="418" t="s">
        <v>6</v>
      </c>
      <c r="X96" s="417">
        <f ca="1">IF(Z96&gt;0,INDIRECT("ТИП1!"&amp;"$P$160"),0)</f>
        <v>0</v>
      </c>
      <c r="Y96" s="418" t="s">
        <v>6</v>
      </c>
      <c r="Z96" s="418">
        <f ca="1">IFERROR(INDIRECT("ТИП1!"&amp;"$S$161"),0)</f>
        <v>0</v>
      </c>
      <c r="AA96" s="418" t="s">
        <v>6</v>
      </c>
      <c r="AB96" s="418" t="s">
        <v>6</v>
      </c>
      <c r="AC96" s="418" t="s">
        <v>6</v>
      </c>
      <c r="AD96" s="418" t="s">
        <v>6</v>
      </c>
      <c r="AE96" s="412" t="s">
        <v>571</v>
      </c>
    </row>
    <row r="97" spans="2:31" s="385" customFormat="1" ht="15.75" customHeight="1">
      <c r="B97" s="1518" t="s">
        <v>495</v>
      </c>
      <c r="C97" s="1518"/>
      <c r="D97" s="1518"/>
      <c r="E97" s="1518"/>
      <c r="F97" s="1518"/>
      <c r="G97" s="1518"/>
      <c r="H97" s="1518"/>
      <c r="I97" s="1518"/>
      <c r="N97" s="403"/>
      <c r="O97" s="405">
        <f ca="1">IF(SUM(O98:O113)&gt;0,1,0)</f>
        <v>1</v>
      </c>
      <c r="P97" s="403"/>
      <c r="Q97" s="1488" t="s">
        <v>527</v>
      </c>
      <c r="R97" s="1489"/>
      <c r="S97" s="1489"/>
      <c r="T97" s="1489"/>
      <c r="U97" s="1489"/>
      <c r="V97" s="432">
        <f ca="1">INDIRECT("ТИП2!"&amp;"$Z$4")</f>
        <v>1</v>
      </c>
      <c r="W97" s="431" t="str">
        <f ca="1">IF(INDIRECT("ТИП2!"&amp;"$Z$4")=1,"●","")</f>
        <v>●</v>
      </c>
      <c r="X97" s="1490" t="s">
        <v>528</v>
      </c>
      <c r="Y97" s="1491"/>
      <c r="Z97" s="1491"/>
      <c r="AA97" s="1491"/>
      <c r="AB97" s="1491"/>
      <c r="AC97" s="433">
        <f ca="1">INDIRECT("ТИП2!"&amp;"$Z$3")</f>
        <v>0</v>
      </c>
      <c r="AD97" s="434" t="str">
        <f ca="1">IF(INDIRECT("ТИП2!"&amp;"$Z$3")=1,"●","")</f>
        <v/>
      </c>
    </row>
    <row r="98" spans="2:31" s="385" customFormat="1" ht="15.75" hidden="1" customHeight="1">
      <c r="B98" s="1125" t="str">
        <f t="shared" ref="B98:B113" ca="1" si="20">IF(AND($V$97=1,Q98&gt;0),Q98,IF(AND($AC$97=1,X98&gt;0),X98,"-"))</f>
        <v>-</v>
      </c>
      <c r="C98" s="1125"/>
      <c r="D98" s="581" t="str">
        <f t="shared" ref="D98:D113" ca="1" si="21">IF(AND($V$97=1,S98&gt;0),S98,IF(AND($AC$97=1,Z98&gt;0),Z98,"-"))</f>
        <v>-</v>
      </c>
      <c r="E98" s="581" t="str">
        <f t="shared" ref="E98:E113" ca="1" si="22">IF(AND($V$97=1,T98&gt;0),T98,IF(AND($AC$97=1,AA98&gt;0),AA98,"-"))</f>
        <v>-</v>
      </c>
      <c r="F98" s="581" t="str">
        <f t="shared" ref="F98:F113" ca="1" si="23">IF(AND($V$97=1,U98&gt;0),U98,IF(AND($AC$97=1,AB98&gt;0),AB98,"-"))</f>
        <v>-</v>
      </c>
      <c r="G98" s="581" t="str">
        <f t="shared" ref="G98:G113" ca="1" si="24">IF(AND($V$97=1,V98&gt;0),V98,IF(AND($AC$97=1,AC98&gt;0),AC98,"-"))</f>
        <v>-</v>
      </c>
      <c r="H98" s="581" t="str">
        <f t="shared" ref="H98:H113" ca="1" si="25">IF(AND($V$97=1,W98&gt;0),W98,IF(AND($AC$97=1,AD98&gt;0),AD98,"-"))</f>
        <v>-</v>
      </c>
      <c r="I98" s="705" t="str">
        <f ca="1">IF(AND(R98&gt;0,$V$97=1),IF(OR(R98=1,R98=2),HYPERLINK($AH$83,$AM$83),IF(R98&gt;=3,HYPERLINK($AH$82,$AM$82))),IF(AND(Y98&gt;0,$AC$97=1),HYPERLINK($AH$81,$AM$81),""))</f>
        <v/>
      </c>
      <c r="N98" s="403"/>
      <c r="O98" s="405">
        <f ca="1">IF(D98="-",0,1)</f>
        <v>0</v>
      </c>
      <c r="P98" s="403"/>
      <c r="Q98" s="413">
        <f ca="1">IF(S98&gt;0,INDIRECT("ТИП2!"&amp;"$P$81"),0)</f>
        <v>0</v>
      </c>
      <c r="R98" s="414">
        <f ca="1">IFERROR(INDIRECT("ТИП2!"&amp;"$AN$81"),0)</f>
        <v>0</v>
      </c>
      <c r="S98" s="414">
        <f ca="1">IFERROR(INDIRECT("ТИП2!"&amp;"$T$81"),0)</f>
        <v>0</v>
      </c>
      <c r="T98" s="414">
        <f ca="1">IFERROR(INDIRECT("ТИП2!"&amp;"$R$81"),0)</f>
        <v>0</v>
      </c>
      <c r="U98" s="414">
        <f ca="1">IFERROR(INDIRECT("ТИП2!"&amp;"$S$81"),0)</f>
        <v>0</v>
      </c>
      <c r="V98" s="414">
        <f ca="1">IFERROR(INDIRECT("ТИП2!"&amp;"$U$81"),0)</f>
        <v>0</v>
      </c>
      <c r="W98" s="414">
        <f ca="1">IFERROR(INDIRECT("ТИП2!"&amp;"$V$81"),0)</f>
        <v>0</v>
      </c>
      <c r="X98" s="415">
        <f ca="1">IF(Z98&gt;0,INDIRECT("ТИП2!"&amp;"$P$133"),0)</f>
        <v>0</v>
      </c>
      <c r="Y98" s="414">
        <f ca="1">IFERROR(INDIRECT("ТИП2!"&amp;"$AN$133"),0)</f>
        <v>0</v>
      </c>
      <c r="Z98" s="416">
        <f ca="1">IFERROR(INDIRECT("ТИП2!"&amp;"$T$133"),0)</f>
        <v>0</v>
      </c>
      <c r="AA98" s="414">
        <f ca="1">IFERROR(INDIRECT("ТИП2!"&amp;"$R$133"),0)</f>
        <v>0</v>
      </c>
      <c r="AB98" s="414">
        <f ca="1">IFERROR(INDIRECT("ТИП2!"&amp;"$S$133"),0)</f>
        <v>0</v>
      </c>
      <c r="AC98" s="414">
        <f ca="1">IFERROR(INDIRECT("ТИП2!"&amp;"$U$133"),0)</f>
        <v>0</v>
      </c>
      <c r="AD98" s="414">
        <f ca="1">IFERROR(INDIRECT("ТИП2!"&amp;"$V$133"),0)</f>
        <v>0</v>
      </c>
      <c r="AE98" s="1517" t="s">
        <v>567</v>
      </c>
    </row>
    <row r="99" spans="2:31" s="385" customFormat="1" ht="15.75" hidden="1" customHeight="1">
      <c r="B99" s="1125" t="str">
        <f t="shared" ca="1" si="20"/>
        <v>-</v>
      </c>
      <c r="C99" s="1125"/>
      <c r="D99" s="581" t="str">
        <f t="shared" ca="1" si="21"/>
        <v>-</v>
      </c>
      <c r="E99" s="581" t="str">
        <f t="shared" ca="1" si="22"/>
        <v>-</v>
      </c>
      <c r="F99" s="581" t="str">
        <f t="shared" ca="1" si="23"/>
        <v>-</v>
      </c>
      <c r="G99" s="581" t="str">
        <f t="shared" ca="1" si="24"/>
        <v>-</v>
      </c>
      <c r="H99" s="581" t="str">
        <f t="shared" ca="1" si="25"/>
        <v>-</v>
      </c>
      <c r="I99" s="705" t="str">
        <f ca="1">IF(AND(R99&gt;0,$V$97=1),IF(OR(R99=1,R99=2),HYPERLINK($AH$83,$AM$83),IF(R99&gt;=3,HYPERLINK($AH$82,$AM$82))),IF(AND(Y99&gt;0,$AC$97=1),HYPERLINK($AH$81,$AM$81),""))</f>
        <v/>
      </c>
      <c r="N99" s="403"/>
      <c r="O99" s="405">
        <f t="shared" ref="O99:O162" ca="1" si="26">IF(D99="-",0,1)</f>
        <v>0</v>
      </c>
      <c r="P99" s="403"/>
      <c r="Q99" s="413">
        <f ca="1">IF(S99&gt;0,INDIRECT("ТИП2!"&amp;"$P$82"),0)</f>
        <v>0</v>
      </c>
      <c r="R99" s="414">
        <f ca="1">IFERROR(INDIRECT("ТИП2!"&amp;"$AN$82"),0)</f>
        <v>0</v>
      </c>
      <c r="S99" s="414">
        <f ca="1">IFERROR(INDIRECT("ТИП2!"&amp;"$T$82"),0)</f>
        <v>0</v>
      </c>
      <c r="T99" s="414">
        <f ca="1">IFERROR(INDIRECT("ТИП2!"&amp;"$R$82"),0)</f>
        <v>0</v>
      </c>
      <c r="U99" s="414">
        <f ca="1">IFERROR(INDIRECT("ТИП2!"&amp;"$S$82"),0)</f>
        <v>0</v>
      </c>
      <c r="V99" s="414">
        <f ca="1">IFERROR(INDIRECT("ТИП2!"&amp;"$U$82"),0)</f>
        <v>0</v>
      </c>
      <c r="W99" s="414">
        <f ca="1">IFERROR(INDIRECT("ТИП2!"&amp;"$V$82"),0)</f>
        <v>0</v>
      </c>
      <c r="X99" s="413">
        <f ca="1">IF(Z99&gt;0,INDIRECT("ТИП2!"&amp;"$P$134"),0)</f>
        <v>0</v>
      </c>
      <c r="Y99" s="414">
        <f ca="1">IFERROR(INDIRECT("ТИП2!"&amp;"$AN$134"),0)</f>
        <v>0</v>
      </c>
      <c r="Z99" s="414">
        <f ca="1">IFERROR(INDIRECT("ТИП2!"&amp;"$T$134"),0)</f>
        <v>0</v>
      </c>
      <c r="AA99" s="414">
        <f ca="1">IFERROR(INDIRECT("ТИП2!"&amp;"$R$134"),0)</f>
        <v>0</v>
      </c>
      <c r="AB99" s="414">
        <f ca="1">IFERROR(INDIRECT("ТИП2!"&amp;"$S$134"),0)</f>
        <v>0</v>
      </c>
      <c r="AC99" s="414">
        <f ca="1">IFERROR(INDIRECT("ТИП2!"&amp;"$U$134"),0)</f>
        <v>0</v>
      </c>
      <c r="AD99" s="414">
        <f ca="1">IFERROR(INDIRECT("ТИП2!"&amp;"$V$134"),0)</f>
        <v>0</v>
      </c>
      <c r="AE99" s="1517"/>
    </row>
    <row r="100" spans="2:31" s="385" customFormat="1" ht="15.75" hidden="1" customHeight="1">
      <c r="B100" s="1125" t="str">
        <f t="shared" ca="1" si="20"/>
        <v>-</v>
      </c>
      <c r="C100" s="1125"/>
      <c r="D100" s="581" t="str">
        <f t="shared" ca="1" si="21"/>
        <v>-</v>
      </c>
      <c r="E100" s="581" t="str">
        <f t="shared" ca="1" si="22"/>
        <v>-</v>
      </c>
      <c r="F100" s="581" t="str">
        <f t="shared" ca="1" si="23"/>
        <v>-</v>
      </c>
      <c r="G100" s="581" t="str">
        <f t="shared" ca="1" si="24"/>
        <v>-</v>
      </c>
      <c r="H100" s="581" t="str">
        <f t="shared" ca="1" si="25"/>
        <v>-</v>
      </c>
      <c r="I100" s="705" t="str">
        <f ca="1">IF(AND(R100&gt;0,$V$97=1),IF(OR(R100=1,R100=2),HYPERLINK($AH$83,$AM$83),IF(R100&gt;=3,HYPERLINK($AH$82,$AM$82))),IF(AND(Y100&gt;0,$AC$97=1),HYPERLINK($AH$81,$AM$81),""))</f>
        <v/>
      </c>
      <c r="N100" s="403"/>
      <c r="O100" s="405">
        <f t="shared" ca="1" si="26"/>
        <v>0</v>
      </c>
      <c r="P100" s="403"/>
      <c r="Q100" s="413">
        <f ca="1">IF(S100&gt;0,INDIRECT("ТИП2!"&amp;"$P$83"),0)</f>
        <v>0</v>
      </c>
      <c r="R100" s="414">
        <f ca="1">IFERROR(INDIRECT("ТИП2!"&amp;"$AN$83"),0)</f>
        <v>0</v>
      </c>
      <c r="S100" s="414">
        <f ca="1">IFERROR(INDIRECT("ТИП2!"&amp;"$T$83"),0)</f>
        <v>0</v>
      </c>
      <c r="T100" s="414">
        <f ca="1">IFERROR(INDIRECT("ТИП2!"&amp;"$R$83"),0)</f>
        <v>0</v>
      </c>
      <c r="U100" s="414">
        <f ca="1">IFERROR(INDIRECT("ТИП2!"&amp;"$S$83"),0)</f>
        <v>0</v>
      </c>
      <c r="V100" s="414">
        <f ca="1">IFERROR(INDIRECT("ТИП2!"&amp;"$U$83"),0)</f>
        <v>0</v>
      </c>
      <c r="W100" s="414">
        <f ca="1">IFERROR(INDIRECT("ТИП2!"&amp;"$V$83"),0)</f>
        <v>0</v>
      </c>
      <c r="X100" s="413">
        <f ca="1">IF(Z100&gt;0,INDIRECT("ТИП2!"&amp;"$P$135"),0)</f>
        <v>0</v>
      </c>
      <c r="Y100" s="414">
        <f ca="1">IFERROR(INDIRECT("ТИП2!"&amp;"$AN$135"),0)</f>
        <v>0</v>
      </c>
      <c r="Z100" s="414">
        <f ca="1">IFERROR(INDIRECT("ТИП2!"&amp;"$T$135"),0)</f>
        <v>0</v>
      </c>
      <c r="AA100" s="414">
        <f ca="1">IFERROR(INDIRECT("ТИП2!"&amp;"$R$135"),0)</f>
        <v>0</v>
      </c>
      <c r="AB100" s="414">
        <f ca="1">IFERROR(INDIRECT("ТИП2!"&amp;"$S$135"),0)</f>
        <v>0</v>
      </c>
      <c r="AC100" s="414">
        <f ca="1">IFERROR(INDIRECT("ТИП2!"&amp;"$U$135"),0)</f>
        <v>0</v>
      </c>
      <c r="AD100" s="414">
        <f ca="1">IFERROR(INDIRECT("ТИП2!"&amp;"$V$135"),0)</f>
        <v>0</v>
      </c>
      <c r="AE100" s="1517"/>
    </row>
    <row r="101" spans="2:31" s="385" customFormat="1" ht="15.75" hidden="1" customHeight="1">
      <c r="B101" s="1125" t="str">
        <f t="shared" ca="1" si="20"/>
        <v>-</v>
      </c>
      <c r="C101" s="1125"/>
      <c r="D101" s="581" t="str">
        <f t="shared" ca="1" si="21"/>
        <v>-</v>
      </c>
      <c r="E101" s="581" t="str">
        <f t="shared" ca="1" si="22"/>
        <v>-</v>
      </c>
      <c r="F101" s="581" t="str">
        <f t="shared" ca="1" si="23"/>
        <v>-</v>
      </c>
      <c r="G101" s="581" t="str">
        <f t="shared" ca="1" si="24"/>
        <v>-</v>
      </c>
      <c r="H101" s="581" t="str">
        <f t="shared" ca="1" si="25"/>
        <v>-</v>
      </c>
      <c r="I101" s="705" t="str">
        <f ca="1">IF(AND(R101&gt;0,$V$97=1),IF(OR(R101=1,R101=2),HYPERLINK($AH$83,$AM$83),IF(R101&gt;=3,HYPERLINK($AH$82,$AM$82))),IF(AND(Y101&gt;0,$AC$97=1),HYPERLINK($AH$81,$AM$81),""))</f>
        <v/>
      </c>
      <c r="N101" s="403"/>
      <c r="O101" s="405">
        <f t="shared" ca="1" si="26"/>
        <v>0</v>
      </c>
      <c r="P101" s="403"/>
      <c r="Q101" s="413">
        <f ca="1">IF(S101&gt;0,INDIRECT("ТИП2!"&amp;"$P$84"),0)</f>
        <v>0</v>
      </c>
      <c r="R101" s="414">
        <f ca="1">IFERROR(INDIRECT("ТИП2!"&amp;"$AN$84"),0)</f>
        <v>0</v>
      </c>
      <c r="S101" s="414">
        <f ca="1">IFERROR(INDIRECT("ТИП2!"&amp;"$T$84"),0)</f>
        <v>0</v>
      </c>
      <c r="T101" s="414">
        <f ca="1">IFERROR(INDIRECT("ТИП2!"&amp;"$R$84"),0)</f>
        <v>0</v>
      </c>
      <c r="U101" s="414">
        <f ca="1">IFERROR(INDIRECT("ТИП2!"&amp;"$S$84"),0)</f>
        <v>0</v>
      </c>
      <c r="V101" s="414">
        <f ca="1">IFERROR(INDIRECT("ТИП2!"&amp;"$U$84"),0)</f>
        <v>0</v>
      </c>
      <c r="W101" s="414">
        <f ca="1">IFERROR(INDIRECT("ТИП2!"&amp;"$V$84"),0)</f>
        <v>0</v>
      </c>
      <c r="X101" s="413">
        <f ca="1">IF(Z101&gt;0,INDIRECT("ТИП2!"&amp;"$P$136"),0)</f>
        <v>0</v>
      </c>
      <c r="Y101" s="414">
        <f ca="1">IFERROR(INDIRECT("ТИП2!"&amp;"$AN$136"),0)</f>
        <v>0</v>
      </c>
      <c r="Z101" s="414">
        <f ca="1">IFERROR(INDIRECT("ТИП2!"&amp;"$T$136"),0)</f>
        <v>0</v>
      </c>
      <c r="AA101" s="414">
        <f ca="1">IFERROR(INDIRECT("ТИП2!"&amp;"$R$136"),0)</f>
        <v>0</v>
      </c>
      <c r="AB101" s="414">
        <f ca="1">IFERROR(INDIRECT("ТИП2!"&amp;"$S$136"),0)</f>
        <v>0</v>
      </c>
      <c r="AC101" s="414">
        <f ca="1">IFERROR(INDIRECT("ТИП2!"&amp;"$U$136"),0)</f>
        <v>0</v>
      </c>
      <c r="AD101" s="414">
        <f ca="1">IFERROR(INDIRECT("ТИП2!"&amp;"$V$136"),0)</f>
        <v>0</v>
      </c>
      <c r="AE101" s="1517"/>
    </row>
    <row r="102" spans="2:31" s="385" customFormat="1" ht="15.75" hidden="1" customHeight="1">
      <c r="B102" s="1125" t="str">
        <f t="shared" ca="1" si="20"/>
        <v>-</v>
      </c>
      <c r="C102" s="1125"/>
      <c r="D102" s="581" t="str">
        <f t="shared" ca="1" si="21"/>
        <v>-</v>
      </c>
      <c r="E102" s="581" t="str">
        <f t="shared" ca="1" si="22"/>
        <v>-</v>
      </c>
      <c r="F102" s="581" t="str">
        <f t="shared" ca="1" si="23"/>
        <v>-</v>
      </c>
      <c r="G102" s="581" t="str">
        <f t="shared" ca="1" si="24"/>
        <v>-</v>
      </c>
      <c r="H102" s="581" t="str">
        <f t="shared" ca="1" si="25"/>
        <v>-</v>
      </c>
      <c r="I102" s="705" t="str">
        <f ca="1">IF(AND(R102&gt;0,$V$97=1),IF(OR(R102=1,R102=2),HYPERLINK($AH$83,$AM$83),IF(R102&gt;=3,HYPERLINK($AH$82,$AM$82))),IF(AND(Y102&gt;0,$AC$97=1),HYPERLINK($AH$81,$AM$81),""))</f>
        <v/>
      </c>
      <c r="N102" s="403"/>
      <c r="O102" s="405">
        <f t="shared" ca="1" si="26"/>
        <v>0</v>
      </c>
      <c r="P102" s="403"/>
      <c r="Q102" s="413">
        <f ca="1">IF(S102&gt;0,INDIRECT("ТИП2!"&amp;"$P$85"),0)</f>
        <v>0</v>
      </c>
      <c r="R102" s="414">
        <f ca="1">IFERROR(INDIRECT("ТИП2!"&amp;"$AN$85"),0)</f>
        <v>0</v>
      </c>
      <c r="S102" s="414">
        <f ca="1">IFERROR(INDIRECT("ТИП2!"&amp;"$T$85"),0)</f>
        <v>0</v>
      </c>
      <c r="T102" s="414">
        <f ca="1">IFERROR(INDIRECT("ТИП2!"&amp;"$R$85"),0)</f>
        <v>0</v>
      </c>
      <c r="U102" s="414">
        <f ca="1">IFERROR(INDIRECT("ТИП2!"&amp;"$S$85"),0)</f>
        <v>0</v>
      </c>
      <c r="V102" s="414">
        <f ca="1">IFERROR(INDIRECT("ТИП2!"&amp;"$U$85"),0)</f>
        <v>0</v>
      </c>
      <c r="W102" s="414">
        <f ca="1">IFERROR(INDIRECT("ТИП2!"&amp;"$V$85"),0)</f>
        <v>0</v>
      </c>
      <c r="X102" s="413">
        <f ca="1">IF(Z102&gt;0,INDIRECT("ТИП2!"&amp;"$P$137"),0)</f>
        <v>0</v>
      </c>
      <c r="Y102" s="414">
        <f ca="1">IFERROR(INDIRECT("ТИП2!"&amp;"$AN$137"),0)</f>
        <v>0</v>
      </c>
      <c r="Z102" s="414">
        <f ca="1">IFERROR(INDIRECT("ТИП2!"&amp;"$T$137"),0)</f>
        <v>0</v>
      </c>
      <c r="AA102" s="414">
        <f ca="1">IFERROR(INDIRECT("ТИП2!"&amp;"$R$137"),0)</f>
        <v>0</v>
      </c>
      <c r="AB102" s="414">
        <f ca="1">IFERROR(INDIRECT("ТИП2!"&amp;"$S$137"),0)</f>
        <v>0</v>
      </c>
      <c r="AC102" s="414">
        <f ca="1">IFERROR(INDIRECT("ТИП2!"&amp;"$U$137"),0)</f>
        <v>0</v>
      </c>
      <c r="AD102" s="414">
        <f ca="1">IFERROR(INDIRECT("ТИП2!"&amp;"$V$137"),0)</f>
        <v>0</v>
      </c>
      <c r="AE102" s="1517"/>
    </row>
    <row r="103" spans="2:31" s="385" customFormat="1" ht="15.75" hidden="1" customHeight="1">
      <c r="B103" s="1125" t="str">
        <f t="shared" ca="1" si="20"/>
        <v>-</v>
      </c>
      <c r="C103" s="1125"/>
      <c r="D103" s="581" t="str">
        <f t="shared" ca="1" si="21"/>
        <v>-</v>
      </c>
      <c r="E103" s="581" t="str">
        <f t="shared" ca="1" si="22"/>
        <v>-</v>
      </c>
      <c r="F103" s="581" t="str">
        <f t="shared" ca="1" si="23"/>
        <v>-</v>
      </c>
      <c r="G103" s="581" t="str">
        <f t="shared" ca="1" si="24"/>
        <v>-</v>
      </c>
      <c r="H103" s="581" t="str">
        <f t="shared" ca="1" si="25"/>
        <v>-</v>
      </c>
      <c r="I103" s="705" t="str">
        <f ca="1">IF(AND(R103&gt;0,$V$97=1),IF(OR(R103=1,R103=2),HYPERLINK($AH$85,$AM$85),IF(R103&gt;=3,HYPERLINK($AH$86,$AM$86))),IF(AND(Y103&gt;0,$AC$97=1),HYPERLINK($AH$84,$AM$84),""))</f>
        <v/>
      </c>
      <c r="N103" s="403"/>
      <c r="O103" s="405">
        <f t="shared" ca="1" si="26"/>
        <v>0</v>
      </c>
      <c r="P103" s="403"/>
      <c r="Q103" s="421">
        <f ca="1">IF(S103&gt;0,INDIRECT("ТИП2!"&amp;"$P$88"),0)</f>
        <v>0</v>
      </c>
      <c r="R103" s="422">
        <f ca="1">IFERROR(INDIRECT("ТИП2!"&amp;"$AN$88"),0)</f>
        <v>0</v>
      </c>
      <c r="S103" s="422">
        <f ca="1">IFERROR(INDIRECT("ТИП2!"&amp;"$T$88"),0)</f>
        <v>0</v>
      </c>
      <c r="T103" s="422">
        <f ca="1">IFERROR(INDIRECT("ТИП2!"&amp;"$R$88"),0)</f>
        <v>0</v>
      </c>
      <c r="U103" s="422">
        <f ca="1">IFERROR(INDIRECT("ТИП2!"&amp;"$S$88"),0)</f>
        <v>0</v>
      </c>
      <c r="V103" s="422">
        <f ca="1">IFERROR(INDIRECT("ТИП2!"&amp;"$U$88"),0)</f>
        <v>0</v>
      </c>
      <c r="W103" s="422">
        <f ca="1">IFERROR(INDIRECT("ТИП2!"&amp;"$V$88"),0)</f>
        <v>0</v>
      </c>
      <c r="X103" s="421">
        <f ca="1">IF(Z103&gt;0,INDIRECT("ТИП2!"&amp;"$P$141"),0)</f>
        <v>0</v>
      </c>
      <c r="Y103" s="422">
        <f ca="1">IFERROR(INDIRECT("ТИП2!"&amp;"$AN$141"),0)</f>
        <v>0</v>
      </c>
      <c r="Z103" s="422">
        <f ca="1">IFERROR(INDIRECT("ТИП2!"&amp;"$T$141"),0)</f>
        <v>0</v>
      </c>
      <c r="AA103" s="422">
        <f ca="1">IFERROR(INDIRECT("ТИП2!"&amp;"$R$141"),0)</f>
        <v>0</v>
      </c>
      <c r="AB103" s="422">
        <f ca="1">IFERROR(INDIRECT("ТИП2!"&amp;"$S$141"),0)</f>
        <v>0</v>
      </c>
      <c r="AC103" s="422">
        <f ca="1">IFERROR(INDIRECT("ТИП2!"&amp;"$U$141"),0)</f>
        <v>0</v>
      </c>
      <c r="AD103" s="422">
        <f ca="1">IFERROR(INDIRECT("ТИП2!"&amp;"$V$141"),0)</f>
        <v>0</v>
      </c>
      <c r="AE103" s="1515" t="s">
        <v>568</v>
      </c>
    </row>
    <row r="104" spans="2:31" s="385" customFormat="1" ht="15.75" hidden="1" customHeight="1">
      <c r="B104" s="1125" t="str">
        <f t="shared" ca="1" si="20"/>
        <v>-</v>
      </c>
      <c r="C104" s="1125"/>
      <c r="D104" s="581" t="str">
        <f t="shared" ca="1" si="21"/>
        <v>-</v>
      </c>
      <c r="E104" s="581" t="str">
        <f t="shared" ca="1" si="22"/>
        <v>-</v>
      </c>
      <c r="F104" s="581" t="str">
        <f t="shared" ca="1" si="23"/>
        <v>-</v>
      </c>
      <c r="G104" s="581" t="str">
        <f t="shared" ca="1" si="24"/>
        <v>-</v>
      </c>
      <c r="H104" s="581" t="str">
        <f t="shared" ca="1" si="25"/>
        <v>-</v>
      </c>
      <c r="I104" s="705" t="str">
        <f ca="1">IF(AND(R104&gt;0,$V$97=1),IF(OR(R104=1,R104=2),HYPERLINK($AH$85,$AM$85),IF(R104&gt;=3,HYPERLINK($AH$86,$AM$86))),IF(AND(Y104&gt;0,$AC$97=1),HYPERLINK($AH$84,$AM$84),""))</f>
        <v/>
      </c>
      <c r="N104" s="403"/>
      <c r="O104" s="405">
        <f t="shared" ca="1" si="26"/>
        <v>0</v>
      </c>
      <c r="P104" s="403"/>
      <c r="Q104" s="421">
        <f ca="1">IF(S104&gt;0,INDIRECT("ТИП2!"&amp;"$P$89"),0)</f>
        <v>0</v>
      </c>
      <c r="R104" s="422">
        <f ca="1">IFERROR(INDIRECT("ТИП2!"&amp;"$AN$89"),0)</f>
        <v>0</v>
      </c>
      <c r="S104" s="422">
        <f ca="1">IFERROR(INDIRECT("ТИП2!"&amp;"$T$89"),0)</f>
        <v>0</v>
      </c>
      <c r="T104" s="422">
        <f ca="1">IFERROR(INDIRECT("ТИП2!"&amp;"$R$89"),0)</f>
        <v>0</v>
      </c>
      <c r="U104" s="422">
        <f ca="1">IFERROR(INDIRECT("ТИП2!"&amp;"$S$89"),0)</f>
        <v>0</v>
      </c>
      <c r="V104" s="422">
        <f ca="1">IFERROR(INDIRECT("ТИП2!"&amp;"$U$89"),0)</f>
        <v>0</v>
      </c>
      <c r="W104" s="422">
        <f ca="1">IFERROR(INDIRECT("ТИП2!"&amp;"$V$89"),0)</f>
        <v>0</v>
      </c>
      <c r="X104" s="421">
        <f ca="1">IF(Z104&gt;0,INDIRECT("ТИП2!"&amp;"$P$142"),0)</f>
        <v>0</v>
      </c>
      <c r="Y104" s="422">
        <f ca="1">IFERROR(INDIRECT("ТИП2!"&amp;"$AN$142"),0)</f>
        <v>0</v>
      </c>
      <c r="Z104" s="422">
        <f ca="1">IFERROR(INDIRECT("ТИП2!"&amp;"$T$142"),0)</f>
        <v>0</v>
      </c>
      <c r="AA104" s="422">
        <f ca="1">IFERROR(INDIRECT("ТИП2!"&amp;"$R$142"),0)</f>
        <v>0</v>
      </c>
      <c r="AB104" s="422">
        <f ca="1">IFERROR(INDIRECT("ТИП2!"&amp;"$S$142"),0)</f>
        <v>0</v>
      </c>
      <c r="AC104" s="422">
        <f ca="1">IFERROR(INDIRECT("ТИП2!"&amp;"$U$142"),0)</f>
        <v>0</v>
      </c>
      <c r="AD104" s="422">
        <f ca="1">IFERROR(INDIRECT("ТИП2!"&amp;"$V$142"),0)</f>
        <v>0</v>
      </c>
      <c r="AE104" s="1515"/>
    </row>
    <row r="105" spans="2:31" s="385" customFormat="1" ht="15.75" hidden="1" customHeight="1">
      <c r="B105" s="1125" t="str">
        <f t="shared" ca="1" si="20"/>
        <v>-</v>
      </c>
      <c r="C105" s="1125"/>
      <c r="D105" s="581" t="str">
        <f t="shared" ca="1" si="21"/>
        <v>-</v>
      </c>
      <c r="E105" s="581" t="str">
        <f t="shared" ca="1" si="22"/>
        <v>-</v>
      </c>
      <c r="F105" s="581" t="str">
        <f t="shared" ca="1" si="23"/>
        <v>-</v>
      </c>
      <c r="G105" s="581" t="str">
        <f t="shared" ca="1" si="24"/>
        <v>-</v>
      </c>
      <c r="H105" s="581" t="str">
        <f t="shared" ca="1" si="25"/>
        <v>-</v>
      </c>
      <c r="I105" s="705" t="str">
        <f ca="1">IF(AND(R105&gt;0,$V$97=1),IF(OR(R105=1,R105=2),HYPERLINK($AH$85,$AM$85),IF(R105&gt;=3,HYPERLINK($AH$86,$AM$86))),IF(AND(Y105&gt;0,$AC$97=1),HYPERLINK($AH$84,$AM$84),""))</f>
        <v/>
      </c>
      <c r="N105" s="403"/>
      <c r="O105" s="405">
        <f t="shared" ca="1" si="26"/>
        <v>0</v>
      </c>
      <c r="P105" s="403"/>
      <c r="Q105" s="421">
        <f ca="1">IF(S105&gt;0,INDIRECT("ТИП2!"&amp;"$P$90"),0)</f>
        <v>0</v>
      </c>
      <c r="R105" s="422">
        <f ca="1">IFERROR(INDIRECT("ТИП2!"&amp;"$AN$90"),0)</f>
        <v>0</v>
      </c>
      <c r="S105" s="422">
        <f ca="1">IFERROR(INDIRECT("ТИП2!"&amp;"$T$90"),0)</f>
        <v>0</v>
      </c>
      <c r="T105" s="422">
        <f ca="1">IFERROR(INDIRECT("ТИП2!"&amp;"$R$90"),0)</f>
        <v>0</v>
      </c>
      <c r="U105" s="422">
        <f ca="1">IFERROR(INDIRECT("ТИП2!"&amp;"$S$90"),0)</f>
        <v>0</v>
      </c>
      <c r="V105" s="422">
        <f ca="1">IFERROR(INDIRECT("ТИП2!"&amp;"$U$90"),0)</f>
        <v>0</v>
      </c>
      <c r="W105" s="422">
        <f ca="1">IFERROR(INDIRECT("ТИП2!"&amp;"$V$90"),0)</f>
        <v>0</v>
      </c>
      <c r="X105" s="421">
        <f ca="1">IF(Z105&gt;0,INDIRECT("ТИП2!"&amp;"$P$143"),0)</f>
        <v>0</v>
      </c>
      <c r="Y105" s="422">
        <f ca="1">IFERROR(INDIRECT("ТИП2!"&amp;"$AN$143"),0)</f>
        <v>0</v>
      </c>
      <c r="Z105" s="422">
        <f ca="1">IFERROR(INDIRECT("ТИП2!"&amp;"$T$143"),0)</f>
        <v>0</v>
      </c>
      <c r="AA105" s="422">
        <f ca="1">IFERROR(INDIRECT("ТИП2!"&amp;"$R$143"),0)</f>
        <v>0</v>
      </c>
      <c r="AB105" s="422">
        <f ca="1">IFERROR(INDIRECT("ТИП2!"&amp;"$S$143"),0)</f>
        <v>0</v>
      </c>
      <c r="AC105" s="422">
        <f ca="1">IFERROR(INDIRECT("ТИП2!"&amp;"$U$143"),0)</f>
        <v>0</v>
      </c>
      <c r="AD105" s="422">
        <f ca="1">IFERROR(INDIRECT("ТИП2!"&amp;"$V$143"),0)</f>
        <v>0</v>
      </c>
      <c r="AE105" s="1515"/>
    </row>
    <row r="106" spans="2:31" s="385" customFormat="1" ht="15.75" hidden="1" customHeight="1">
      <c r="B106" s="1125" t="str">
        <f t="shared" ca="1" si="20"/>
        <v>-</v>
      </c>
      <c r="C106" s="1125"/>
      <c r="D106" s="581" t="str">
        <f t="shared" ca="1" si="21"/>
        <v>-</v>
      </c>
      <c r="E106" s="581" t="str">
        <f t="shared" ca="1" si="22"/>
        <v>-</v>
      </c>
      <c r="F106" s="581" t="str">
        <f t="shared" ca="1" si="23"/>
        <v>-</v>
      </c>
      <c r="G106" s="581" t="str">
        <f t="shared" ca="1" si="24"/>
        <v>-</v>
      </c>
      <c r="H106" s="581" t="str">
        <f t="shared" ca="1" si="25"/>
        <v>-</v>
      </c>
      <c r="I106" s="705" t="str">
        <f ca="1">IF(AND(R106&gt;0,$V$97=1),IF(OR(R106=1,R106=2),HYPERLINK($AH$85,$AM$85),IF(R106&gt;=3,HYPERLINK($AH$86,$AM$86))),IF(AND(Y106&gt;0,$AC$97=1),HYPERLINK($AH$84,$AM$84),""))</f>
        <v/>
      </c>
      <c r="N106" s="403"/>
      <c r="O106" s="405">
        <f t="shared" ca="1" si="26"/>
        <v>0</v>
      </c>
      <c r="P106" s="403"/>
      <c r="Q106" s="421">
        <f ca="1">IF(S106&gt;0,INDIRECT("ТИП2!"&amp;"$P$91"),0)</f>
        <v>0</v>
      </c>
      <c r="R106" s="422">
        <f ca="1">IFERROR(INDIRECT("ТИП2!"&amp;"$AN$91"),0)</f>
        <v>0</v>
      </c>
      <c r="S106" s="422">
        <f ca="1">IFERROR(INDIRECT("ТИП2!"&amp;"$T$91"),0)</f>
        <v>0</v>
      </c>
      <c r="T106" s="422">
        <f ca="1">IFERROR(INDIRECT("ТИП2!"&amp;"$R$91"),0)</f>
        <v>0</v>
      </c>
      <c r="U106" s="422">
        <f ca="1">IFERROR(INDIRECT("ТИП2!"&amp;"$S$91"),0)</f>
        <v>0</v>
      </c>
      <c r="V106" s="422">
        <f ca="1">IFERROR(INDIRECT("ТИП2!"&amp;"$U$91"),0)</f>
        <v>0</v>
      </c>
      <c r="W106" s="422">
        <f ca="1">IFERROR(INDIRECT("ТИП2!"&amp;"$V$91"),0)</f>
        <v>0</v>
      </c>
      <c r="X106" s="421">
        <f ca="1">IF(Z106&gt;0,INDIRECT("ТИП2!"&amp;"$P$144"),0)</f>
        <v>0</v>
      </c>
      <c r="Y106" s="422">
        <f ca="1">IFERROR(INDIRECT("ТИП2!"&amp;"$AN$144"),0)</f>
        <v>0</v>
      </c>
      <c r="Z106" s="422">
        <f ca="1">IFERROR(INDIRECT("ТИП2!"&amp;"$T$144"),0)</f>
        <v>0</v>
      </c>
      <c r="AA106" s="422">
        <f ca="1">IFERROR(INDIRECT("ТИП2!"&amp;"$R$144"),0)</f>
        <v>0</v>
      </c>
      <c r="AB106" s="422">
        <f ca="1">IFERROR(INDIRECT("ТИП2!"&amp;"$S$144"),0)</f>
        <v>0</v>
      </c>
      <c r="AC106" s="422">
        <f ca="1">IFERROR(INDIRECT("ТИП2!"&amp;"$U$144"),0)</f>
        <v>0</v>
      </c>
      <c r="AD106" s="422">
        <f ca="1">IFERROR(INDIRECT("ТИП2!"&amp;"$V$144"),0)</f>
        <v>0</v>
      </c>
      <c r="AE106" s="1515"/>
    </row>
    <row r="107" spans="2:31" s="385" customFormat="1" ht="15.75" hidden="1" customHeight="1">
      <c r="B107" s="1125" t="str">
        <f t="shared" ca="1" si="20"/>
        <v>-</v>
      </c>
      <c r="C107" s="1125"/>
      <c r="D107" s="581" t="str">
        <f t="shared" ca="1" si="21"/>
        <v>-</v>
      </c>
      <c r="E107" s="581" t="str">
        <f t="shared" ca="1" si="22"/>
        <v>-</v>
      </c>
      <c r="F107" s="581" t="str">
        <f t="shared" ca="1" si="23"/>
        <v>-</v>
      </c>
      <c r="G107" s="581" t="str">
        <f t="shared" ca="1" si="24"/>
        <v>-</v>
      </c>
      <c r="H107" s="581" t="str">
        <f t="shared" ca="1" si="25"/>
        <v>-</v>
      </c>
      <c r="I107" s="705" t="str">
        <f ca="1">IF(AND(R107&gt;0,$V$97=1),IF(OR(R107=1,R107=2),HYPERLINK($AH$85,$AM$85),IF(R107&gt;=3,HYPERLINK($AH$86,$AM$86))),IF(AND(Y107&gt;0,$AC$97=1),HYPERLINK($AH$84,$AM$84),""))</f>
        <v/>
      </c>
      <c r="N107" s="403"/>
      <c r="O107" s="405">
        <f t="shared" ca="1" si="26"/>
        <v>0</v>
      </c>
      <c r="P107" s="403"/>
      <c r="Q107" s="421">
        <f ca="1">IF(S107&gt;0,INDIRECT("ТИП2!"&amp;"$P$92"),0)</f>
        <v>0</v>
      </c>
      <c r="R107" s="422">
        <f ca="1">IFERROR(INDIRECT("ТИП2!"&amp;"$AN$92"),0)</f>
        <v>0</v>
      </c>
      <c r="S107" s="422">
        <f ca="1">IFERROR(INDIRECT("ТИП2!"&amp;"$T$92"),0)</f>
        <v>0</v>
      </c>
      <c r="T107" s="422">
        <f ca="1">IFERROR(INDIRECT("ТИП2!"&amp;"$R$92"),0)</f>
        <v>0</v>
      </c>
      <c r="U107" s="422">
        <f ca="1">IFERROR(INDIRECT("ТИП2!"&amp;"$S$92"),0)</f>
        <v>0</v>
      </c>
      <c r="V107" s="422">
        <f ca="1">IFERROR(INDIRECT("ТИП2!"&amp;"$U$92"),0)</f>
        <v>0</v>
      </c>
      <c r="W107" s="422">
        <f ca="1">IFERROR(INDIRECT("ТИП2!"&amp;"$V$92"),0)</f>
        <v>0</v>
      </c>
      <c r="X107" s="421">
        <f ca="1">IF(Z107&gt;0,INDIRECT("ТИП2!"&amp;"$P$145"),0)</f>
        <v>0</v>
      </c>
      <c r="Y107" s="422">
        <f ca="1">IFERROR(INDIRECT("ТИП2!"&amp;"$AN$145"),0)</f>
        <v>0</v>
      </c>
      <c r="Z107" s="422">
        <f ca="1">IFERROR(INDIRECT("ТИП2!"&amp;"$T$145"),0)</f>
        <v>0</v>
      </c>
      <c r="AA107" s="422">
        <f ca="1">IFERROR(INDIRECT("ТИП2!"&amp;"$R$145"),0)</f>
        <v>0</v>
      </c>
      <c r="AB107" s="422">
        <f ca="1">IFERROR(INDIRECT("ТИП2!"&amp;"$S$145"),0)</f>
        <v>0</v>
      </c>
      <c r="AC107" s="422">
        <f ca="1">IFERROR(INDIRECT("ТИП2!"&amp;"$U$145"),0)</f>
        <v>0</v>
      </c>
      <c r="AD107" s="422">
        <f ca="1">IFERROR(INDIRECT("ТИП2!"&amp;"$V$145"),0)</f>
        <v>0</v>
      </c>
      <c r="AE107" s="1515"/>
    </row>
    <row r="108" spans="2:31" s="385" customFormat="1" ht="15.75" customHeight="1">
      <c r="B108" s="1125">
        <f t="shared" ca="1" si="20"/>
        <v>1</v>
      </c>
      <c r="C108" s="1125"/>
      <c r="D108" s="581">
        <f t="shared" ca="1" si="21"/>
        <v>21</v>
      </c>
      <c r="E108" s="581" t="str">
        <f t="shared" ca="1" si="22"/>
        <v>-</v>
      </c>
      <c r="F108" s="581">
        <f t="shared" ca="1" si="23"/>
        <v>600</v>
      </c>
      <c r="G108" s="581">
        <f t="shared" ca="1" si="24"/>
        <v>500</v>
      </c>
      <c r="H108" s="581">
        <f t="shared" ca="1" si="25"/>
        <v>50</v>
      </c>
      <c r="I108" s="705" t="str">
        <f ca="1">IF(AND(R108&gt;0,$V$97=1),IF(OR(R108=1,R108=2),HYPERLINK($AH$88,$AM$88),IF(R108&gt;=3,HYPERLINK($AH$89,$AM$89))),IF(AND(Y108&gt;0,$AC$97=1),HYPERLINK($AH$87,$AM$87),""))</f>
        <v>Краевая ПВХ с утеплением</v>
      </c>
      <c r="N108" s="403"/>
      <c r="O108" s="405">
        <f t="shared" ca="1" si="26"/>
        <v>1</v>
      </c>
      <c r="P108" s="403"/>
      <c r="Q108" s="419">
        <f ca="1">IF(S108&gt;0,INDIRECT("ТИП2!"&amp;"$Q$95"),0)</f>
        <v>1</v>
      </c>
      <c r="R108" s="420">
        <f ca="1">IFERROR(INDIRECT("ТИП2!"&amp;"$AN$95"),0)</f>
        <v>4</v>
      </c>
      <c r="S108" s="420">
        <f ca="1">IFERROR(INDIRECT("ТИП2!"&amp;"$T$95"),0)</f>
        <v>21</v>
      </c>
      <c r="T108" s="420" t="s">
        <v>6</v>
      </c>
      <c r="U108" s="420">
        <f ca="1">IFERROR(INDIRECT("ТИП2!"&amp;"$S$95"),0)</f>
        <v>600</v>
      </c>
      <c r="V108" s="420">
        <f ca="1">IFERROR(INDIRECT("ТИП2!"&amp;"$U$95"),0)</f>
        <v>500</v>
      </c>
      <c r="W108" s="420">
        <f ca="1">IFERROR(INDIRECT("ТИП2!"&amp;"$V$95"),0)</f>
        <v>50</v>
      </c>
      <c r="X108" s="419">
        <f ca="1">IF(Z108&gt;0,INDIRECT("ТИП2!"&amp;"$Q$149"),0)</f>
        <v>0</v>
      </c>
      <c r="Y108" s="420">
        <f ca="1">IFERROR(INDIRECT("ТИП2!"&amp;"$AN$149"),0)</f>
        <v>0</v>
      </c>
      <c r="Z108" s="420">
        <f ca="1">IFERROR(INDIRECT("ТИП2!"&amp;"$T$149"),0)</f>
        <v>0</v>
      </c>
      <c r="AA108" s="425" t="s">
        <v>6</v>
      </c>
      <c r="AB108" s="420">
        <f ca="1">IFERROR(INDIRECT("ТИП2!"&amp;"$S$149"),0)</f>
        <v>0</v>
      </c>
      <c r="AC108" s="420">
        <f ca="1">IFERROR(INDIRECT("ТИП2!"&amp;"$U$149"),0)</f>
        <v>0</v>
      </c>
      <c r="AD108" s="420">
        <f ca="1">IFERROR(INDIRECT("ТИП2!"&amp;"$V$149"),0)</f>
        <v>0</v>
      </c>
      <c r="AE108" s="1516" t="s">
        <v>569</v>
      </c>
    </row>
    <row r="109" spans="2:31" s="385" customFormat="1" ht="15.75" customHeight="1">
      <c r="B109" s="1125">
        <f t="shared" ca="1" si="20"/>
        <v>2</v>
      </c>
      <c r="C109" s="1125"/>
      <c r="D109" s="581">
        <f t="shared" ca="1" si="21"/>
        <v>45.9</v>
      </c>
      <c r="E109" s="581" t="str">
        <f t="shared" ca="1" si="22"/>
        <v>-</v>
      </c>
      <c r="F109" s="581">
        <f t="shared" ca="1" si="23"/>
        <v>600</v>
      </c>
      <c r="G109" s="581">
        <f t="shared" ca="1" si="24"/>
        <v>500</v>
      </c>
      <c r="H109" s="581">
        <f t="shared" ca="1" si="25"/>
        <v>50</v>
      </c>
      <c r="I109" s="705" t="str">
        <f ca="1">IF(AND(R109&gt;0,$V$97=1),IF(OR(R109=1,R109=2),HYPERLINK($AH$88,$AM$88),IF(R109&gt;=3,HYPERLINK($AH$89,$AM$89))),IF(AND(Y109&gt;0,$AC$97=1),HYPERLINK($AH$87,$AM$87),""))</f>
        <v>Краевая ПВХ с утеплением</v>
      </c>
      <c r="N109" s="403"/>
      <c r="O109" s="405">
        <f t="shared" ca="1" si="26"/>
        <v>1</v>
      </c>
      <c r="P109" s="403"/>
      <c r="Q109" s="419">
        <f ca="1">IF(S109&gt;0,INDIRECT("ТИП2!"&amp;"$Q$96"),0)</f>
        <v>2</v>
      </c>
      <c r="R109" s="420">
        <f ca="1">IFERROR(INDIRECT("ТИП2!"&amp;"$AN$96"),0)</f>
        <v>3</v>
      </c>
      <c r="S109" s="420">
        <f ca="1">IFERROR(INDIRECT("ТИП2!"&amp;"$T$96"),0)</f>
        <v>45.9</v>
      </c>
      <c r="T109" s="420" t="s">
        <v>6</v>
      </c>
      <c r="U109" s="420">
        <f ca="1">IFERROR(INDIRECT("ТИП2!"&amp;"$S$96"),0)</f>
        <v>600</v>
      </c>
      <c r="V109" s="420">
        <f ca="1">IFERROR(INDIRECT("ТИП2!"&amp;"$U$96"),0)</f>
        <v>500</v>
      </c>
      <c r="W109" s="420">
        <f ca="1">IFERROR(INDIRECT("ТИП2!"&amp;"$V$96"),0)</f>
        <v>50</v>
      </c>
      <c r="X109" s="419">
        <f ca="1">IF(Z109&gt;0,INDIRECT("ТИП2!"&amp;"$Q$150"),0)</f>
        <v>0</v>
      </c>
      <c r="Y109" s="420">
        <f ca="1">IFERROR(INDIRECT("ТИП2!"&amp;"$AN$150"),0)</f>
        <v>0</v>
      </c>
      <c r="Z109" s="420">
        <f ca="1">IFERROR(INDIRECT("ТИП2!"&amp;"$T$150"),0)</f>
        <v>0</v>
      </c>
      <c r="AA109" s="425" t="s">
        <v>6</v>
      </c>
      <c r="AB109" s="420">
        <f ca="1">IFERROR(INDIRECT("ТИП2!"&amp;"$S$150"),0)</f>
        <v>0</v>
      </c>
      <c r="AC109" s="420">
        <f ca="1">IFERROR(INDIRECT("ТИП2!"&amp;"$U$150"),0)</f>
        <v>0</v>
      </c>
      <c r="AD109" s="420">
        <f ca="1">IFERROR(INDIRECT("ТИП2!"&amp;"$V$150"),0)</f>
        <v>0</v>
      </c>
      <c r="AE109" s="1516"/>
    </row>
    <row r="110" spans="2:31" s="385" customFormat="1" ht="15.75" customHeight="1">
      <c r="B110" s="1125">
        <f t="shared" ca="1" si="20"/>
        <v>3</v>
      </c>
      <c r="C110" s="1125"/>
      <c r="D110" s="581">
        <f t="shared" ca="1" si="21"/>
        <v>35.1</v>
      </c>
      <c r="E110" s="581" t="str">
        <f t="shared" ca="1" si="22"/>
        <v>-</v>
      </c>
      <c r="F110" s="581">
        <f t="shared" ca="1" si="23"/>
        <v>500</v>
      </c>
      <c r="G110" s="581" t="str">
        <f t="shared" ca="1" si="24"/>
        <v>-</v>
      </c>
      <c r="H110" s="581" t="str">
        <f t="shared" ca="1" si="25"/>
        <v>-</v>
      </c>
      <c r="I110" s="705" t="str">
        <f ca="1">IF(AND(R110&gt;0,$V$97=1),IF(OR(R110=1,R110=2),HYPERLINK($AH$88,$AM$88),IF(R110&gt;=3,HYPERLINK($AH$89,$AM$89))),IF(AND(Y110&gt;0,$AC$97=1),HYPERLINK($AH$87,$AM$87),""))</f>
        <v>Краевая ПВХ</v>
      </c>
      <c r="N110" s="403"/>
      <c r="O110" s="405">
        <f t="shared" ca="1" si="26"/>
        <v>1</v>
      </c>
      <c r="P110" s="403"/>
      <c r="Q110" s="419">
        <f ca="1">IF(S110&gt;0,INDIRECT("ТИП2!"&amp;"$Q$97"),0)</f>
        <v>3</v>
      </c>
      <c r="R110" s="420">
        <f ca="1">IFERROR(INDIRECT("ТИП2!"&amp;"$AN$97"),0)</f>
        <v>1</v>
      </c>
      <c r="S110" s="420">
        <f ca="1">IFERROR(INDIRECT("ТИП2!"&amp;"$T$97"),0)</f>
        <v>35.1</v>
      </c>
      <c r="T110" s="420" t="s">
        <v>6</v>
      </c>
      <c r="U110" s="420">
        <f ca="1">IFERROR(INDIRECT("ТИП2!"&amp;"$S$97"),0)</f>
        <v>500</v>
      </c>
      <c r="V110" s="420">
        <f ca="1">IFERROR(INDIRECT("ТИП2!"&amp;"$U$97"),0)</f>
        <v>0</v>
      </c>
      <c r="W110" s="420">
        <f ca="1">IFERROR(INDIRECT("ТИП2!"&amp;"$V$97"),0)</f>
        <v>0</v>
      </c>
      <c r="X110" s="419">
        <f ca="1">IF(Z110&gt;0,INDIRECT("ТИП2!"&amp;"$Q$151"),0)</f>
        <v>0</v>
      </c>
      <c r="Y110" s="420">
        <f ca="1">IFERROR(INDIRECT("ТИП2!"&amp;"$AN$151"),0)</f>
        <v>0</v>
      </c>
      <c r="Z110" s="420">
        <f ca="1">IFERROR(INDIRECT("ТИП2!"&amp;"$T$151"),0)</f>
        <v>0</v>
      </c>
      <c r="AA110" s="425" t="s">
        <v>6</v>
      </c>
      <c r="AB110" s="420">
        <f ca="1">IFERROR(INDIRECT("ТИП2!"&amp;"$S$151"),0)</f>
        <v>0</v>
      </c>
      <c r="AC110" s="420">
        <f ca="1">IFERROR(INDIRECT("ТИП2!"&amp;"$U$151"),0)</f>
        <v>0</v>
      </c>
      <c r="AD110" s="420">
        <f ca="1">IFERROR(INDIRECT("ТИП2!"&amp;"$V$151"),0)</f>
        <v>0</v>
      </c>
      <c r="AE110" s="1516"/>
    </row>
    <row r="111" spans="2:31" s="385" customFormat="1" ht="15.75" hidden="1" customHeight="1">
      <c r="B111" s="1125" t="str">
        <f t="shared" ca="1" si="20"/>
        <v>-</v>
      </c>
      <c r="C111" s="1125"/>
      <c r="D111" s="581" t="str">
        <f t="shared" ca="1" si="21"/>
        <v>-</v>
      </c>
      <c r="E111" s="581" t="str">
        <f t="shared" ca="1" si="22"/>
        <v>-</v>
      </c>
      <c r="F111" s="581" t="str">
        <f t="shared" ca="1" si="23"/>
        <v>-</v>
      </c>
      <c r="G111" s="581" t="str">
        <f t="shared" ca="1" si="24"/>
        <v>-</v>
      </c>
      <c r="H111" s="581" t="str">
        <f t="shared" ca="1" si="25"/>
        <v>-</v>
      </c>
      <c r="I111" s="705" t="str">
        <f ca="1">IF(AND(R111&gt;0,$V$97=1),IF(OR(R111=1,R111=2),HYPERLINK($AH$88,$AM$88),IF(R111&gt;=3,HYPERLINK($AH$89,$AM$89))),IF(AND(Y111&gt;0,$AC$97=1),HYPERLINK($AH$87,$AM$87),""))</f>
        <v/>
      </c>
      <c r="N111" s="403"/>
      <c r="O111" s="405">
        <f t="shared" ca="1" si="26"/>
        <v>0</v>
      </c>
      <c r="P111" s="403"/>
      <c r="Q111" s="419">
        <f ca="1">IF(S111&gt;0,INDIRECT("ТИП2!"&amp;"$Q$98"),0)</f>
        <v>0</v>
      </c>
      <c r="R111" s="420">
        <f ca="1">IFERROR(INDIRECT("ТИП2!"&amp;"$AN$98"),0)</f>
        <v>0</v>
      </c>
      <c r="S111" s="420">
        <f ca="1">IFERROR(INDIRECT("ТИП2!"&amp;"$T$98"),0)</f>
        <v>0</v>
      </c>
      <c r="T111" s="420" t="s">
        <v>6</v>
      </c>
      <c r="U111" s="420">
        <f ca="1">IFERROR(INDIRECT("ТИП2!"&amp;"$S$98"),0)</f>
        <v>0</v>
      </c>
      <c r="V111" s="420">
        <f ca="1">IFERROR(INDIRECT("ТИП2!"&amp;"$U$98"),0)</f>
        <v>0</v>
      </c>
      <c r="W111" s="420">
        <f ca="1">IFERROR(INDIRECT("ТИП2!"&amp;"$V$98"),0)</f>
        <v>0</v>
      </c>
      <c r="X111" s="419">
        <f ca="1">IF(Z111&gt;0,INDIRECT("ТИП2!"&amp;"$Q$152"),0)</f>
        <v>0</v>
      </c>
      <c r="Y111" s="420">
        <f ca="1">IFERROR(INDIRECT("ТИП2!"&amp;"$AN$152"),0)</f>
        <v>0</v>
      </c>
      <c r="Z111" s="420">
        <f ca="1">IFERROR(INDIRECT("ТИП2!"&amp;"$T$152"),0)</f>
        <v>0</v>
      </c>
      <c r="AA111" s="425" t="s">
        <v>6</v>
      </c>
      <c r="AB111" s="420">
        <f ca="1">IFERROR(INDIRECT("ТИП2!"&amp;"$S$152"),0)</f>
        <v>0</v>
      </c>
      <c r="AC111" s="420">
        <f ca="1">IFERROR(INDIRECT("ТИП2!"&amp;"$U$152"),0)</f>
        <v>0</v>
      </c>
      <c r="AD111" s="420">
        <f ca="1">IFERROR(INDIRECT("ТИП2!"&amp;"$V$152"),0)</f>
        <v>0</v>
      </c>
      <c r="AE111" s="1516"/>
    </row>
    <row r="112" spans="2:31" s="385" customFormat="1" ht="15.75" customHeight="1">
      <c r="B112" s="1125">
        <f t="shared" ca="1" si="20"/>
        <v>1</v>
      </c>
      <c r="C112" s="1125"/>
      <c r="D112" s="581">
        <f t="shared" ca="1" si="21"/>
        <v>304</v>
      </c>
      <c r="E112" s="581" t="str">
        <f t="shared" ca="1" si="22"/>
        <v>-</v>
      </c>
      <c r="F112" s="581" t="str">
        <f t="shared" ca="1" si="23"/>
        <v>-</v>
      </c>
      <c r="G112" s="581" t="str">
        <f t="shared" ca="1" si="24"/>
        <v>-</v>
      </c>
      <c r="H112" s="581" t="str">
        <f t="shared" ca="1" si="25"/>
        <v>-</v>
      </c>
      <c r="I112" s="705" t="str">
        <f ca="1">IF(AND(R112&gt;0,$V$97=1),HYPERLINK($AH$91,$AM$91),IF(AND(Z112&gt;0,$AC$97=1),HYPERLINK($AH$90,$AM$90),""))</f>
        <v>Открытый ПВХ</v>
      </c>
      <c r="N112" s="403"/>
      <c r="O112" s="405">
        <f t="shared" ca="1" si="26"/>
        <v>1</v>
      </c>
      <c r="P112" s="403"/>
      <c r="Q112" s="423">
        <f ca="1">IF(S112&gt;0,(INDIRECT("ТИП2!"&amp;"$Q$101")),0)</f>
        <v>1</v>
      </c>
      <c r="R112" s="424">
        <f ca="1">IFERROR(INDIRECT("ТИП2!"&amp;"$AN$101"),0)</f>
        <v>1</v>
      </c>
      <c r="S112" s="424">
        <f ca="1">IFERROR(INDIRECT("ТИП2!"&amp;"$S$101"),0)</f>
        <v>304</v>
      </c>
      <c r="T112" s="424" t="s">
        <v>6</v>
      </c>
      <c r="U112" s="424" t="s">
        <v>6</v>
      </c>
      <c r="V112" s="424" t="s">
        <v>6</v>
      </c>
      <c r="W112" s="424" t="s">
        <v>6</v>
      </c>
      <c r="X112" s="423">
        <f ca="1">IF(Z112&gt;0,INDIRECT("ТИП2!"&amp;"$R$156"),0)</f>
        <v>0</v>
      </c>
      <c r="Y112" s="424" t="s">
        <v>6</v>
      </c>
      <c r="Z112" s="424">
        <f ca="1">IFERROR(INDIRECT("ТИП2!"&amp;"$T$156"),0)</f>
        <v>0</v>
      </c>
      <c r="AA112" s="411" t="s">
        <v>6</v>
      </c>
      <c r="AB112" s="411" t="s">
        <v>6</v>
      </c>
      <c r="AC112" s="411" t="s">
        <v>6</v>
      </c>
      <c r="AD112" s="411" t="s">
        <v>6</v>
      </c>
      <c r="AE112" s="411" t="s">
        <v>570</v>
      </c>
    </row>
    <row r="113" spans="2:31" s="385" customFormat="1" ht="15.75" hidden="1" customHeight="1">
      <c r="B113" s="1125" t="str">
        <f t="shared" ca="1" si="20"/>
        <v>-</v>
      </c>
      <c r="C113" s="1125"/>
      <c r="D113" s="581" t="str">
        <f t="shared" ca="1" si="21"/>
        <v>-</v>
      </c>
      <c r="E113" s="581" t="str">
        <f t="shared" ca="1" si="22"/>
        <v>-</v>
      </c>
      <c r="F113" s="581" t="str">
        <f t="shared" ca="1" si="23"/>
        <v>-</v>
      </c>
      <c r="G113" s="581" t="str">
        <f t="shared" ca="1" si="24"/>
        <v>-</v>
      </c>
      <c r="H113" s="581" t="str">
        <f t="shared" ca="1" si="25"/>
        <v>-</v>
      </c>
      <c r="I113" s="581" t="s">
        <v>6</v>
      </c>
      <c r="N113" s="403"/>
      <c r="O113" s="405">
        <f t="shared" ca="1" si="26"/>
        <v>0</v>
      </c>
      <c r="P113" s="403"/>
      <c r="Q113" s="417">
        <f ca="1">IF(S113&gt;0,INDIRECT("ТИП2!"&amp;"$P$124"),0)</f>
        <v>0</v>
      </c>
      <c r="R113" s="418" t="s">
        <v>6</v>
      </c>
      <c r="S113" s="418">
        <f ca="1">IFERROR(INDIRECT("ТИП2!"&amp;"$S$125"),0)</f>
        <v>0</v>
      </c>
      <c r="T113" s="418" t="s">
        <v>6</v>
      </c>
      <c r="U113" s="418" t="s">
        <v>6</v>
      </c>
      <c r="V113" s="418" t="s">
        <v>6</v>
      </c>
      <c r="W113" s="418" t="s">
        <v>6</v>
      </c>
      <c r="X113" s="417">
        <f ca="1">IF(Z113&gt;0,INDIRECT("ТИП2!"&amp;"$P$160"),0)</f>
        <v>0</v>
      </c>
      <c r="Y113" s="418" t="s">
        <v>6</v>
      </c>
      <c r="Z113" s="418">
        <f ca="1">IFERROR(INDIRECT("ТИП2!"&amp;"$S$161"),0)</f>
        <v>0</v>
      </c>
      <c r="AA113" s="418" t="s">
        <v>6</v>
      </c>
      <c r="AB113" s="418" t="s">
        <v>6</v>
      </c>
      <c r="AC113" s="418" t="s">
        <v>6</v>
      </c>
      <c r="AD113" s="418" t="s">
        <v>6</v>
      </c>
      <c r="AE113" s="412" t="s">
        <v>571</v>
      </c>
    </row>
    <row r="114" spans="2:31" s="385" customFormat="1" ht="15.75" hidden="1" customHeight="1">
      <c r="B114" s="1518" t="s">
        <v>496</v>
      </c>
      <c r="C114" s="1518"/>
      <c r="D114" s="1518"/>
      <c r="E114" s="1518"/>
      <c r="F114" s="1518"/>
      <c r="G114" s="1518"/>
      <c r="H114" s="1518"/>
      <c r="I114" s="1518"/>
      <c r="N114" s="403"/>
      <c r="O114" s="405">
        <f ca="1">IF(SUM(O116:O131)&gt;0,1,0)</f>
        <v>0</v>
      </c>
      <c r="P114" s="403"/>
      <c r="Q114" s="1488" t="s">
        <v>527</v>
      </c>
      <c r="R114" s="1489"/>
      <c r="S114" s="1489"/>
      <c r="T114" s="1489"/>
      <c r="U114" s="1489"/>
      <c r="V114" s="432" t="str">
        <f ca="1">INDIRECT("ТИП3!"&amp;"$Z$4")</f>
        <v>-</v>
      </c>
      <c r="W114" s="431" t="str">
        <f ca="1">IF(INDIRECT("ТИП3!"&amp;"$Z$4")=1,"●","")</f>
        <v/>
      </c>
      <c r="X114" s="1490" t="s">
        <v>528</v>
      </c>
      <c r="Y114" s="1491"/>
      <c r="Z114" s="1491"/>
      <c r="AA114" s="1491"/>
      <c r="AB114" s="1491"/>
      <c r="AC114" s="433" t="str">
        <f ca="1">INDIRECT("ТИП3!"&amp;"$Z$3")</f>
        <v>-</v>
      </c>
      <c r="AD114" s="434" t="str">
        <f ca="1">IF(INDIRECT("ТИП3!"&amp;"$Z$3")=1,"●","")</f>
        <v/>
      </c>
    </row>
    <row r="115" spans="2:31" s="385" customFormat="1" ht="15.75" hidden="1" customHeight="1">
      <c r="B115" s="1125" t="str">
        <f t="shared" ref="B115:B130" ca="1" si="27">IF(AND($V$114=1,Q115&gt;0),Q115,IF(AND($AC$114=1,X115&gt;0),X115,"-"))</f>
        <v>-</v>
      </c>
      <c r="C115" s="1125"/>
      <c r="D115" s="581" t="str">
        <f t="shared" ref="D115:D130" ca="1" si="28">IF(AND($V$114=1,S115&gt;0),S115,IF(AND($AC$114=1,Z115&gt;0),Z115,"-"))</f>
        <v>-</v>
      </c>
      <c r="E115" s="581" t="str">
        <f t="shared" ref="E115:E130" ca="1" si="29">IF(AND($V$114=1,T115&gt;0),T115,IF(AND($AC$114=1,AA115&gt;0),AA115,"-"))</f>
        <v>-</v>
      </c>
      <c r="F115" s="581" t="str">
        <f t="shared" ref="F115:F130" ca="1" si="30">IF(AND($V$114=1,U115&gt;0),U115,IF(AND($AC$114=1,AB115&gt;0),AB115,"-"))</f>
        <v>-</v>
      </c>
      <c r="G115" s="581" t="str">
        <f t="shared" ref="G115:G130" ca="1" si="31">IF(AND($V$114=1,V115&gt;0),V115,IF(AND($AC$114=1,AC115&gt;0),AC115,"-"))</f>
        <v>-</v>
      </c>
      <c r="H115" s="581" t="str">
        <f t="shared" ref="H115:H130" ca="1" si="32">IF(AND($V$114=1,W115&gt;0),W115,IF(AND($AC$114=1,AD115&gt;0),AD115,"-"))</f>
        <v>-</v>
      </c>
      <c r="I115" s="706" t="str">
        <f ca="1">IF(AND(R115&gt;0,$V$114=1),IF(OR(R115=1,R115=2),HYPERLINK($AH$83,$AM$83),IF(R115&gt;=3,HYPERLINK($AH$82,$AM$82))),IF(AND(Y115&gt;0,$AC$114=1),HYPERLINK($AH$81,$AM$81),""))</f>
        <v/>
      </c>
      <c r="N115" s="403"/>
      <c r="O115" s="405">
        <f t="shared" ca="1" si="26"/>
        <v>0</v>
      </c>
      <c r="P115" s="403"/>
      <c r="Q115" s="413">
        <f ca="1">IF(S115&gt;0,INDIRECT("ТИП3!"&amp;"$P$81"),0)</f>
        <v>0</v>
      </c>
      <c r="R115" s="414">
        <f ca="1">IFERROR(INDIRECT("ТИП3!"&amp;"$AN$81"),0)</f>
        <v>0</v>
      </c>
      <c r="S115" s="414">
        <f ca="1">IFERROR(INDIRECT("ТИП3!"&amp;"$T$81"),0)</f>
        <v>0</v>
      </c>
      <c r="T115" s="414">
        <f ca="1">IFERROR(INDIRECT("ТИП3!"&amp;"$R$81"),0)</f>
        <v>0</v>
      </c>
      <c r="U115" s="414">
        <f ca="1">IFERROR(INDIRECT("ТИП3!"&amp;"$S$81"),0)</f>
        <v>0</v>
      </c>
      <c r="V115" s="414">
        <f ca="1">IFERROR(INDIRECT("ТИП3!"&amp;"$U$81"),0)</f>
        <v>0</v>
      </c>
      <c r="W115" s="414">
        <f ca="1">IFERROR(INDIRECT("ТИП3!"&amp;"$V$81"),0)</f>
        <v>0</v>
      </c>
      <c r="X115" s="415">
        <f ca="1">IF(Z115&gt;0,INDIRECT("ТИП3!"&amp;"$P$133"),0)</f>
        <v>0</v>
      </c>
      <c r="Y115" s="414">
        <f ca="1">IFERROR(INDIRECT("ТИП3!"&amp;"$AN$133"),0)</f>
        <v>0</v>
      </c>
      <c r="Z115" s="416">
        <f ca="1">IFERROR(INDIRECT("ТИП3!"&amp;"$T$133"),0)</f>
        <v>0</v>
      </c>
      <c r="AA115" s="414">
        <f ca="1">IFERROR(INDIRECT("ТИП3!"&amp;"$R$133"),0)</f>
        <v>0</v>
      </c>
      <c r="AB115" s="414">
        <f ca="1">IFERROR(INDIRECT("ТИП3!"&amp;"$S$133"),0)</f>
        <v>0</v>
      </c>
      <c r="AC115" s="414">
        <f ca="1">IFERROR(INDIRECT("ТИП3!"&amp;"$U$133"),0)</f>
        <v>0</v>
      </c>
      <c r="AD115" s="414">
        <f ca="1">IFERROR(INDIRECT("ТИП3!"&amp;"$V$133"),0)</f>
        <v>0</v>
      </c>
      <c r="AE115" s="1517" t="s">
        <v>567</v>
      </c>
    </row>
    <row r="116" spans="2:31" s="385" customFormat="1" ht="15.75" hidden="1" customHeight="1">
      <c r="B116" s="1125" t="str">
        <f t="shared" ca="1" si="27"/>
        <v>-</v>
      </c>
      <c r="C116" s="1125"/>
      <c r="D116" s="581" t="str">
        <f t="shared" ca="1" si="28"/>
        <v>-</v>
      </c>
      <c r="E116" s="581" t="str">
        <f t="shared" ca="1" si="29"/>
        <v>-</v>
      </c>
      <c r="F116" s="581" t="str">
        <f t="shared" ca="1" si="30"/>
        <v>-</v>
      </c>
      <c r="G116" s="581" t="str">
        <f t="shared" ca="1" si="31"/>
        <v>-</v>
      </c>
      <c r="H116" s="581" t="str">
        <f t="shared" ca="1" si="32"/>
        <v>-</v>
      </c>
      <c r="I116" s="706" t="str">
        <f ca="1">IF(AND(R116&gt;0,$V$114=1),IF(OR(R116=1,R116=2),HYPERLINK($AH$83,$AM$83),IF(R116&gt;=3,HYPERLINK($AH$82,$AM$82))),IF(AND(Y116&gt;0,$AC$114=1),HYPERLINK($AH$81,$AM$81),""))</f>
        <v/>
      </c>
      <c r="N116" s="403"/>
      <c r="O116" s="405">
        <f t="shared" ca="1" si="26"/>
        <v>0</v>
      </c>
      <c r="P116" s="403"/>
      <c r="Q116" s="413">
        <f ca="1">IF(S116&gt;0,INDIRECT("ТИП3!"&amp;"$P$82"),0)</f>
        <v>0</v>
      </c>
      <c r="R116" s="414">
        <f ca="1">IFERROR(INDIRECT("ТИП3!"&amp;"$AN$82"),0)</f>
        <v>0</v>
      </c>
      <c r="S116" s="414">
        <f ca="1">IFERROR(INDIRECT("ТИП3!"&amp;"$T$82"),0)</f>
        <v>0</v>
      </c>
      <c r="T116" s="414">
        <f ca="1">IFERROR(INDIRECT("ТИП3!"&amp;"$R$82"),0)</f>
        <v>0</v>
      </c>
      <c r="U116" s="414">
        <f ca="1">IFERROR(INDIRECT("ТИП3!"&amp;"$S$82"),0)</f>
        <v>0</v>
      </c>
      <c r="V116" s="414">
        <f ca="1">IFERROR(INDIRECT("ТИП3!"&amp;"$U$82"),0)</f>
        <v>0</v>
      </c>
      <c r="W116" s="414">
        <f ca="1">IFERROR(INDIRECT("ТИП3!"&amp;"$V$82"),0)</f>
        <v>0</v>
      </c>
      <c r="X116" s="413">
        <f ca="1">IF(Z116&gt;0,INDIRECT("ТИП3!"&amp;"$P$134"),0)</f>
        <v>0</v>
      </c>
      <c r="Y116" s="414">
        <f ca="1">IFERROR(INDIRECT("ТИП3!"&amp;"$AN$134"),0)</f>
        <v>0</v>
      </c>
      <c r="Z116" s="414">
        <f ca="1">IFERROR(INDIRECT("ТИП3!"&amp;"$T$134"),0)</f>
        <v>0</v>
      </c>
      <c r="AA116" s="414">
        <f ca="1">IFERROR(INDIRECT("ТИП3!"&amp;"$R$134"),0)</f>
        <v>0</v>
      </c>
      <c r="AB116" s="414">
        <f ca="1">IFERROR(INDIRECT("ТИП3!"&amp;"$S$134"),0)</f>
        <v>0</v>
      </c>
      <c r="AC116" s="414">
        <f ca="1">IFERROR(INDIRECT("ТИП3!"&amp;"$U$134"),0)</f>
        <v>0</v>
      </c>
      <c r="AD116" s="414">
        <f ca="1">IFERROR(INDIRECT("ТИП3!"&amp;"$V$134"),0)</f>
        <v>0</v>
      </c>
      <c r="AE116" s="1517"/>
    </row>
    <row r="117" spans="2:31" s="385" customFormat="1" ht="15.75" hidden="1" customHeight="1">
      <c r="B117" s="1125" t="str">
        <f t="shared" ca="1" si="27"/>
        <v>-</v>
      </c>
      <c r="C117" s="1125"/>
      <c r="D117" s="581" t="str">
        <f t="shared" ca="1" si="28"/>
        <v>-</v>
      </c>
      <c r="E117" s="581" t="str">
        <f t="shared" ca="1" si="29"/>
        <v>-</v>
      </c>
      <c r="F117" s="581" t="str">
        <f t="shared" ca="1" si="30"/>
        <v>-</v>
      </c>
      <c r="G117" s="581" t="str">
        <f t="shared" ca="1" si="31"/>
        <v>-</v>
      </c>
      <c r="H117" s="581" t="str">
        <f t="shared" ca="1" si="32"/>
        <v>-</v>
      </c>
      <c r="I117" s="706" t="str">
        <f ca="1">IF(AND(R117&gt;0,$V$114=1),IF(OR(R117=1,R117=2),HYPERLINK($AH$83,$AM$83),IF(R117&gt;=3,HYPERLINK($AH$82,$AM$82))),IF(AND(Y117&gt;0,$AC$114=1),HYPERLINK($AH$81,$AM$81),""))</f>
        <v/>
      </c>
      <c r="N117" s="403"/>
      <c r="O117" s="405">
        <f t="shared" ca="1" si="26"/>
        <v>0</v>
      </c>
      <c r="P117" s="403"/>
      <c r="Q117" s="413">
        <f ca="1">IF(S117&gt;0,INDIRECT("ТИП3!"&amp;"$P$83"),0)</f>
        <v>0</v>
      </c>
      <c r="R117" s="414">
        <f ca="1">IFERROR(INDIRECT("ТИП3!"&amp;"$AN$83"),0)</f>
        <v>0</v>
      </c>
      <c r="S117" s="414">
        <f ca="1">IFERROR(INDIRECT("ТИП3!"&amp;"$T$83"),0)</f>
        <v>0</v>
      </c>
      <c r="T117" s="414">
        <f ca="1">IFERROR(INDIRECT("ТИП3!"&amp;"$R$83"),0)</f>
        <v>0</v>
      </c>
      <c r="U117" s="414">
        <f ca="1">IFERROR(INDIRECT("ТИП3!"&amp;"$S$83"),0)</f>
        <v>0</v>
      </c>
      <c r="V117" s="414">
        <f ca="1">IFERROR(INDIRECT("ТИП3!"&amp;"$U$83"),0)</f>
        <v>0</v>
      </c>
      <c r="W117" s="414">
        <f ca="1">IFERROR(INDIRECT("ТИП3!"&amp;"$V$83"),0)</f>
        <v>0</v>
      </c>
      <c r="X117" s="413">
        <f ca="1">IF(Z117&gt;0,INDIRECT("ТИП3!"&amp;"$P$135"),0)</f>
        <v>0</v>
      </c>
      <c r="Y117" s="414">
        <f ca="1">IFERROR(INDIRECT("ТИП3!"&amp;"$AN$135"),0)</f>
        <v>0</v>
      </c>
      <c r="Z117" s="414">
        <f ca="1">IFERROR(INDIRECT("ТИП3!"&amp;"$T$135"),0)</f>
        <v>0</v>
      </c>
      <c r="AA117" s="414">
        <f ca="1">IFERROR(INDIRECT("ТИП3!"&amp;"$R$135"),0)</f>
        <v>0</v>
      </c>
      <c r="AB117" s="414">
        <f ca="1">IFERROR(INDIRECT("ТИП3!"&amp;"$S$135"),0)</f>
        <v>0</v>
      </c>
      <c r="AC117" s="414">
        <f ca="1">IFERROR(INDIRECT("ТИП3!"&amp;"$U$135"),0)</f>
        <v>0</v>
      </c>
      <c r="AD117" s="414">
        <f ca="1">IFERROR(INDIRECT("ТИП3!"&amp;"$V$135"),0)</f>
        <v>0</v>
      </c>
      <c r="AE117" s="1517"/>
    </row>
    <row r="118" spans="2:31" s="385" customFormat="1" ht="15.75" hidden="1" customHeight="1">
      <c r="B118" s="1125" t="str">
        <f t="shared" ca="1" si="27"/>
        <v>-</v>
      </c>
      <c r="C118" s="1125"/>
      <c r="D118" s="581" t="str">
        <f t="shared" ca="1" si="28"/>
        <v>-</v>
      </c>
      <c r="E118" s="581" t="str">
        <f t="shared" ca="1" si="29"/>
        <v>-</v>
      </c>
      <c r="F118" s="581" t="str">
        <f t="shared" ca="1" si="30"/>
        <v>-</v>
      </c>
      <c r="G118" s="581" t="str">
        <f t="shared" ca="1" si="31"/>
        <v>-</v>
      </c>
      <c r="H118" s="581" t="str">
        <f t="shared" ca="1" si="32"/>
        <v>-</v>
      </c>
      <c r="I118" s="706" t="str">
        <f ca="1">IF(AND(R118&gt;0,$V$114=1),IF(OR(R118=1,R118=2),HYPERLINK($AH$83,$AM$83),IF(R118&gt;=3,HYPERLINK($AH$82,$AM$82))),IF(AND(Y118&gt;0,$AC$114=1),HYPERLINK($AH$81,$AM$81),""))</f>
        <v/>
      </c>
      <c r="N118" s="403"/>
      <c r="O118" s="405">
        <f t="shared" ca="1" si="26"/>
        <v>0</v>
      </c>
      <c r="P118" s="403"/>
      <c r="Q118" s="413">
        <f ca="1">IF(S118&gt;0,INDIRECT("ТИП3!"&amp;"$P$84"),0)</f>
        <v>0</v>
      </c>
      <c r="R118" s="414">
        <f ca="1">IFERROR(INDIRECT("ТИП3!"&amp;"$AN$84"),0)</f>
        <v>0</v>
      </c>
      <c r="S118" s="414">
        <f ca="1">IFERROR(INDIRECT("ТИП3!"&amp;"$T$84"),0)</f>
        <v>0</v>
      </c>
      <c r="T118" s="414">
        <f ca="1">IFERROR(INDIRECT("ТИП3!"&amp;"$R$84"),0)</f>
        <v>0</v>
      </c>
      <c r="U118" s="414">
        <f ca="1">IFERROR(INDIRECT("ТИП3!"&amp;"$S$84"),0)</f>
        <v>0</v>
      </c>
      <c r="V118" s="414">
        <f ca="1">IFERROR(INDIRECT("ТИП3!"&amp;"$U$84"),0)</f>
        <v>0</v>
      </c>
      <c r="W118" s="414">
        <f ca="1">IFERROR(INDIRECT("ТИП3!"&amp;"$V$84"),0)</f>
        <v>0</v>
      </c>
      <c r="X118" s="413">
        <f ca="1">IF(Z118&gt;0,INDIRECT("ТИП3!"&amp;"$P$136"),0)</f>
        <v>0</v>
      </c>
      <c r="Y118" s="414">
        <f ca="1">IFERROR(INDIRECT("ТИП3!"&amp;"$AN$136"),0)</f>
        <v>0</v>
      </c>
      <c r="Z118" s="414">
        <f ca="1">IFERROR(INDIRECT("ТИП3!"&amp;"$T$136"),0)</f>
        <v>0</v>
      </c>
      <c r="AA118" s="414">
        <f ca="1">IFERROR(INDIRECT("ТИП3!"&amp;"$R$136"),0)</f>
        <v>0</v>
      </c>
      <c r="AB118" s="414">
        <f ca="1">IFERROR(INDIRECT("ТИП3!"&amp;"$S$136"),0)</f>
        <v>0</v>
      </c>
      <c r="AC118" s="414">
        <f ca="1">IFERROR(INDIRECT("ТИП3!"&amp;"$U$136"),0)</f>
        <v>0</v>
      </c>
      <c r="AD118" s="414">
        <f ca="1">IFERROR(INDIRECT("ТИП3!"&amp;"$V$136"),0)</f>
        <v>0</v>
      </c>
      <c r="AE118" s="1517"/>
    </row>
    <row r="119" spans="2:31" s="385" customFormat="1" ht="15.75" hidden="1" customHeight="1">
      <c r="B119" s="1125" t="str">
        <f t="shared" ca="1" si="27"/>
        <v>-</v>
      </c>
      <c r="C119" s="1125"/>
      <c r="D119" s="581" t="str">
        <f t="shared" ca="1" si="28"/>
        <v>-</v>
      </c>
      <c r="E119" s="581" t="str">
        <f t="shared" ca="1" si="29"/>
        <v>-</v>
      </c>
      <c r="F119" s="581" t="str">
        <f t="shared" ca="1" si="30"/>
        <v>-</v>
      </c>
      <c r="G119" s="581" t="str">
        <f t="shared" ca="1" si="31"/>
        <v>-</v>
      </c>
      <c r="H119" s="581" t="str">
        <f t="shared" ca="1" si="32"/>
        <v>-</v>
      </c>
      <c r="I119" s="706" t="str">
        <f ca="1">IF(AND(R119&gt;0,$V$114=1),IF(OR(R119=1,R119=2),HYPERLINK($AH$83,$AM$83),IF(R119&gt;=3,HYPERLINK($AH$82,$AM$82))),IF(AND(Y119&gt;0,$AC$114=1),HYPERLINK($AH$81,$AM$81),""))</f>
        <v/>
      </c>
      <c r="N119" s="403"/>
      <c r="O119" s="405">
        <f t="shared" ca="1" si="26"/>
        <v>0</v>
      </c>
      <c r="P119" s="403"/>
      <c r="Q119" s="413">
        <f ca="1">IF(S119&gt;0,INDIRECT("ТИП3!"&amp;"$P$85"),0)</f>
        <v>0</v>
      </c>
      <c r="R119" s="414">
        <f ca="1">IFERROR(INDIRECT("ТИП3!"&amp;"$AN$85"),0)</f>
        <v>0</v>
      </c>
      <c r="S119" s="414">
        <f ca="1">IFERROR(INDIRECT("ТИП3!"&amp;"$T$85"),0)</f>
        <v>0</v>
      </c>
      <c r="T119" s="414">
        <f ca="1">IFERROR(INDIRECT("ТИП3!"&amp;"$R$85"),0)</f>
        <v>0</v>
      </c>
      <c r="U119" s="414">
        <f ca="1">IFERROR(INDIRECT("ТИП3!"&amp;"$S$85"),0)</f>
        <v>0</v>
      </c>
      <c r="V119" s="414">
        <f ca="1">IFERROR(INDIRECT("ТИП3!"&amp;"$U$85"),0)</f>
        <v>0</v>
      </c>
      <c r="W119" s="414">
        <f ca="1">IFERROR(INDIRECT("ТИП3!"&amp;"$V$85"),0)</f>
        <v>0</v>
      </c>
      <c r="X119" s="413">
        <f ca="1">IF(Z119&gt;0,INDIRECT("ТИП3!"&amp;"$P$137"),0)</f>
        <v>0</v>
      </c>
      <c r="Y119" s="414">
        <f ca="1">IFERROR(INDIRECT("ТИП3!"&amp;"$AN$137"),0)</f>
        <v>0</v>
      </c>
      <c r="Z119" s="414">
        <f ca="1">IFERROR(INDIRECT("ТИП3!"&amp;"$T$137"),0)</f>
        <v>0</v>
      </c>
      <c r="AA119" s="414">
        <f ca="1">IFERROR(INDIRECT("ТИП3!"&amp;"$R$137"),0)</f>
        <v>0</v>
      </c>
      <c r="AB119" s="414">
        <f ca="1">IFERROR(INDIRECT("ТИП3!"&amp;"$S$137"),0)</f>
        <v>0</v>
      </c>
      <c r="AC119" s="414">
        <f ca="1">IFERROR(INDIRECT("ТИП3!"&amp;"$U$137"),0)</f>
        <v>0</v>
      </c>
      <c r="AD119" s="414">
        <f ca="1">IFERROR(INDIRECT("ТИП3!"&amp;"$V$137"),0)</f>
        <v>0</v>
      </c>
      <c r="AE119" s="1517"/>
    </row>
    <row r="120" spans="2:31" s="385" customFormat="1" ht="15.75" hidden="1" customHeight="1">
      <c r="B120" s="1125" t="str">
        <f t="shared" ca="1" si="27"/>
        <v>-</v>
      </c>
      <c r="C120" s="1125"/>
      <c r="D120" s="581" t="str">
        <f t="shared" ca="1" si="28"/>
        <v>-</v>
      </c>
      <c r="E120" s="581" t="str">
        <f t="shared" ca="1" si="29"/>
        <v>-</v>
      </c>
      <c r="F120" s="581" t="str">
        <f t="shared" ca="1" si="30"/>
        <v>-</v>
      </c>
      <c r="G120" s="581" t="str">
        <f t="shared" ca="1" si="31"/>
        <v>-</v>
      </c>
      <c r="H120" s="581" t="str">
        <f t="shared" ca="1" si="32"/>
        <v>-</v>
      </c>
      <c r="I120" s="706" t="str">
        <f ca="1">IF(AND(R120&gt;0,$V$114=1),IF(OR(R120=1,R120=2),HYPERLINK($AH$85,$AM$85),IF(R120&gt;=3,HYPERLINK($AH$86,$AM$86))),IF(AND(Y120&gt;0,$AC$114=1),HYPERLINK($AH$84,$AM$84),""))</f>
        <v/>
      </c>
      <c r="N120" s="403"/>
      <c r="O120" s="405">
        <f t="shared" ca="1" si="26"/>
        <v>0</v>
      </c>
      <c r="P120" s="403"/>
      <c r="Q120" s="421">
        <f ca="1">IF(S120&gt;0,INDIRECT("ТИП3!"&amp;"$P$88"),0)</f>
        <v>0</v>
      </c>
      <c r="R120" s="422">
        <f ca="1">IFERROR(INDIRECT("ТИП3!"&amp;"$AN$88"),0)</f>
        <v>0</v>
      </c>
      <c r="S120" s="422">
        <f ca="1">IFERROR(INDIRECT("ТИП3!"&amp;"$T$88"),0)</f>
        <v>0</v>
      </c>
      <c r="T120" s="422">
        <f ca="1">IFERROR(INDIRECT("ТИП3!"&amp;"$R$88"),0)</f>
        <v>0</v>
      </c>
      <c r="U120" s="422">
        <f ca="1">IFERROR(INDIRECT("ТИП3!"&amp;"$S$88"),0)</f>
        <v>0</v>
      </c>
      <c r="V120" s="422">
        <f ca="1">IFERROR(INDIRECT("ТИП3!"&amp;"$U$88"),0)</f>
        <v>0</v>
      </c>
      <c r="W120" s="422">
        <f ca="1">IFERROR(INDIRECT("ТИП3!"&amp;"$V$88"),0)</f>
        <v>0</v>
      </c>
      <c r="X120" s="421">
        <f ca="1">IF(Z120&gt;0,INDIRECT("ТИП3!"&amp;"$P$141"),0)</f>
        <v>0</v>
      </c>
      <c r="Y120" s="422">
        <f ca="1">IFERROR(INDIRECT("ТИП3!"&amp;"$AN$141"),0)</f>
        <v>0</v>
      </c>
      <c r="Z120" s="422">
        <f ca="1">IFERROR(INDIRECT("ТИП3!"&amp;"$T$141"),0)</f>
        <v>0</v>
      </c>
      <c r="AA120" s="422">
        <f ca="1">IFERROR(INDIRECT("ТИП3!"&amp;"$R$141"),0)</f>
        <v>0</v>
      </c>
      <c r="AB120" s="422">
        <f ca="1">IFERROR(INDIRECT("ТИП3!"&amp;"$S$141"),0)</f>
        <v>0</v>
      </c>
      <c r="AC120" s="422">
        <f ca="1">IFERROR(INDIRECT("ТИП3!"&amp;"$U$141"),0)</f>
        <v>0</v>
      </c>
      <c r="AD120" s="422">
        <f ca="1">IFERROR(INDIRECT("ТИП3!"&amp;"$V$141"),0)</f>
        <v>0</v>
      </c>
      <c r="AE120" s="1515" t="s">
        <v>568</v>
      </c>
    </row>
    <row r="121" spans="2:31" s="385" customFormat="1" ht="15.75" hidden="1" customHeight="1">
      <c r="B121" s="1125" t="str">
        <f t="shared" ca="1" si="27"/>
        <v>-</v>
      </c>
      <c r="C121" s="1125"/>
      <c r="D121" s="581" t="str">
        <f t="shared" ca="1" si="28"/>
        <v>-</v>
      </c>
      <c r="E121" s="581" t="str">
        <f t="shared" ca="1" si="29"/>
        <v>-</v>
      </c>
      <c r="F121" s="581" t="str">
        <f t="shared" ca="1" si="30"/>
        <v>-</v>
      </c>
      <c r="G121" s="581" t="str">
        <f t="shared" ca="1" si="31"/>
        <v>-</v>
      </c>
      <c r="H121" s="581" t="str">
        <f t="shared" ca="1" si="32"/>
        <v>-</v>
      </c>
      <c r="I121" s="706" t="str">
        <f ca="1">IF(AND(R121&gt;0,$V$114=1),IF(OR(R121=1,R121=2),HYPERLINK($AH$85,$AM$85),IF(R121&gt;=3,HYPERLINK($AH$86,$AM$86))),IF(AND(Y121&gt;0,$AC$114=1),HYPERLINK($AH$84,$AM$84),""))</f>
        <v/>
      </c>
      <c r="N121" s="403"/>
      <c r="O121" s="405">
        <f t="shared" ca="1" si="26"/>
        <v>0</v>
      </c>
      <c r="P121" s="403"/>
      <c r="Q121" s="421">
        <f ca="1">IF(S121&gt;0,INDIRECT("ТИП3!"&amp;"$P$89"),0)</f>
        <v>0</v>
      </c>
      <c r="R121" s="422">
        <f ca="1">IFERROR(INDIRECT("ТИП3!"&amp;"$AN$89"),0)</f>
        <v>0</v>
      </c>
      <c r="S121" s="422">
        <f ca="1">IFERROR(INDIRECT("ТИП3!"&amp;"$T$89"),0)</f>
        <v>0</v>
      </c>
      <c r="T121" s="422">
        <f ca="1">IFERROR(INDIRECT("ТИП3!"&amp;"$R$89"),0)</f>
        <v>0</v>
      </c>
      <c r="U121" s="422">
        <f ca="1">IFERROR(INDIRECT("ТИП3!"&amp;"$S$89"),0)</f>
        <v>0</v>
      </c>
      <c r="V121" s="422">
        <f ca="1">IFERROR(INDIRECT("ТИП3!"&amp;"$U$89"),0)</f>
        <v>0</v>
      </c>
      <c r="W121" s="422">
        <f ca="1">IFERROR(INDIRECT("ТИП3!"&amp;"$V$89"),0)</f>
        <v>0</v>
      </c>
      <c r="X121" s="421">
        <f ca="1">IF(Z121&gt;0,INDIRECT("ТИП3!"&amp;"$P$142"),0)</f>
        <v>0</v>
      </c>
      <c r="Y121" s="422">
        <f ca="1">IFERROR(INDIRECT("ТИП3!"&amp;"$AN$142"),0)</f>
        <v>0</v>
      </c>
      <c r="Z121" s="422">
        <f ca="1">IFERROR(INDIRECT("ТИП3!"&amp;"$T$142"),0)</f>
        <v>0</v>
      </c>
      <c r="AA121" s="422">
        <f ca="1">IFERROR(INDIRECT("ТИП3!"&amp;"$R$142"),0)</f>
        <v>0</v>
      </c>
      <c r="AB121" s="422">
        <f ca="1">IFERROR(INDIRECT("ТИП3!"&amp;"$S$142"),0)</f>
        <v>0</v>
      </c>
      <c r="AC121" s="422">
        <f ca="1">IFERROR(INDIRECT("ТИП3!"&amp;"$U$142"),0)</f>
        <v>0</v>
      </c>
      <c r="AD121" s="422">
        <f ca="1">IFERROR(INDIRECT("ТИП3!"&amp;"$V$142"),0)</f>
        <v>0</v>
      </c>
      <c r="AE121" s="1515"/>
    </row>
    <row r="122" spans="2:31" s="385" customFormat="1" ht="15.75" hidden="1" customHeight="1">
      <c r="B122" s="1125" t="str">
        <f t="shared" ca="1" si="27"/>
        <v>-</v>
      </c>
      <c r="C122" s="1125"/>
      <c r="D122" s="581" t="str">
        <f t="shared" ca="1" si="28"/>
        <v>-</v>
      </c>
      <c r="E122" s="581" t="str">
        <f t="shared" ca="1" si="29"/>
        <v>-</v>
      </c>
      <c r="F122" s="581" t="str">
        <f t="shared" ca="1" si="30"/>
        <v>-</v>
      </c>
      <c r="G122" s="581" t="str">
        <f t="shared" ca="1" si="31"/>
        <v>-</v>
      </c>
      <c r="H122" s="581" t="str">
        <f t="shared" ca="1" si="32"/>
        <v>-</v>
      </c>
      <c r="I122" s="706" t="str">
        <f ca="1">IF(AND(R122&gt;0,$V$114=1),IF(OR(R122=1,R122=2),HYPERLINK($AH$85,$AM$85),IF(R122&gt;=3,HYPERLINK($AH$86,$AM$86))),IF(AND(Y122&gt;0,$AC$114=1),HYPERLINK($AH$84,$AM$84),""))</f>
        <v/>
      </c>
      <c r="N122" s="403"/>
      <c r="O122" s="405">
        <f t="shared" ca="1" si="26"/>
        <v>0</v>
      </c>
      <c r="P122" s="403"/>
      <c r="Q122" s="421">
        <f ca="1">IF(S122&gt;0,INDIRECT("ТИП3!"&amp;"$P$90"),0)</f>
        <v>0</v>
      </c>
      <c r="R122" s="422">
        <f ca="1">IFERROR(INDIRECT("ТИП3!"&amp;"$AN$90"),0)</f>
        <v>0</v>
      </c>
      <c r="S122" s="422">
        <f ca="1">IFERROR(INDIRECT("ТИП3!"&amp;"$T$90"),0)</f>
        <v>0</v>
      </c>
      <c r="T122" s="422">
        <f ca="1">IFERROR(INDIRECT("ТИП3!"&amp;"$R$90"),0)</f>
        <v>0</v>
      </c>
      <c r="U122" s="422">
        <f ca="1">IFERROR(INDIRECT("ТИП3!"&amp;"$S$90"),0)</f>
        <v>0</v>
      </c>
      <c r="V122" s="422">
        <f ca="1">IFERROR(INDIRECT("ТИП3!"&amp;"$U$90"),0)</f>
        <v>0</v>
      </c>
      <c r="W122" s="422">
        <f ca="1">IFERROR(INDIRECT("ТИП3!"&amp;"$V$90"),0)</f>
        <v>0</v>
      </c>
      <c r="X122" s="421">
        <f ca="1">IF(Z122&gt;0,INDIRECT("ТИП3!"&amp;"$P$143"),0)</f>
        <v>0</v>
      </c>
      <c r="Y122" s="422">
        <f ca="1">IFERROR(INDIRECT("ТИП3!"&amp;"$AN$143"),0)</f>
        <v>0</v>
      </c>
      <c r="Z122" s="422">
        <f ca="1">IFERROR(INDIRECT("ТИП3!"&amp;"$T$143"),0)</f>
        <v>0</v>
      </c>
      <c r="AA122" s="422">
        <f ca="1">IFERROR(INDIRECT("ТИП3!"&amp;"$R$143"),0)</f>
        <v>0</v>
      </c>
      <c r="AB122" s="422">
        <f ca="1">IFERROR(INDIRECT("ТИП3!"&amp;"$S$143"),0)</f>
        <v>0</v>
      </c>
      <c r="AC122" s="422">
        <f ca="1">IFERROR(INDIRECT("ТИП3!"&amp;"$U$143"),0)</f>
        <v>0</v>
      </c>
      <c r="AD122" s="422">
        <f ca="1">IFERROR(INDIRECT("ТИП3!"&amp;"$V$143"),0)</f>
        <v>0</v>
      </c>
      <c r="AE122" s="1515"/>
    </row>
    <row r="123" spans="2:31" s="385" customFormat="1" ht="15.75" hidden="1" customHeight="1">
      <c r="B123" s="1125" t="str">
        <f t="shared" ca="1" si="27"/>
        <v>-</v>
      </c>
      <c r="C123" s="1125"/>
      <c r="D123" s="581" t="str">
        <f t="shared" ca="1" si="28"/>
        <v>-</v>
      </c>
      <c r="E123" s="581" t="str">
        <f t="shared" ca="1" si="29"/>
        <v>-</v>
      </c>
      <c r="F123" s="581" t="str">
        <f t="shared" ca="1" si="30"/>
        <v>-</v>
      </c>
      <c r="G123" s="581" t="str">
        <f t="shared" ca="1" si="31"/>
        <v>-</v>
      </c>
      <c r="H123" s="581" t="str">
        <f t="shared" ca="1" si="32"/>
        <v>-</v>
      </c>
      <c r="I123" s="706" t="str">
        <f ca="1">IF(AND(R123&gt;0,$V$114=1),IF(OR(R123=1,R123=2),HYPERLINK($AH$85,$AM$85),IF(R123&gt;=3,HYPERLINK($AH$86,$AM$86))),IF(AND(Y123&gt;0,$AC$114=1),HYPERLINK($AH$84,$AM$84),""))</f>
        <v/>
      </c>
      <c r="N123" s="403"/>
      <c r="O123" s="405">
        <f t="shared" ca="1" si="26"/>
        <v>0</v>
      </c>
      <c r="P123" s="403"/>
      <c r="Q123" s="421">
        <f ca="1">IF(S123&gt;0,INDIRECT("ТИП3!"&amp;"$P$91"),0)</f>
        <v>0</v>
      </c>
      <c r="R123" s="422">
        <f ca="1">IFERROR(INDIRECT("ТИП3!"&amp;"$AN$91"),0)</f>
        <v>0</v>
      </c>
      <c r="S123" s="422">
        <f ca="1">IFERROR(INDIRECT("ТИП3!"&amp;"$T$91"),0)</f>
        <v>0</v>
      </c>
      <c r="T123" s="422">
        <f ca="1">IFERROR(INDIRECT("ТИП3!"&amp;"$R$91"),0)</f>
        <v>0</v>
      </c>
      <c r="U123" s="422">
        <f ca="1">IFERROR(INDIRECT("ТИП3!"&amp;"$S$91"),0)</f>
        <v>0</v>
      </c>
      <c r="V123" s="422">
        <f ca="1">IFERROR(INDIRECT("ТИП3!"&amp;"$U$91"),0)</f>
        <v>0</v>
      </c>
      <c r="W123" s="422">
        <f ca="1">IFERROR(INDIRECT("ТИП3!"&amp;"$V$91"),0)</f>
        <v>0</v>
      </c>
      <c r="X123" s="421">
        <f ca="1">IF(Z123&gt;0,INDIRECT("ТИП3!"&amp;"$P$144"),0)</f>
        <v>0</v>
      </c>
      <c r="Y123" s="422">
        <f ca="1">IFERROR(INDIRECT("ТИП3!"&amp;"$AN$144"),0)</f>
        <v>0</v>
      </c>
      <c r="Z123" s="422">
        <f ca="1">IFERROR(INDIRECT("ТИП3!"&amp;"$T$144"),0)</f>
        <v>0</v>
      </c>
      <c r="AA123" s="422">
        <f ca="1">IFERROR(INDIRECT("ТИП3!"&amp;"$R$144"),0)</f>
        <v>0</v>
      </c>
      <c r="AB123" s="422">
        <f ca="1">IFERROR(INDIRECT("ТИП3!"&amp;"$S$144"),0)</f>
        <v>0</v>
      </c>
      <c r="AC123" s="422">
        <f ca="1">IFERROR(INDIRECT("ТИП3!"&amp;"$U$144"),0)</f>
        <v>0</v>
      </c>
      <c r="AD123" s="422">
        <f ca="1">IFERROR(INDIRECT("ТИП3!"&amp;"$V$144"),0)</f>
        <v>0</v>
      </c>
      <c r="AE123" s="1515"/>
    </row>
    <row r="124" spans="2:31" s="385" customFormat="1" ht="15.75" hidden="1" customHeight="1">
      <c r="B124" s="1125" t="str">
        <f t="shared" ca="1" si="27"/>
        <v>-</v>
      </c>
      <c r="C124" s="1125"/>
      <c r="D124" s="581" t="str">
        <f t="shared" ca="1" si="28"/>
        <v>-</v>
      </c>
      <c r="E124" s="581" t="str">
        <f t="shared" ca="1" si="29"/>
        <v>-</v>
      </c>
      <c r="F124" s="581" t="str">
        <f t="shared" ca="1" si="30"/>
        <v>-</v>
      </c>
      <c r="G124" s="581" t="str">
        <f t="shared" ca="1" si="31"/>
        <v>-</v>
      </c>
      <c r="H124" s="581" t="str">
        <f t="shared" ca="1" si="32"/>
        <v>-</v>
      </c>
      <c r="I124" s="706" t="str">
        <f ca="1">IF(AND(R124&gt;0,$V$114=1),IF(OR(R124=1,R124=2),HYPERLINK($AH$85,$AM$85),IF(R124&gt;=3,HYPERLINK($AH$86,$AM$86))),IF(AND(Y124&gt;0,$AC$114=1),HYPERLINK($AH$84,$AM$84),""))</f>
        <v/>
      </c>
      <c r="N124" s="403"/>
      <c r="O124" s="405">
        <f t="shared" ca="1" si="26"/>
        <v>0</v>
      </c>
      <c r="P124" s="403"/>
      <c r="Q124" s="421">
        <f ca="1">IF(S124&gt;0,INDIRECT("ТИП3!"&amp;"$P$92"),0)</f>
        <v>0</v>
      </c>
      <c r="R124" s="422">
        <f ca="1">IFERROR(INDIRECT("ТИП3!"&amp;"$AN$92"),0)</f>
        <v>0</v>
      </c>
      <c r="S124" s="422">
        <f ca="1">IFERROR(INDIRECT("ТИП3!"&amp;"$T$92"),0)</f>
        <v>0</v>
      </c>
      <c r="T124" s="422">
        <f ca="1">IFERROR(INDIRECT("ТИП3!"&amp;"$R$92"),0)</f>
        <v>0</v>
      </c>
      <c r="U124" s="422">
        <f ca="1">IFERROR(INDIRECT("ТИП3!"&amp;"$S$92"),0)</f>
        <v>0</v>
      </c>
      <c r="V124" s="422">
        <f ca="1">IFERROR(INDIRECT("ТИП3!"&amp;"$U$92"),0)</f>
        <v>0</v>
      </c>
      <c r="W124" s="422">
        <f ca="1">IFERROR(INDIRECT("ТИП3!"&amp;"$V$92"),0)</f>
        <v>0</v>
      </c>
      <c r="X124" s="421">
        <f ca="1">IF(Z124&gt;0,INDIRECT("ТИП3!"&amp;"$P$145"),0)</f>
        <v>0</v>
      </c>
      <c r="Y124" s="422">
        <f ca="1">IFERROR(INDIRECT("ТИП3!"&amp;"$AN$145"),0)</f>
        <v>0</v>
      </c>
      <c r="Z124" s="422">
        <f ca="1">IFERROR(INDIRECT("ТИП3!"&amp;"$T$145"),0)</f>
        <v>0</v>
      </c>
      <c r="AA124" s="422">
        <f ca="1">IFERROR(INDIRECT("ТИП3!"&amp;"$R$145"),0)</f>
        <v>0</v>
      </c>
      <c r="AB124" s="422">
        <f ca="1">IFERROR(INDIRECT("ТИП3!"&amp;"$S$145"),0)</f>
        <v>0</v>
      </c>
      <c r="AC124" s="422">
        <f ca="1">IFERROR(INDIRECT("ТИП3!"&amp;"$U$145"),0)</f>
        <v>0</v>
      </c>
      <c r="AD124" s="422">
        <f ca="1">IFERROR(INDIRECT("ТИП3!"&amp;"$V$145"),0)</f>
        <v>0</v>
      </c>
      <c r="AE124" s="1515"/>
    </row>
    <row r="125" spans="2:31" s="385" customFormat="1" ht="15.75" hidden="1" customHeight="1">
      <c r="B125" s="1125" t="str">
        <f t="shared" ca="1" si="27"/>
        <v>-</v>
      </c>
      <c r="C125" s="1125"/>
      <c r="D125" s="581" t="str">
        <f t="shared" ca="1" si="28"/>
        <v>-</v>
      </c>
      <c r="E125" s="581" t="str">
        <f t="shared" ca="1" si="29"/>
        <v>-</v>
      </c>
      <c r="F125" s="581" t="str">
        <f t="shared" ca="1" si="30"/>
        <v>-</v>
      </c>
      <c r="G125" s="581" t="str">
        <f t="shared" ca="1" si="31"/>
        <v>-</v>
      </c>
      <c r="H125" s="581" t="str">
        <f t="shared" ca="1" si="32"/>
        <v>-</v>
      </c>
      <c r="I125" s="706" t="str">
        <f ca="1">IF(AND(R125&gt;0,$V$114=1),IF(OR(R125=1,R125=2),HYPERLINK($AH$88,$AM$88),IF(R125&gt;=3,HYPERLINK($AH$89,$AM$89))),IF(AND(Y125&gt;0,$AC$114=1),HYPERLINK($AH$87,$AM$87),""))</f>
        <v/>
      </c>
      <c r="N125" s="403"/>
      <c r="O125" s="405">
        <f t="shared" ca="1" si="26"/>
        <v>0</v>
      </c>
      <c r="P125" s="403"/>
      <c r="Q125" s="419">
        <f ca="1">IF(S125&gt;0,INDIRECT("ТИП3!"&amp;"$Q$95"),0)</f>
        <v>0</v>
      </c>
      <c r="R125" s="420">
        <f ca="1">IFERROR(INDIRECT("ТИП3!"&amp;"$AN$95"),0)</f>
        <v>0</v>
      </c>
      <c r="S125" s="420">
        <f ca="1">IFERROR(INDIRECT("ТИП3!"&amp;"$T$95"),0)</f>
        <v>0</v>
      </c>
      <c r="T125" s="420" t="s">
        <v>6</v>
      </c>
      <c r="U125" s="420">
        <f ca="1">IFERROR(INDIRECT("ТИП3!"&amp;"$S$95"),0)</f>
        <v>0</v>
      </c>
      <c r="V125" s="420">
        <f ca="1">IFERROR(INDIRECT("ТИП3!"&amp;"$U$95"),0)</f>
        <v>0</v>
      </c>
      <c r="W125" s="420">
        <f ca="1">IFERROR(INDIRECT("ТИП3!"&amp;"$V$95"),0)</f>
        <v>0</v>
      </c>
      <c r="X125" s="419">
        <f ca="1">IF(Z125&gt;0,INDIRECT("ТИП3!"&amp;"$Q$149"),0)</f>
        <v>0</v>
      </c>
      <c r="Y125" s="420">
        <f ca="1">IFERROR(INDIRECT("ТИП3!"&amp;"$AN$149"),0)</f>
        <v>0</v>
      </c>
      <c r="Z125" s="420">
        <f ca="1">IFERROR(INDIRECT("ТИП3!"&amp;"$T$149"),0)</f>
        <v>0</v>
      </c>
      <c r="AA125" s="425" t="s">
        <v>6</v>
      </c>
      <c r="AB125" s="420">
        <f ca="1">IFERROR(INDIRECT("ТИП3!"&amp;"$S$149"),0)</f>
        <v>0</v>
      </c>
      <c r="AC125" s="420">
        <f ca="1">IFERROR(INDIRECT("ТИП3!"&amp;"$U$149"),0)</f>
        <v>0</v>
      </c>
      <c r="AD125" s="420">
        <f ca="1">IFERROR(INDIRECT("ТИП3!"&amp;"$V$149"),0)</f>
        <v>0</v>
      </c>
      <c r="AE125" s="1516" t="s">
        <v>569</v>
      </c>
    </row>
    <row r="126" spans="2:31" s="385" customFormat="1" ht="15.75" hidden="1" customHeight="1">
      <c r="B126" s="1125" t="str">
        <f t="shared" ca="1" si="27"/>
        <v>-</v>
      </c>
      <c r="C126" s="1125"/>
      <c r="D126" s="581" t="str">
        <f t="shared" ca="1" si="28"/>
        <v>-</v>
      </c>
      <c r="E126" s="581" t="str">
        <f t="shared" ca="1" si="29"/>
        <v>-</v>
      </c>
      <c r="F126" s="581" t="str">
        <f t="shared" ca="1" si="30"/>
        <v>-</v>
      </c>
      <c r="G126" s="581" t="str">
        <f t="shared" ca="1" si="31"/>
        <v>-</v>
      </c>
      <c r="H126" s="581" t="str">
        <f t="shared" ca="1" si="32"/>
        <v>-</v>
      </c>
      <c r="I126" s="706" t="str">
        <f ca="1">IF(AND(R126&gt;0,$V$114=1),IF(OR(R126=1,R126=2),HYPERLINK($AH$88,$AM$88),IF(R126&gt;=3,HYPERLINK($AH$89,$AM$89))),IF(AND(Y126&gt;0,$AC$114=1),HYPERLINK($AH$87,$AM$87),""))</f>
        <v/>
      </c>
      <c r="N126" s="403"/>
      <c r="O126" s="405">
        <f t="shared" ca="1" si="26"/>
        <v>0</v>
      </c>
      <c r="P126" s="403"/>
      <c r="Q126" s="419">
        <f ca="1">IF(S126&gt;0,INDIRECT("ТИП3!"&amp;"$Q$96"),0)</f>
        <v>0</v>
      </c>
      <c r="R126" s="420">
        <f ca="1">IFERROR(INDIRECT("ТИП3!"&amp;"$AN$96"),0)</f>
        <v>0</v>
      </c>
      <c r="S126" s="420">
        <f ca="1">IFERROR(INDIRECT("ТИП3!"&amp;"$T$96"),0)</f>
        <v>0</v>
      </c>
      <c r="T126" s="420" t="s">
        <v>6</v>
      </c>
      <c r="U126" s="420">
        <f ca="1">IFERROR(INDIRECT("ТИП3!"&amp;"$S$96"),0)</f>
        <v>0</v>
      </c>
      <c r="V126" s="420">
        <f ca="1">IFERROR(INDIRECT("ТИП3!"&amp;"$U$96"),0)</f>
        <v>0</v>
      </c>
      <c r="W126" s="420">
        <f ca="1">IFERROR(INDIRECT("ТИП3!"&amp;"$V$96"),0)</f>
        <v>0</v>
      </c>
      <c r="X126" s="419">
        <f ca="1">IF(Z126&gt;0,INDIRECT("ТИП3!"&amp;"$Q$150"),0)</f>
        <v>0</v>
      </c>
      <c r="Y126" s="420">
        <f ca="1">IFERROR(INDIRECT("ТИП3!"&amp;"$AN$150"),0)</f>
        <v>0</v>
      </c>
      <c r="Z126" s="420">
        <f ca="1">IFERROR(INDIRECT("ТИП3!"&amp;"$T$150"),0)</f>
        <v>0</v>
      </c>
      <c r="AA126" s="425" t="s">
        <v>6</v>
      </c>
      <c r="AB126" s="420">
        <f ca="1">IFERROR(INDIRECT("ТИП3!"&amp;"$S$150"),0)</f>
        <v>0</v>
      </c>
      <c r="AC126" s="420">
        <f ca="1">IFERROR(INDIRECT("ТИП3!"&amp;"$U$150"),0)</f>
        <v>0</v>
      </c>
      <c r="AD126" s="420">
        <f ca="1">IFERROR(INDIRECT("ТИП3!"&amp;"$V$150"),0)</f>
        <v>0</v>
      </c>
      <c r="AE126" s="1516"/>
    </row>
    <row r="127" spans="2:31" s="385" customFormat="1" ht="15.75" hidden="1" customHeight="1">
      <c r="B127" s="1125" t="str">
        <f t="shared" ca="1" si="27"/>
        <v>-</v>
      </c>
      <c r="C127" s="1125"/>
      <c r="D127" s="581" t="str">
        <f t="shared" ca="1" si="28"/>
        <v>-</v>
      </c>
      <c r="E127" s="581" t="str">
        <f t="shared" ca="1" si="29"/>
        <v>-</v>
      </c>
      <c r="F127" s="581" t="str">
        <f t="shared" ca="1" si="30"/>
        <v>-</v>
      </c>
      <c r="G127" s="581" t="str">
        <f t="shared" ca="1" si="31"/>
        <v>-</v>
      </c>
      <c r="H127" s="581" t="str">
        <f t="shared" ca="1" si="32"/>
        <v>-</v>
      </c>
      <c r="I127" s="706" t="str">
        <f ca="1">IF(AND(R127&gt;0,$V$114=1),IF(OR(R127=1,R127=2),HYPERLINK($AH$88,$AM$88),IF(R127&gt;=3,HYPERLINK($AH$89,$AM$89))),IF(AND(Y127&gt;0,$AC$114=1),HYPERLINK($AH$87,$AM$87),""))</f>
        <v/>
      </c>
      <c r="N127" s="403"/>
      <c r="O127" s="405">
        <f t="shared" ca="1" si="26"/>
        <v>0</v>
      </c>
      <c r="P127" s="403"/>
      <c r="Q127" s="419">
        <f ca="1">IF(S127&gt;0,INDIRECT("ТИП3!"&amp;"$Q$97"),0)</f>
        <v>0</v>
      </c>
      <c r="R127" s="420">
        <f ca="1">IFERROR(INDIRECT("ТИП3!"&amp;"$AN$97"),0)</f>
        <v>0</v>
      </c>
      <c r="S127" s="420">
        <f ca="1">IFERROR(INDIRECT("ТИП3!"&amp;"$T$97"),0)</f>
        <v>0</v>
      </c>
      <c r="T127" s="420" t="s">
        <v>6</v>
      </c>
      <c r="U127" s="420">
        <f ca="1">IFERROR(INDIRECT("ТИП3!"&amp;"$S$97"),0)</f>
        <v>0</v>
      </c>
      <c r="V127" s="420">
        <f ca="1">IFERROR(INDIRECT("ТИП3!"&amp;"$U$97"),0)</f>
        <v>0</v>
      </c>
      <c r="W127" s="420">
        <f ca="1">IFERROR(INDIRECT("ТИП3!"&amp;"$V$97"),0)</f>
        <v>0</v>
      </c>
      <c r="X127" s="419">
        <f ca="1">IF(Z127&gt;0,INDIRECT("ТИП3!"&amp;"$Q$151"),0)</f>
        <v>0</v>
      </c>
      <c r="Y127" s="420">
        <f ca="1">IFERROR(INDIRECT("ТИП3!"&amp;"$AN$151"),0)</f>
        <v>0</v>
      </c>
      <c r="Z127" s="420">
        <f ca="1">IFERROR(INDIRECT("ТИП3!"&amp;"$T$151"),0)</f>
        <v>0</v>
      </c>
      <c r="AA127" s="425" t="s">
        <v>6</v>
      </c>
      <c r="AB127" s="420">
        <f ca="1">IFERROR(INDIRECT("ТИП3!"&amp;"$S$151"),0)</f>
        <v>0</v>
      </c>
      <c r="AC127" s="420">
        <f ca="1">IFERROR(INDIRECT("ТИП3!"&amp;"$U$151"),0)</f>
        <v>0</v>
      </c>
      <c r="AD127" s="420">
        <f ca="1">IFERROR(INDIRECT("ТИП3!"&amp;"$V$151"),0)</f>
        <v>0</v>
      </c>
      <c r="AE127" s="1516"/>
    </row>
    <row r="128" spans="2:31" s="385" customFormat="1" ht="15.75" hidden="1" customHeight="1">
      <c r="B128" s="1125" t="str">
        <f t="shared" ca="1" si="27"/>
        <v>-</v>
      </c>
      <c r="C128" s="1125"/>
      <c r="D128" s="581" t="str">
        <f t="shared" ca="1" si="28"/>
        <v>-</v>
      </c>
      <c r="E128" s="581" t="str">
        <f t="shared" ca="1" si="29"/>
        <v>-</v>
      </c>
      <c r="F128" s="581" t="str">
        <f t="shared" ca="1" si="30"/>
        <v>-</v>
      </c>
      <c r="G128" s="581" t="str">
        <f t="shared" ca="1" si="31"/>
        <v>-</v>
      </c>
      <c r="H128" s="581" t="str">
        <f t="shared" ca="1" si="32"/>
        <v>-</v>
      </c>
      <c r="I128" s="706" t="str">
        <f ca="1">IF(AND(R128&gt;0,$V$114=1),IF(OR(R128=1,R128=2),HYPERLINK($AH$88,$AM$88),IF(R128&gt;=3,HYPERLINK($AH$89,$AM$89))),IF(AND(Y128&gt;0,$AC$114=1),HYPERLINK($AH$87,$AM$87),""))</f>
        <v/>
      </c>
      <c r="N128" s="403"/>
      <c r="O128" s="405">
        <f t="shared" ca="1" si="26"/>
        <v>0</v>
      </c>
      <c r="P128" s="403"/>
      <c r="Q128" s="419">
        <f ca="1">IF(S128&gt;0,INDIRECT("ТИП3!"&amp;"$Q$98"),0)</f>
        <v>0</v>
      </c>
      <c r="R128" s="420">
        <f ca="1">IFERROR(INDIRECT("ТИП3!"&amp;"$AN$98"),0)</f>
        <v>0</v>
      </c>
      <c r="S128" s="420">
        <f ca="1">IFERROR(INDIRECT("ТИП3!"&amp;"$T$98"),0)</f>
        <v>0</v>
      </c>
      <c r="T128" s="420" t="s">
        <v>6</v>
      </c>
      <c r="U128" s="420">
        <f ca="1">IFERROR(INDIRECT("ТИП3!"&amp;"$S$98"),0)</f>
        <v>0</v>
      </c>
      <c r="V128" s="420">
        <f ca="1">IFERROR(INDIRECT("ТИП3!"&amp;"$U$98"),0)</f>
        <v>0</v>
      </c>
      <c r="W128" s="420">
        <f ca="1">IFERROR(INDIRECT("ТИП3!"&amp;"$V$98"),0)</f>
        <v>0</v>
      </c>
      <c r="X128" s="419">
        <f ca="1">IF(Z128&gt;0,INDIRECT("ТИП3!"&amp;"$Q$152"),0)</f>
        <v>0</v>
      </c>
      <c r="Y128" s="420">
        <f ca="1">IFERROR(INDIRECT("ТИП3!"&amp;"$AN$152"),0)</f>
        <v>0</v>
      </c>
      <c r="Z128" s="420">
        <f ca="1">IFERROR(INDIRECT("ТИП3!"&amp;"$T$152"),0)</f>
        <v>0</v>
      </c>
      <c r="AA128" s="425" t="s">
        <v>6</v>
      </c>
      <c r="AB128" s="420">
        <f ca="1">IFERROR(INDIRECT("ТИП3!"&amp;"$S$152"),0)</f>
        <v>0</v>
      </c>
      <c r="AC128" s="420">
        <f ca="1">IFERROR(INDIRECT("ТИП3!"&amp;"$U$152"),0)</f>
        <v>0</v>
      </c>
      <c r="AD128" s="420">
        <f ca="1">IFERROR(INDIRECT("ТИП3!"&amp;"$V$152"),0)</f>
        <v>0</v>
      </c>
      <c r="AE128" s="1516"/>
    </row>
    <row r="129" spans="2:31" s="385" customFormat="1" ht="15.75" hidden="1" customHeight="1">
      <c r="B129" s="1125" t="str">
        <f t="shared" ca="1" si="27"/>
        <v>-</v>
      </c>
      <c r="C129" s="1125"/>
      <c r="D129" s="581" t="str">
        <f t="shared" ca="1" si="28"/>
        <v>-</v>
      </c>
      <c r="E129" s="581" t="str">
        <f t="shared" ca="1" si="29"/>
        <v>-</v>
      </c>
      <c r="F129" s="581" t="str">
        <f t="shared" ca="1" si="30"/>
        <v>-</v>
      </c>
      <c r="G129" s="581" t="str">
        <f t="shared" ca="1" si="31"/>
        <v>-</v>
      </c>
      <c r="H129" s="581" t="str">
        <f t="shared" ca="1" si="32"/>
        <v>-</v>
      </c>
      <c r="I129" s="706" t="str">
        <f ca="1">IF(AND(R129&gt;0,$V$114=1),HYPERLINK($AH$91,$AM$91),IF(AND(Z129&gt;0,$AC$114=1),HYPERLINK($AH$90,$AM$90),""))</f>
        <v/>
      </c>
      <c r="N129" s="403"/>
      <c r="O129" s="405">
        <f t="shared" ca="1" si="26"/>
        <v>0</v>
      </c>
      <c r="P129" s="403"/>
      <c r="Q129" s="423">
        <f ca="1">IF(S129&gt;0,(INDIRECT("ТИП3!"&amp;"$Q$101")),0)</f>
        <v>0</v>
      </c>
      <c r="R129" s="424">
        <f ca="1">IFERROR(INDIRECT("ТИП3!"&amp;"$AN$101"),0)</f>
        <v>0</v>
      </c>
      <c r="S129" s="424">
        <f ca="1">IFERROR(INDIRECT("ТИП3!"&amp;"$S$101"),0)</f>
        <v>0</v>
      </c>
      <c r="T129" s="424" t="s">
        <v>6</v>
      </c>
      <c r="U129" s="424" t="s">
        <v>6</v>
      </c>
      <c r="V129" s="424" t="s">
        <v>6</v>
      </c>
      <c r="W129" s="424" t="s">
        <v>6</v>
      </c>
      <c r="X129" s="423">
        <f ca="1">IF(Z129&gt;0,INDIRECT("ТИП3!"&amp;"$R$156"),0)</f>
        <v>0</v>
      </c>
      <c r="Y129" s="424" t="s">
        <v>6</v>
      </c>
      <c r="Z129" s="424">
        <f ca="1">IFERROR(INDIRECT("ТИП3!"&amp;"$T$156"),0)</f>
        <v>0</v>
      </c>
      <c r="AA129" s="411" t="s">
        <v>6</v>
      </c>
      <c r="AB129" s="411" t="s">
        <v>6</v>
      </c>
      <c r="AC129" s="411" t="s">
        <v>6</v>
      </c>
      <c r="AD129" s="411" t="s">
        <v>6</v>
      </c>
      <c r="AE129" s="411" t="s">
        <v>570</v>
      </c>
    </row>
    <row r="130" spans="2:31" s="385" customFormat="1" ht="15.75" hidden="1" customHeight="1">
      <c r="B130" s="1125" t="str">
        <f t="shared" ca="1" si="27"/>
        <v>-</v>
      </c>
      <c r="C130" s="1125"/>
      <c r="D130" s="581" t="str">
        <f t="shared" ca="1" si="28"/>
        <v>-</v>
      </c>
      <c r="E130" s="581" t="str">
        <f t="shared" ca="1" si="29"/>
        <v>-</v>
      </c>
      <c r="F130" s="581" t="str">
        <f t="shared" ca="1" si="30"/>
        <v>-</v>
      </c>
      <c r="G130" s="581" t="str">
        <f t="shared" ca="1" si="31"/>
        <v>-</v>
      </c>
      <c r="H130" s="581" t="str">
        <f t="shared" ca="1" si="32"/>
        <v>-</v>
      </c>
      <c r="I130" s="581" t="s">
        <v>6</v>
      </c>
      <c r="N130" s="403"/>
      <c r="O130" s="405">
        <f t="shared" ca="1" si="26"/>
        <v>0</v>
      </c>
      <c r="P130" s="403"/>
      <c r="Q130" s="417">
        <f ca="1">IF(S130&gt;0,INDIRECT("ТИП3!"&amp;"$P$124"),0)</f>
        <v>0</v>
      </c>
      <c r="R130" s="418" t="s">
        <v>6</v>
      </c>
      <c r="S130" s="418">
        <f ca="1">IFERROR(INDIRECT("ТИП3!"&amp;"$S$125"),0)</f>
        <v>0</v>
      </c>
      <c r="T130" s="418" t="s">
        <v>6</v>
      </c>
      <c r="U130" s="418" t="s">
        <v>6</v>
      </c>
      <c r="V130" s="418" t="s">
        <v>6</v>
      </c>
      <c r="W130" s="418" t="s">
        <v>6</v>
      </c>
      <c r="X130" s="417">
        <f ca="1">IF(Z130&gt;0,INDIRECT("ТИП3!"&amp;"$P$160"),0)</f>
        <v>0</v>
      </c>
      <c r="Y130" s="418" t="s">
        <v>6</v>
      </c>
      <c r="Z130" s="418">
        <f ca="1">IFERROR(INDIRECT("ТИП3!"&amp;"$S$161"),0)</f>
        <v>0</v>
      </c>
      <c r="AA130" s="418" t="s">
        <v>6</v>
      </c>
      <c r="AB130" s="418" t="s">
        <v>6</v>
      </c>
      <c r="AC130" s="418" t="s">
        <v>6</v>
      </c>
      <c r="AD130" s="418" t="s">
        <v>6</v>
      </c>
      <c r="AE130" s="412" t="s">
        <v>571</v>
      </c>
    </row>
    <row r="131" spans="2:31" s="385" customFormat="1" ht="15.75" hidden="1" customHeight="1">
      <c r="B131" s="1518" t="s">
        <v>497</v>
      </c>
      <c r="C131" s="1518"/>
      <c r="D131" s="1518"/>
      <c r="E131" s="1518"/>
      <c r="F131" s="1518"/>
      <c r="G131" s="1518"/>
      <c r="H131" s="1518"/>
      <c r="I131" s="1518"/>
      <c r="N131" s="403"/>
      <c r="O131" s="405">
        <f ca="1">IF(SUM(O132:O147)&gt;0,1,0)</f>
        <v>0</v>
      </c>
      <c r="P131" s="403"/>
      <c r="Q131" s="1488" t="s">
        <v>527</v>
      </c>
      <c r="R131" s="1489"/>
      <c r="S131" s="1489"/>
      <c r="T131" s="1489"/>
      <c r="U131" s="1489"/>
      <c r="V131" s="432" t="str">
        <f ca="1">INDIRECT("ТИП4!"&amp;"$Z$4")</f>
        <v>-</v>
      </c>
      <c r="W131" s="431" t="str">
        <f ca="1">IF(INDIRECT("ТИП4!"&amp;"$Z$4")=1,"●","")</f>
        <v/>
      </c>
      <c r="X131" s="1490" t="s">
        <v>528</v>
      </c>
      <c r="Y131" s="1491"/>
      <c r="Z131" s="1491"/>
      <c r="AA131" s="1491"/>
      <c r="AB131" s="1491"/>
      <c r="AC131" s="433" t="str">
        <f ca="1">INDIRECT("ТИП4!"&amp;"$Z$3")</f>
        <v>-</v>
      </c>
      <c r="AD131" s="434" t="str">
        <f ca="1">IF(INDIRECT("ТИП4!"&amp;"$Z$3")=1,"●","")</f>
        <v/>
      </c>
    </row>
    <row r="132" spans="2:31" s="385" customFormat="1" ht="15.75" hidden="1" customHeight="1">
      <c r="B132" s="1125" t="str">
        <f t="shared" ref="B132:B147" ca="1" si="33">IF(AND($V$131=1,Q132&gt;0),Q132,IF(AND($AC$131=1,X132&gt;0),X132,"-"))</f>
        <v>-</v>
      </c>
      <c r="C132" s="1125"/>
      <c r="D132" s="581" t="str">
        <f t="shared" ref="D132:D147" ca="1" si="34">IF(AND($V$131=1,S132&gt;0),S132,IF(AND($AC$131=1,Z132&gt;0),Z132,"-"))</f>
        <v>-</v>
      </c>
      <c r="E132" s="581" t="str">
        <f t="shared" ref="E132:E147" ca="1" si="35">IF(AND($V$131=1,T132&gt;0),T132,IF(AND($AC$131=1,AA132&gt;0),AA132,"-"))</f>
        <v>-</v>
      </c>
      <c r="F132" s="581" t="str">
        <f t="shared" ref="F132:F147" ca="1" si="36">IF(AND($V$131=1,U132&gt;0),U132,IF(AND($AC$131=1,AB132&gt;0),AB132,"-"))</f>
        <v>-</v>
      </c>
      <c r="G132" s="581" t="str">
        <f t="shared" ref="G132:G147" ca="1" si="37">IF(AND($V$131=1,V132&gt;0),V132,IF(AND($AC$131=1,AC132&gt;0),AC132,"-"))</f>
        <v>-</v>
      </c>
      <c r="H132" s="581" t="str">
        <f t="shared" ref="H132:H147" ca="1" si="38">IF(AND($V$131=1,W132&gt;0),W132,IF(AND($AC$131=1,AD132&gt;0),AD132,"-"))</f>
        <v>-</v>
      </c>
      <c r="I132" s="706" t="str">
        <f ca="1">IF(AND(R132&gt;0,$V$131=1),IF(OR(R132=1,R132=2),HYPERLINK($AH$83,$AM$83),IF(R132&gt;=3,HYPERLINK($AH$82,$AM$82))),IF(AND(Y132&gt;0,$AC$131=1),HYPERLINK($AH$81,$AM$81),""))</f>
        <v/>
      </c>
      <c r="N132" s="403"/>
      <c r="O132" s="405">
        <f t="shared" ca="1" si="26"/>
        <v>0</v>
      </c>
      <c r="P132" s="403"/>
      <c r="Q132" s="413">
        <f ca="1">IF(S132&gt;0,INDIRECT("ТИП4!"&amp;"$P$81"),0)</f>
        <v>0</v>
      </c>
      <c r="R132" s="414">
        <f ca="1">IFERROR(INDIRECT("ТИП4!"&amp;"$AN$81"),0)</f>
        <v>0</v>
      </c>
      <c r="S132" s="414">
        <f ca="1">IFERROR(INDIRECT("ТИП4!"&amp;"$T$81"),0)</f>
        <v>0</v>
      </c>
      <c r="T132" s="414">
        <f ca="1">IFERROR(INDIRECT("ТИП4!"&amp;"$R$81"),0)</f>
        <v>0</v>
      </c>
      <c r="U132" s="414">
        <f ca="1">IFERROR(INDIRECT("ТИП4!"&amp;"$S$81"),0)</f>
        <v>0</v>
      </c>
      <c r="V132" s="414">
        <f ca="1">IFERROR(INDIRECT("ТИП4!"&amp;"$U$81"),0)</f>
        <v>0</v>
      </c>
      <c r="W132" s="414">
        <f ca="1">IFERROR(INDIRECT("ТИП4!"&amp;"$V$81"),0)</f>
        <v>0</v>
      </c>
      <c r="X132" s="415">
        <f ca="1">IF(Z132&gt;0,INDIRECT("ТИП4!"&amp;"$P$133"),0)</f>
        <v>0</v>
      </c>
      <c r="Y132" s="414">
        <f ca="1">IFERROR(INDIRECT("ТИП4!"&amp;"$AN$133"),0)</f>
        <v>0</v>
      </c>
      <c r="Z132" s="416">
        <f ca="1">IFERROR(INDIRECT("ТИП4!"&amp;"$T$133"),0)</f>
        <v>0</v>
      </c>
      <c r="AA132" s="414">
        <f ca="1">IFERROR(INDIRECT("ТИП4!"&amp;"$R$133"),0)</f>
        <v>0</v>
      </c>
      <c r="AB132" s="414">
        <f ca="1">IFERROR(INDIRECT("ТИП4!"&amp;"$S$133"),0)</f>
        <v>0</v>
      </c>
      <c r="AC132" s="414">
        <f ca="1">IFERROR(INDIRECT("ТИП4!"&amp;"$U$133"),0)</f>
        <v>0</v>
      </c>
      <c r="AD132" s="414">
        <f ca="1">IFERROR(INDIRECT("ТИП4!"&amp;"$V$133"),0)</f>
        <v>0</v>
      </c>
      <c r="AE132" s="1517" t="s">
        <v>567</v>
      </c>
    </row>
    <row r="133" spans="2:31" s="385" customFormat="1" ht="15.75" hidden="1" customHeight="1">
      <c r="B133" s="1125" t="str">
        <f t="shared" ca="1" si="33"/>
        <v>-</v>
      </c>
      <c r="C133" s="1125"/>
      <c r="D133" s="581" t="str">
        <f t="shared" ca="1" si="34"/>
        <v>-</v>
      </c>
      <c r="E133" s="581" t="str">
        <f t="shared" ca="1" si="35"/>
        <v>-</v>
      </c>
      <c r="F133" s="581" t="str">
        <f t="shared" ca="1" si="36"/>
        <v>-</v>
      </c>
      <c r="G133" s="581" t="str">
        <f t="shared" ca="1" si="37"/>
        <v>-</v>
      </c>
      <c r="H133" s="581" t="str">
        <f t="shared" ca="1" si="38"/>
        <v>-</v>
      </c>
      <c r="I133" s="706" t="str">
        <f ca="1">IF(AND(R133&gt;0,$V$131=1),IF(OR(R133=1,R133=2),HYPERLINK($AH$83,$AM$83),IF(R133&gt;=3,HYPERLINK($AH$82,$AM$82))),IF(AND(Y133&gt;0,$AC$131=1),HYPERLINK($AH$81,$AM$81),""))</f>
        <v/>
      </c>
      <c r="N133" s="403"/>
      <c r="O133" s="405">
        <f t="shared" ca="1" si="26"/>
        <v>0</v>
      </c>
      <c r="P133" s="403"/>
      <c r="Q133" s="413">
        <f ca="1">IF(S133&gt;0,INDIRECT("ТИП4!"&amp;"$P$82"),0)</f>
        <v>0</v>
      </c>
      <c r="R133" s="414">
        <f ca="1">IFERROR(INDIRECT("ТИП4!"&amp;"$AN$82"),0)</f>
        <v>0</v>
      </c>
      <c r="S133" s="414">
        <f ca="1">IFERROR(INDIRECT("ТИП4!"&amp;"$T$82"),0)</f>
        <v>0</v>
      </c>
      <c r="T133" s="414">
        <f ca="1">IFERROR(INDIRECT("ТИП4!"&amp;"$R$82"),0)</f>
        <v>0</v>
      </c>
      <c r="U133" s="414">
        <f ca="1">IFERROR(INDIRECT("ТИП4!"&amp;"$S$82"),0)</f>
        <v>0</v>
      </c>
      <c r="V133" s="414">
        <f ca="1">IFERROR(INDIRECT("ТИП4!"&amp;"$U$82"),0)</f>
        <v>0</v>
      </c>
      <c r="W133" s="414">
        <f ca="1">IFERROR(INDIRECT("ТИП4!"&amp;"$V$82"),0)</f>
        <v>0</v>
      </c>
      <c r="X133" s="413">
        <f ca="1">IF(Z133&gt;0,INDIRECT("ТИП4!"&amp;"$P$134"),0)</f>
        <v>0</v>
      </c>
      <c r="Y133" s="414">
        <f ca="1">IFERROR(INDIRECT("ТИП4!"&amp;"$AN$134"),0)</f>
        <v>0</v>
      </c>
      <c r="Z133" s="414">
        <f ca="1">IFERROR(INDIRECT("ТИП4!"&amp;"$T$134"),0)</f>
        <v>0</v>
      </c>
      <c r="AA133" s="414">
        <f ca="1">IFERROR(INDIRECT("ТИП4!"&amp;"$R$134"),0)</f>
        <v>0</v>
      </c>
      <c r="AB133" s="414">
        <f ca="1">IFERROR(INDIRECT("ТИП4!"&amp;"$S$134"),0)</f>
        <v>0</v>
      </c>
      <c r="AC133" s="414">
        <f ca="1">IFERROR(INDIRECT("ТИП4!"&amp;"$U$134"),0)</f>
        <v>0</v>
      </c>
      <c r="AD133" s="414">
        <f ca="1">IFERROR(INDIRECT("ТИП4!"&amp;"$V$134"),0)</f>
        <v>0</v>
      </c>
      <c r="AE133" s="1517"/>
    </row>
    <row r="134" spans="2:31" s="385" customFormat="1" ht="15.75" hidden="1" customHeight="1">
      <c r="B134" s="1125" t="str">
        <f t="shared" ca="1" si="33"/>
        <v>-</v>
      </c>
      <c r="C134" s="1125"/>
      <c r="D134" s="581" t="str">
        <f t="shared" ca="1" si="34"/>
        <v>-</v>
      </c>
      <c r="E134" s="581" t="str">
        <f t="shared" ca="1" si="35"/>
        <v>-</v>
      </c>
      <c r="F134" s="581" t="str">
        <f t="shared" ca="1" si="36"/>
        <v>-</v>
      </c>
      <c r="G134" s="581" t="str">
        <f t="shared" ca="1" si="37"/>
        <v>-</v>
      </c>
      <c r="H134" s="581" t="str">
        <f t="shared" ca="1" si="38"/>
        <v>-</v>
      </c>
      <c r="I134" s="706" t="str">
        <f ca="1">IF(AND(R134&gt;0,$V$131=1),IF(OR(R134=1,R134=2),HYPERLINK($AH$83,$AM$83),IF(R134&gt;=3,HYPERLINK($AH$82,$AM$82))),IF(AND(Y134&gt;0,$AC$131=1),HYPERLINK($AH$81,$AM$81),""))</f>
        <v/>
      </c>
      <c r="N134" s="403"/>
      <c r="O134" s="405">
        <f t="shared" ca="1" si="26"/>
        <v>0</v>
      </c>
      <c r="P134" s="403"/>
      <c r="Q134" s="413">
        <f ca="1">IF(S134&gt;0,INDIRECT("ТИП4!"&amp;"$P$83"),0)</f>
        <v>0</v>
      </c>
      <c r="R134" s="414">
        <f ca="1">IFERROR(INDIRECT("ТИП4!"&amp;"$AN$83"),0)</f>
        <v>0</v>
      </c>
      <c r="S134" s="414">
        <f ca="1">IFERROR(INDIRECT("ТИП4!"&amp;"$T$83"),0)</f>
        <v>0</v>
      </c>
      <c r="T134" s="414">
        <f ca="1">IFERROR(INDIRECT("ТИП4!"&amp;"$R$83"),0)</f>
        <v>0</v>
      </c>
      <c r="U134" s="414">
        <f ca="1">IFERROR(INDIRECT("ТИП4!"&amp;"$S$83"),0)</f>
        <v>0</v>
      </c>
      <c r="V134" s="414">
        <f ca="1">IFERROR(INDIRECT("ТИП4!"&amp;"$U$83"),0)</f>
        <v>0</v>
      </c>
      <c r="W134" s="414">
        <f ca="1">IFERROR(INDIRECT("ТИП4!"&amp;"$V$83"),0)</f>
        <v>0</v>
      </c>
      <c r="X134" s="413">
        <f ca="1">IF(Z134&gt;0,INDIRECT("ТИП4!"&amp;"$P$135"),0)</f>
        <v>0</v>
      </c>
      <c r="Y134" s="414">
        <f ca="1">IFERROR(INDIRECT("ТИП4!"&amp;"$AN$135"),0)</f>
        <v>0</v>
      </c>
      <c r="Z134" s="414">
        <f ca="1">IFERROR(INDIRECT("ТИП4!"&amp;"$T$135"),0)</f>
        <v>0</v>
      </c>
      <c r="AA134" s="414">
        <f ca="1">IFERROR(INDIRECT("ТИП4!"&amp;"$R$135"),0)</f>
        <v>0</v>
      </c>
      <c r="AB134" s="414">
        <f ca="1">IFERROR(INDIRECT("ТИП4!"&amp;"$S$135"),0)</f>
        <v>0</v>
      </c>
      <c r="AC134" s="414">
        <f ca="1">IFERROR(INDIRECT("ТИП4!"&amp;"$U$135"),0)</f>
        <v>0</v>
      </c>
      <c r="AD134" s="414">
        <f ca="1">IFERROR(INDIRECT("ТИП4!"&amp;"$V$135"),0)</f>
        <v>0</v>
      </c>
      <c r="AE134" s="1517"/>
    </row>
    <row r="135" spans="2:31" s="385" customFormat="1" ht="15.75" hidden="1" customHeight="1">
      <c r="B135" s="1125" t="str">
        <f t="shared" ca="1" si="33"/>
        <v>-</v>
      </c>
      <c r="C135" s="1125"/>
      <c r="D135" s="581" t="str">
        <f t="shared" ca="1" si="34"/>
        <v>-</v>
      </c>
      <c r="E135" s="581" t="str">
        <f t="shared" ca="1" si="35"/>
        <v>-</v>
      </c>
      <c r="F135" s="581" t="str">
        <f t="shared" ca="1" si="36"/>
        <v>-</v>
      </c>
      <c r="G135" s="581" t="str">
        <f t="shared" ca="1" si="37"/>
        <v>-</v>
      </c>
      <c r="H135" s="581" t="str">
        <f t="shared" ca="1" si="38"/>
        <v>-</v>
      </c>
      <c r="I135" s="706" t="str">
        <f ca="1">IF(AND(R135&gt;0,$V$131=1),IF(OR(R135=1,R135=2),HYPERLINK($AH$83,$AM$83),IF(R135&gt;=3,HYPERLINK($AH$82,$AM$82))),IF(AND(Y135&gt;0,$AC$131=1),HYPERLINK($AH$81,$AM$81),""))</f>
        <v/>
      </c>
      <c r="N135" s="403"/>
      <c r="O135" s="405">
        <f t="shared" ca="1" si="26"/>
        <v>0</v>
      </c>
      <c r="P135" s="403"/>
      <c r="Q135" s="413">
        <f ca="1">IF(S135&gt;0,INDIRECT("ТИП4!"&amp;"$P$84"),0)</f>
        <v>0</v>
      </c>
      <c r="R135" s="414">
        <f ca="1">IFERROR(INDIRECT("ТИП4!"&amp;"$AN$84"),0)</f>
        <v>0</v>
      </c>
      <c r="S135" s="414">
        <f ca="1">IFERROR(INDIRECT("ТИП4!"&amp;"$T$84"),0)</f>
        <v>0</v>
      </c>
      <c r="T135" s="414">
        <f ca="1">IFERROR(INDIRECT("ТИП4!"&amp;"$R$84"),0)</f>
        <v>0</v>
      </c>
      <c r="U135" s="414">
        <f ca="1">IFERROR(INDIRECT("ТИП4!"&amp;"$S$84"),0)</f>
        <v>0</v>
      </c>
      <c r="V135" s="414">
        <f ca="1">IFERROR(INDIRECT("ТИП4!"&amp;"$U$84"),0)</f>
        <v>0</v>
      </c>
      <c r="W135" s="414">
        <f ca="1">IFERROR(INDIRECT("ТИП4!"&amp;"$V$84"),0)</f>
        <v>0</v>
      </c>
      <c r="X135" s="413">
        <f ca="1">IF(Z135&gt;0,INDIRECT("ТИП4!"&amp;"$P$136"),0)</f>
        <v>0</v>
      </c>
      <c r="Y135" s="414">
        <f ca="1">IFERROR(INDIRECT("ТИП4!"&amp;"$AN$136"),0)</f>
        <v>0</v>
      </c>
      <c r="Z135" s="414">
        <f ca="1">IFERROR(INDIRECT("ТИП4!"&amp;"$T$136"),0)</f>
        <v>0</v>
      </c>
      <c r="AA135" s="414">
        <f ca="1">IFERROR(INDIRECT("ТИП4!"&amp;"$R$136"),0)</f>
        <v>0</v>
      </c>
      <c r="AB135" s="414">
        <f ca="1">IFERROR(INDIRECT("ТИП4!"&amp;"$S$136"),0)</f>
        <v>0</v>
      </c>
      <c r="AC135" s="414">
        <f ca="1">IFERROR(INDIRECT("ТИП4!"&amp;"$U$136"),0)</f>
        <v>0</v>
      </c>
      <c r="AD135" s="414">
        <f ca="1">IFERROR(INDIRECT("ТИП4!"&amp;"$V$136"),0)</f>
        <v>0</v>
      </c>
      <c r="AE135" s="1517"/>
    </row>
    <row r="136" spans="2:31" s="385" customFormat="1" ht="15.75" hidden="1" customHeight="1">
      <c r="B136" s="1125" t="str">
        <f t="shared" ca="1" si="33"/>
        <v>-</v>
      </c>
      <c r="C136" s="1125"/>
      <c r="D136" s="581" t="str">
        <f t="shared" ca="1" si="34"/>
        <v>-</v>
      </c>
      <c r="E136" s="581" t="str">
        <f t="shared" ca="1" si="35"/>
        <v>-</v>
      </c>
      <c r="F136" s="581" t="str">
        <f t="shared" ca="1" si="36"/>
        <v>-</v>
      </c>
      <c r="G136" s="581" t="str">
        <f t="shared" ca="1" si="37"/>
        <v>-</v>
      </c>
      <c r="H136" s="581" t="str">
        <f t="shared" ca="1" si="38"/>
        <v>-</v>
      </c>
      <c r="I136" s="706" t="str">
        <f ca="1">IF(AND(R136&gt;0,$V$131=1),IF(OR(R136=1,R136=2),HYPERLINK($AH$83,$AM$83),IF(R136&gt;=3,HYPERLINK($AH$82,$AM$82))),IF(AND(Y136&gt;0,$AC$131=1),HYPERLINK($AH$81,$AM$81),""))</f>
        <v/>
      </c>
      <c r="N136" s="403"/>
      <c r="O136" s="405">
        <f t="shared" ca="1" si="26"/>
        <v>0</v>
      </c>
      <c r="P136" s="403"/>
      <c r="Q136" s="413">
        <f ca="1">IF(S136&gt;0,INDIRECT("ТИП4!"&amp;"$P$85"),0)</f>
        <v>0</v>
      </c>
      <c r="R136" s="414">
        <f ca="1">IFERROR(INDIRECT("ТИП4!"&amp;"$AN$85"),0)</f>
        <v>0</v>
      </c>
      <c r="S136" s="414">
        <f ca="1">IFERROR(INDIRECT("ТИП4!"&amp;"$T$85"),0)</f>
        <v>0</v>
      </c>
      <c r="T136" s="414">
        <f ca="1">IFERROR(INDIRECT("ТИП4!"&amp;"$R$85"),0)</f>
        <v>0</v>
      </c>
      <c r="U136" s="414">
        <f ca="1">IFERROR(INDIRECT("ТИП4!"&amp;"$S$85"),0)</f>
        <v>0</v>
      </c>
      <c r="V136" s="414">
        <f ca="1">IFERROR(INDIRECT("ТИП4!"&amp;"$U$85"),0)</f>
        <v>0</v>
      </c>
      <c r="W136" s="414">
        <f ca="1">IFERROR(INDIRECT("ТИП4!"&amp;"$V$85"),0)</f>
        <v>0</v>
      </c>
      <c r="X136" s="413">
        <f ca="1">IF(Z136&gt;0,INDIRECT("ТИП4!"&amp;"$P$137"),0)</f>
        <v>0</v>
      </c>
      <c r="Y136" s="414">
        <f ca="1">IFERROR(INDIRECT("ТИП4!"&amp;"$AN$137"),0)</f>
        <v>0</v>
      </c>
      <c r="Z136" s="414">
        <f ca="1">IFERROR(INDIRECT("ТИП4!"&amp;"$T$137"),0)</f>
        <v>0</v>
      </c>
      <c r="AA136" s="414">
        <f ca="1">IFERROR(INDIRECT("ТИП4!"&amp;"$R$137"),0)</f>
        <v>0</v>
      </c>
      <c r="AB136" s="414">
        <f ca="1">IFERROR(INDIRECT("ТИП4!"&amp;"$S$137"),0)</f>
        <v>0</v>
      </c>
      <c r="AC136" s="414">
        <f ca="1">IFERROR(INDIRECT("ТИП4!"&amp;"$U$137"),0)</f>
        <v>0</v>
      </c>
      <c r="AD136" s="414">
        <f ca="1">IFERROR(INDIRECT("ТИП4!"&amp;"$V$137"),0)</f>
        <v>0</v>
      </c>
      <c r="AE136" s="1517"/>
    </row>
    <row r="137" spans="2:31" s="385" customFormat="1" ht="15.75" hidden="1" customHeight="1">
      <c r="B137" s="1125" t="str">
        <f t="shared" ca="1" si="33"/>
        <v>-</v>
      </c>
      <c r="C137" s="1125"/>
      <c r="D137" s="581" t="str">
        <f t="shared" ca="1" si="34"/>
        <v>-</v>
      </c>
      <c r="E137" s="581" t="str">
        <f t="shared" ca="1" si="35"/>
        <v>-</v>
      </c>
      <c r="F137" s="581" t="str">
        <f t="shared" ca="1" si="36"/>
        <v>-</v>
      </c>
      <c r="G137" s="581" t="str">
        <f t="shared" ca="1" si="37"/>
        <v>-</v>
      </c>
      <c r="H137" s="581" t="str">
        <f t="shared" ca="1" si="38"/>
        <v>-</v>
      </c>
      <c r="I137" s="706" t="str">
        <f ca="1">IF(AND(R137&gt;0,$V$131=1),IF(OR(R137=1,R137=2),HYPERLINK($AH$85,$AM$85),IF(R137&gt;=3,HYPERLINK($AH$86,$AM$86))),IF(AND(Y137&gt;0,$AC$131=1),HYPERLINK($AH$84,$AM$84),""))</f>
        <v/>
      </c>
      <c r="N137" s="403"/>
      <c r="O137" s="405">
        <f t="shared" ca="1" si="26"/>
        <v>0</v>
      </c>
      <c r="P137" s="403"/>
      <c r="Q137" s="421">
        <f ca="1">IF(S137&gt;0,INDIRECT("ТИП4!"&amp;"$P$88"),0)</f>
        <v>0</v>
      </c>
      <c r="R137" s="422">
        <f ca="1">IFERROR(INDIRECT("ТИП4!"&amp;"$AN$88"),0)</f>
        <v>0</v>
      </c>
      <c r="S137" s="422">
        <f ca="1">IFERROR(INDIRECT("ТИП4!"&amp;"$T$88"),0)</f>
        <v>0</v>
      </c>
      <c r="T137" s="422">
        <f ca="1">IFERROR(INDIRECT("ТИП4!"&amp;"$R$88"),0)</f>
        <v>0</v>
      </c>
      <c r="U137" s="422">
        <f ca="1">IFERROR(INDIRECT("ТИП4!"&amp;"$S$88"),0)</f>
        <v>0</v>
      </c>
      <c r="V137" s="422">
        <f ca="1">IFERROR(INDIRECT("ТИП4!"&amp;"$U$88"),0)</f>
        <v>0</v>
      </c>
      <c r="W137" s="422">
        <f ca="1">IFERROR(INDIRECT("ТИП4!"&amp;"$V$88"),0)</f>
        <v>0</v>
      </c>
      <c r="X137" s="421">
        <f ca="1">IF(Z137&gt;0,INDIRECT("ТИП4!"&amp;"$P$141"),0)</f>
        <v>0</v>
      </c>
      <c r="Y137" s="422">
        <f ca="1">IFERROR(INDIRECT("ТИП4!"&amp;"$AN$141"),0)</f>
        <v>0</v>
      </c>
      <c r="Z137" s="422">
        <f ca="1">IFERROR(INDIRECT("ТИП4!"&amp;"$T$141"),0)</f>
        <v>0</v>
      </c>
      <c r="AA137" s="422">
        <f ca="1">IFERROR(INDIRECT("ТИП4!"&amp;"$R$141"),0)</f>
        <v>0</v>
      </c>
      <c r="AB137" s="422">
        <f ca="1">IFERROR(INDIRECT("ТИП4!"&amp;"$S$141"),0)</f>
        <v>0</v>
      </c>
      <c r="AC137" s="422">
        <f ca="1">IFERROR(INDIRECT("ТИП4!"&amp;"$U$141"),0)</f>
        <v>0</v>
      </c>
      <c r="AD137" s="422">
        <f ca="1">IFERROR(INDIRECT("ТИП4!"&amp;"$V$141"),0)</f>
        <v>0</v>
      </c>
      <c r="AE137" s="1515" t="s">
        <v>568</v>
      </c>
    </row>
    <row r="138" spans="2:31" s="385" customFormat="1" ht="15.75" hidden="1" customHeight="1">
      <c r="B138" s="1125" t="str">
        <f t="shared" ca="1" si="33"/>
        <v>-</v>
      </c>
      <c r="C138" s="1125"/>
      <c r="D138" s="581" t="str">
        <f t="shared" ca="1" si="34"/>
        <v>-</v>
      </c>
      <c r="E138" s="581" t="str">
        <f t="shared" ca="1" si="35"/>
        <v>-</v>
      </c>
      <c r="F138" s="581" t="str">
        <f t="shared" ca="1" si="36"/>
        <v>-</v>
      </c>
      <c r="G138" s="581" t="str">
        <f t="shared" ca="1" si="37"/>
        <v>-</v>
      </c>
      <c r="H138" s="581" t="str">
        <f t="shared" ca="1" si="38"/>
        <v>-</v>
      </c>
      <c r="I138" s="706" t="str">
        <f ca="1">IF(AND(R138&gt;0,$V$131=1),IF(OR(R138=1,R138=2),HYPERLINK($AH$85,$AM$85),IF(R138&gt;=3,HYPERLINK($AH$86,$AM$86))),IF(AND(Y138&gt;0,$AC$131=1),HYPERLINK($AH$84,$AM$84),""))</f>
        <v/>
      </c>
      <c r="N138" s="403"/>
      <c r="O138" s="405">
        <f t="shared" ca="1" si="26"/>
        <v>0</v>
      </c>
      <c r="P138" s="403"/>
      <c r="Q138" s="421">
        <f ca="1">IF(S138&gt;0,INDIRECT("ТИП4!"&amp;"$P$89"),0)</f>
        <v>0</v>
      </c>
      <c r="R138" s="422">
        <f ca="1">IFERROR(INDIRECT("ТИП4!"&amp;"$AN$89"),0)</f>
        <v>0</v>
      </c>
      <c r="S138" s="422">
        <f ca="1">IFERROR(INDIRECT("ТИП4!"&amp;"$T$89"),0)</f>
        <v>0</v>
      </c>
      <c r="T138" s="422">
        <f ca="1">IFERROR(INDIRECT("ТИП4!"&amp;"$R$89"),0)</f>
        <v>0</v>
      </c>
      <c r="U138" s="422">
        <f ca="1">IFERROR(INDIRECT("ТИП4!"&amp;"$S$89"),0)</f>
        <v>0</v>
      </c>
      <c r="V138" s="422">
        <f ca="1">IFERROR(INDIRECT("ТИП4!"&amp;"$U$89"),0)</f>
        <v>0</v>
      </c>
      <c r="W138" s="422">
        <f ca="1">IFERROR(INDIRECT("ТИП4!"&amp;"$V$89"),0)</f>
        <v>0</v>
      </c>
      <c r="X138" s="421">
        <f ca="1">IF(Z138&gt;0,INDIRECT("ТИП4!"&amp;"$P$142"),0)</f>
        <v>0</v>
      </c>
      <c r="Y138" s="422">
        <f ca="1">IFERROR(INDIRECT("ТИП4!"&amp;"$AN$142"),0)</f>
        <v>0</v>
      </c>
      <c r="Z138" s="422">
        <f ca="1">IFERROR(INDIRECT("ТИП4!"&amp;"$T$142"),0)</f>
        <v>0</v>
      </c>
      <c r="AA138" s="422">
        <f ca="1">IFERROR(INDIRECT("ТИП4!"&amp;"$R$142"),0)</f>
        <v>0</v>
      </c>
      <c r="AB138" s="422">
        <f ca="1">IFERROR(INDIRECT("ТИП4!"&amp;"$S$142"),0)</f>
        <v>0</v>
      </c>
      <c r="AC138" s="422">
        <f ca="1">IFERROR(INDIRECT("ТИП4!"&amp;"$U$142"),0)</f>
        <v>0</v>
      </c>
      <c r="AD138" s="422">
        <f ca="1">IFERROR(INDIRECT("ТИП4!"&amp;"$V$142"),0)</f>
        <v>0</v>
      </c>
      <c r="AE138" s="1515"/>
    </row>
    <row r="139" spans="2:31" s="385" customFormat="1" ht="15.75" hidden="1" customHeight="1">
      <c r="B139" s="1125" t="str">
        <f t="shared" ca="1" si="33"/>
        <v>-</v>
      </c>
      <c r="C139" s="1125"/>
      <c r="D139" s="581" t="str">
        <f t="shared" ca="1" si="34"/>
        <v>-</v>
      </c>
      <c r="E139" s="581" t="str">
        <f t="shared" ca="1" si="35"/>
        <v>-</v>
      </c>
      <c r="F139" s="581" t="str">
        <f t="shared" ca="1" si="36"/>
        <v>-</v>
      </c>
      <c r="G139" s="581" t="str">
        <f t="shared" ca="1" si="37"/>
        <v>-</v>
      </c>
      <c r="H139" s="581" t="str">
        <f t="shared" ca="1" si="38"/>
        <v>-</v>
      </c>
      <c r="I139" s="706" t="str">
        <f ca="1">IF(AND(R139&gt;0,$V$131=1),IF(OR(R139=1,R139=2),HYPERLINK($AH$85,$AM$85),IF(R139&gt;=3,HYPERLINK($AH$86,$AM$86))),IF(AND(Y139&gt;0,$AC$131=1),HYPERLINK($AH$84,$AM$84),""))</f>
        <v/>
      </c>
      <c r="N139" s="403"/>
      <c r="O139" s="405">
        <f t="shared" ca="1" si="26"/>
        <v>0</v>
      </c>
      <c r="P139" s="403"/>
      <c r="Q139" s="421">
        <f ca="1">IF(S139&gt;0,INDIRECT("ТИП4!"&amp;"$P$90"),0)</f>
        <v>0</v>
      </c>
      <c r="R139" s="422">
        <f ca="1">IFERROR(INDIRECT("ТИП4!"&amp;"$AN$90"),0)</f>
        <v>0</v>
      </c>
      <c r="S139" s="422">
        <f ca="1">IFERROR(INDIRECT("ТИП4!"&amp;"$T$90"),0)</f>
        <v>0</v>
      </c>
      <c r="T139" s="422">
        <f ca="1">IFERROR(INDIRECT("ТИП4!"&amp;"$R$90"),0)</f>
        <v>0</v>
      </c>
      <c r="U139" s="422">
        <f ca="1">IFERROR(INDIRECT("ТИП4!"&amp;"$S$90"),0)</f>
        <v>0</v>
      </c>
      <c r="V139" s="422">
        <f ca="1">IFERROR(INDIRECT("ТИП4!"&amp;"$U$90"),0)</f>
        <v>0</v>
      </c>
      <c r="W139" s="422">
        <f ca="1">IFERROR(INDIRECT("ТИП4!"&amp;"$V$90"),0)</f>
        <v>0</v>
      </c>
      <c r="X139" s="421">
        <f ca="1">IF(Z139&gt;0,INDIRECT("ТИП4!"&amp;"$P$143"),0)</f>
        <v>0</v>
      </c>
      <c r="Y139" s="422">
        <f ca="1">IFERROR(INDIRECT("ТИП4!"&amp;"$AN$143"),0)</f>
        <v>0</v>
      </c>
      <c r="Z139" s="422">
        <f ca="1">IFERROR(INDIRECT("ТИП4!"&amp;"$T$143"),0)</f>
        <v>0</v>
      </c>
      <c r="AA139" s="422">
        <f ca="1">IFERROR(INDIRECT("ТИП4!"&amp;"$R$143"),0)</f>
        <v>0</v>
      </c>
      <c r="AB139" s="422">
        <f ca="1">IFERROR(INDIRECT("ТИП4!"&amp;"$S$143"),0)</f>
        <v>0</v>
      </c>
      <c r="AC139" s="422">
        <f ca="1">IFERROR(INDIRECT("ТИП4!"&amp;"$U$143"),0)</f>
        <v>0</v>
      </c>
      <c r="AD139" s="422">
        <f ca="1">IFERROR(INDIRECT("ТИП4!"&amp;"$V$143"),0)</f>
        <v>0</v>
      </c>
      <c r="AE139" s="1515"/>
    </row>
    <row r="140" spans="2:31" s="385" customFormat="1" ht="15.75" hidden="1" customHeight="1">
      <c r="B140" s="1125" t="str">
        <f t="shared" ca="1" si="33"/>
        <v>-</v>
      </c>
      <c r="C140" s="1125"/>
      <c r="D140" s="581" t="str">
        <f t="shared" ca="1" si="34"/>
        <v>-</v>
      </c>
      <c r="E140" s="581" t="str">
        <f t="shared" ca="1" si="35"/>
        <v>-</v>
      </c>
      <c r="F140" s="581" t="str">
        <f t="shared" ca="1" si="36"/>
        <v>-</v>
      </c>
      <c r="G140" s="581" t="str">
        <f t="shared" ca="1" si="37"/>
        <v>-</v>
      </c>
      <c r="H140" s="581" t="str">
        <f t="shared" ca="1" si="38"/>
        <v>-</v>
      </c>
      <c r="I140" s="706" t="str">
        <f ca="1">IF(AND(R140&gt;0,$V$131=1),IF(OR(R140=1,R140=2),HYPERLINK($AH$85,$AM$85),IF(R140&gt;=3,HYPERLINK($AH$86,$AM$86))),IF(AND(Y140&gt;0,$AC$131=1),HYPERLINK($AH$84,$AM$84),""))</f>
        <v/>
      </c>
      <c r="N140" s="403"/>
      <c r="O140" s="405">
        <f t="shared" ca="1" si="26"/>
        <v>0</v>
      </c>
      <c r="P140" s="403"/>
      <c r="Q140" s="421">
        <f ca="1">IF(S140&gt;0,INDIRECT("ТИП4!"&amp;"$P$91"),0)</f>
        <v>0</v>
      </c>
      <c r="R140" s="422">
        <f ca="1">IFERROR(INDIRECT("ТИП4!"&amp;"$AN$91"),0)</f>
        <v>0</v>
      </c>
      <c r="S140" s="422">
        <f ca="1">IFERROR(INDIRECT("ТИП4!"&amp;"$T$91"),0)</f>
        <v>0</v>
      </c>
      <c r="T140" s="422">
        <f ca="1">IFERROR(INDIRECT("ТИП4!"&amp;"$R$91"),0)</f>
        <v>0</v>
      </c>
      <c r="U140" s="422">
        <f ca="1">IFERROR(INDIRECT("ТИП4!"&amp;"$S$91"),0)</f>
        <v>0</v>
      </c>
      <c r="V140" s="422">
        <f ca="1">IFERROR(INDIRECT("ТИП4!"&amp;"$U$91"),0)</f>
        <v>0</v>
      </c>
      <c r="W140" s="422">
        <f ca="1">IFERROR(INDIRECT("ТИП4!"&amp;"$V$91"),0)</f>
        <v>0</v>
      </c>
      <c r="X140" s="421">
        <f ca="1">IF(Z140&gt;0,INDIRECT("ТИП4!"&amp;"$P$144"),0)</f>
        <v>0</v>
      </c>
      <c r="Y140" s="422">
        <f ca="1">IFERROR(INDIRECT("ТИП4!"&amp;"$AN$144"),0)</f>
        <v>0</v>
      </c>
      <c r="Z140" s="422">
        <f ca="1">IFERROR(INDIRECT("ТИП4!"&amp;"$T$144"),0)</f>
        <v>0</v>
      </c>
      <c r="AA140" s="422">
        <f ca="1">IFERROR(INDIRECT("ТИП4!"&amp;"$R$144"),0)</f>
        <v>0</v>
      </c>
      <c r="AB140" s="422">
        <f ca="1">IFERROR(INDIRECT("ТИП4!"&amp;"$S$144"),0)</f>
        <v>0</v>
      </c>
      <c r="AC140" s="422">
        <f ca="1">IFERROR(INDIRECT("ТИП4!"&amp;"$U$144"),0)</f>
        <v>0</v>
      </c>
      <c r="AD140" s="422">
        <f ca="1">IFERROR(INDIRECT("ТИП4!"&amp;"$V$144"),0)</f>
        <v>0</v>
      </c>
      <c r="AE140" s="1515"/>
    </row>
    <row r="141" spans="2:31" s="385" customFormat="1" ht="15.75" hidden="1" customHeight="1">
      <c r="B141" s="1125" t="str">
        <f t="shared" ca="1" si="33"/>
        <v>-</v>
      </c>
      <c r="C141" s="1125"/>
      <c r="D141" s="581" t="str">
        <f t="shared" ca="1" si="34"/>
        <v>-</v>
      </c>
      <c r="E141" s="581" t="str">
        <f t="shared" ca="1" si="35"/>
        <v>-</v>
      </c>
      <c r="F141" s="581" t="str">
        <f t="shared" ca="1" si="36"/>
        <v>-</v>
      </c>
      <c r="G141" s="581" t="str">
        <f t="shared" ca="1" si="37"/>
        <v>-</v>
      </c>
      <c r="H141" s="581" t="str">
        <f t="shared" ca="1" si="38"/>
        <v>-</v>
      </c>
      <c r="I141" s="706" t="str">
        <f ca="1">IF(AND(R141&gt;0,$V$131=1),IF(OR(R141=1,R141=2),HYPERLINK($AH$85,$AM$85),IF(R141&gt;=3,HYPERLINK($AH$86,$AM$86))),IF(AND(Y141&gt;0,$AC$131=1),HYPERLINK($AH$84,$AM$84),""))</f>
        <v/>
      </c>
      <c r="N141" s="403"/>
      <c r="O141" s="405">
        <f t="shared" ca="1" si="26"/>
        <v>0</v>
      </c>
      <c r="P141" s="403"/>
      <c r="Q141" s="421">
        <f ca="1">IF(S141&gt;0,INDIRECT("ТИП4!"&amp;"$P$92"),0)</f>
        <v>0</v>
      </c>
      <c r="R141" s="422">
        <f ca="1">IFERROR(INDIRECT("ТИП4!"&amp;"$AN$92"),0)</f>
        <v>0</v>
      </c>
      <c r="S141" s="422">
        <f ca="1">IFERROR(INDIRECT("ТИП4!"&amp;"$T$92"),0)</f>
        <v>0</v>
      </c>
      <c r="T141" s="422">
        <f ca="1">IFERROR(INDIRECT("ТИП4!"&amp;"$R$92"),0)</f>
        <v>0</v>
      </c>
      <c r="U141" s="422">
        <f ca="1">IFERROR(INDIRECT("ТИП4!"&amp;"$S$92"),0)</f>
        <v>0</v>
      </c>
      <c r="V141" s="422">
        <f ca="1">IFERROR(INDIRECT("ТИП4!"&amp;"$U$92"),0)</f>
        <v>0</v>
      </c>
      <c r="W141" s="422">
        <f ca="1">IFERROR(INDIRECT("ТИП4!"&amp;"$V$92"),0)</f>
        <v>0</v>
      </c>
      <c r="X141" s="421">
        <f ca="1">IF(Z141&gt;0,INDIRECT("ТИП4!"&amp;"$P$145"),0)</f>
        <v>0</v>
      </c>
      <c r="Y141" s="422">
        <f ca="1">IFERROR(INDIRECT("ТИП4!"&amp;"$AN$145"),0)</f>
        <v>0</v>
      </c>
      <c r="Z141" s="422">
        <f ca="1">IFERROR(INDIRECT("ТИП4!"&amp;"$T$145"),0)</f>
        <v>0</v>
      </c>
      <c r="AA141" s="422">
        <f ca="1">IFERROR(INDIRECT("ТИП4!"&amp;"$R$145"),0)</f>
        <v>0</v>
      </c>
      <c r="AB141" s="422">
        <f ca="1">IFERROR(INDIRECT("ТИП4!"&amp;"$S$145"),0)</f>
        <v>0</v>
      </c>
      <c r="AC141" s="422">
        <f ca="1">IFERROR(INDIRECT("ТИП4!"&amp;"$U$145"),0)</f>
        <v>0</v>
      </c>
      <c r="AD141" s="422">
        <f ca="1">IFERROR(INDIRECT("ТИП4!"&amp;"$V$145"),0)</f>
        <v>0</v>
      </c>
      <c r="AE141" s="1515"/>
    </row>
    <row r="142" spans="2:31" s="385" customFormat="1" ht="15.75" hidden="1" customHeight="1">
      <c r="B142" s="1125" t="str">
        <f t="shared" ca="1" si="33"/>
        <v>-</v>
      </c>
      <c r="C142" s="1125"/>
      <c r="D142" s="581" t="str">
        <f t="shared" ca="1" si="34"/>
        <v>-</v>
      </c>
      <c r="E142" s="581" t="str">
        <f t="shared" ca="1" si="35"/>
        <v>-</v>
      </c>
      <c r="F142" s="581" t="str">
        <f t="shared" ca="1" si="36"/>
        <v>-</v>
      </c>
      <c r="G142" s="581" t="str">
        <f t="shared" ca="1" si="37"/>
        <v>-</v>
      </c>
      <c r="H142" s="581" t="str">
        <f t="shared" ca="1" si="38"/>
        <v>-</v>
      </c>
      <c r="I142" s="706" t="str">
        <f ca="1">IF(AND(R142&gt;0,$V$131=1),IF(OR(R142=1,R142=2),HYPERLINK($AH$88,$AM$88),IF(R142&gt;=3,HYPERLINK($AH$89,$AM$89))),IF(AND(Y142&gt;0,$AC$131=1),HYPERLINK($AH$87,$AM$87),""))</f>
        <v/>
      </c>
      <c r="N142" s="403"/>
      <c r="O142" s="405">
        <f t="shared" ca="1" si="26"/>
        <v>0</v>
      </c>
      <c r="P142" s="403"/>
      <c r="Q142" s="419">
        <f ca="1">IF(S142&gt;0,INDIRECT("ТИП4!"&amp;"$Q$95"),0)</f>
        <v>0</v>
      </c>
      <c r="R142" s="420">
        <f ca="1">IFERROR(INDIRECT("ТИП4!"&amp;"$AN$95"),0)</f>
        <v>0</v>
      </c>
      <c r="S142" s="420">
        <f ca="1">IFERROR(INDIRECT("ТИП4!"&amp;"$T$95"),0)</f>
        <v>0</v>
      </c>
      <c r="T142" s="420" t="s">
        <v>6</v>
      </c>
      <c r="U142" s="420">
        <f ca="1">IFERROR(INDIRECT("ТИП4!"&amp;"$S$95"),0)</f>
        <v>0</v>
      </c>
      <c r="V142" s="420">
        <f ca="1">IFERROR(INDIRECT("ТИП4!"&amp;"$U$95"),0)</f>
        <v>0</v>
      </c>
      <c r="W142" s="420">
        <f ca="1">IFERROR(INDIRECT("ТИП4!"&amp;"$V$95"),0)</f>
        <v>0</v>
      </c>
      <c r="X142" s="419">
        <f ca="1">IF(Z142&gt;0,INDIRECT("ТИП4!"&amp;"$Q$149"),0)</f>
        <v>0</v>
      </c>
      <c r="Y142" s="420">
        <f ca="1">IFERROR(INDIRECT("ТИП4!"&amp;"$AN$149"),0)</f>
        <v>0</v>
      </c>
      <c r="Z142" s="420">
        <f ca="1">IFERROR(INDIRECT("ТИП4!"&amp;"$T$149"),0)</f>
        <v>0</v>
      </c>
      <c r="AA142" s="425" t="s">
        <v>6</v>
      </c>
      <c r="AB142" s="420">
        <f ca="1">IFERROR(INDIRECT("ТИП4!"&amp;"$S$149"),0)</f>
        <v>0</v>
      </c>
      <c r="AC142" s="420">
        <f ca="1">IFERROR(INDIRECT("ТИП4!"&amp;"$U$149"),0)</f>
        <v>0</v>
      </c>
      <c r="AD142" s="420">
        <f ca="1">IFERROR(INDIRECT("ТИП4!"&amp;"$V$149"),0)</f>
        <v>0</v>
      </c>
      <c r="AE142" s="1516" t="s">
        <v>569</v>
      </c>
    </row>
    <row r="143" spans="2:31" s="385" customFormat="1" ht="15.75" hidden="1" customHeight="1">
      <c r="B143" s="1125" t="str">
        <f t="shared" ca="1" si="33"/>
        <v>-</v>
      </c>
      <c r="C143" s="1125"/>
      <c r="D143" s="581" t="str">
        <f t="shared" ca="1" si="34"/>
        <v>-</v>
      </c>
      <c r="E143" s="581" t="str">
        <f t="shared" ca="1" si="35"/>
        <v>-</v>
      </c>
      <c r="F143" s="581" t="str">
        <f t="shared" ca="1" si="36"/>
        <v>-</v>
      </c>
      <c r="G143" s="581" t="str">
        <f t="shared" ca="1" si="37"/>
        <v>-</v>
      </c>
      <c r="H143" s="581" t="str">
        <f t="shared" ca="1" si="38"/>
        <v>-</v>
      </c>
      <c r="I143" s="706" t="str">
        <f ca="1">IF(AND(R143&gt;0,$V$131=1),IF(OR(R143=1,R143=2),HYPERLINK($AH$88,$AM$88),IF(R143&gt;=3,HYPERLINK($AH$89,$AM$89))),IF(AND(Y143&gt;0,$AC$131=1),HYPERLINK($AH$87,$AM$87),""))</f>
        <v/>
      </c>
      <c r="N143" s="403"/>
      <c r="O143" s="405">
        <f t="shared" ca="1" si="26"/>
        <v>0</v>
      </c>
      <c r="P143" s="403"/>
      <c r="Q143" s="419">
        <f ca="1">IF(S143&gt;0,INDIRECT("ТИП4!"&amp;"$Q$96"),0)</f>
        <v>0</v>
      </c>
      <c r="R143" s="420">
        <f ca="1">IFERROR(INDIRECT("ТИП4!"&amp;"$AN$96"),0)</f>
        <v>0</v>
      </c>
      <c r="S143" s="420">
        <f ca="1">IFERROR(INDIRECT("ТИП4!"&amp;"$T$96"),0)</f>
        <v>0</v>
      </c>
      <c r="T143" s="420" t="s">
        <v>6</v>
      </c>
      <c r="U143" s="420">
        <f ca="1">IFERROR(INDIRECT("ТИП4!"&amp;"$S$96"),0)</f>
        <v>0</v>
      </c>
      <c r="V143" s="420">
        <f ca="1">IFERROR(INDIRECT("ТИП4!"&amp;"$U$96"),0)</f>
        <v>0</v>
      </c>
      <c r="W143" s="420">
        <f ca="1">IFERROR(INDIRECT("ТИП4!"&amp;"$V$96"),0)</f>
        <v>0</v>
      </c>
      <c r="X143" s="419">
        <f ca="1">IF(Z143&gt;0,INDIRECT("ТИП4!"&amp;"$Q$150"),0)</f>
        <v>0</v>
      </c>
      <c r="Y143" s="420">
        <f ca="1">IFERROR(INDIRECT("ТИП4!"&amp;"$AN$150"),0)</f>
        <v>0</v>
      </c>
      <c r="Z143" s="420">
        <f ca="1">IFERROR(INDIRECT("ТИП4!"&amp;"$T$150"),0)</f>
        <v>0</v>
      </c>
      <c r="AA143" s="425" t="s">
        <v>6</v>
      </c>
      <c r="AB143" s="420">
        <f ca="1">IFERROR(INDIRECT("ТИП4!"&amp;"$S$150"),0)</f>
        <v>0</v>
      </c>
      <c r="AC143" s="420">
        <f ca="1">IFERROR(INDIRECT("ТИП4!"&amp;"$U$150"),0)</f>
        <v>0</v>
      </c>
      <c r="AD143" s="420">
        <f ca="1">IFERROR(INDIRECT("ТИП4!"&amp;"$V$150"),0)</f>
        <v>0</v>
      </c>
      <c r="AE143" s="1516"/>
    </row>
    <row r="144" spans="2:31" s="385" customFormat="1" ht="15.75" hidden="1" customHeight="1">
      <c r="B144" s="1125" t="str">
        <f t="shared" ca="1" si="33"/>
        <v>-</v>
      </c>
      <c r="C144" s="1125"/>
      <c r="D144" s="581" t="str">
        <f t="shared" ca="1" si="34"/>
        <v>-</v>
      </c>
      <c r="E144" s="581" t="str">
        <f t="shared" ca="1" si="35"/>
        <v>-</v>
      </c>
      <c r="F144" s="581" t="str">
        <f t="shared" ca="1" si="36"/>
        <v>-</v>
      </c>
      <c r="G144" s="581" t="str">
        <f t="shared" ca="1" si="37"/>
        <v>-</v>
      </c>
      <c r="H144" s="581" t="str">
        <f t="shared" ca="1" si="38"/>
        <v>-</v>
      </c>
      <c r="I144" s="706" t="str">
        <f ca="1">IF(AND(R144&gt;0,$V$131=1),IF(OR(R144=1,R144=2),HYPERLINK($AH$88,$AM$88),IF(R144&gt;=3,HYPERLINK($AH$89,$AM$89))),IF(AND(Y144&gt;0,$AC$131=1),HYPERLINK($AH$87,$AM$87),""))</f>
        <v/>
      </c>
      <c r="N144" s="403"/>
      <c r="O144" s="405">
        <f t="shared" ca="1" si="26"/>
        <v>0</v>
      </c>
      <c r="P144" s="403"/>
      <c r="Q144" s="419">
        <f ca="1">IF(S144&gt;0,INDIRECT("ТИП4!"&amp;"$Q$97"),0)</f>
        <v>0</v>
      </c>
      <c r="R144" s="420">
        <f ca="1">IFERROR(INDIRECT("ТИП4!"&amp;"$AN$97"),0)</f>
        <v>0</v>
      </c>
      <c r="S144" s="420">
        <f ca="1">IFERROR(INDIRECT("ТИП4!"&amp;"$T$97"),0)</f>
        <v>0</v>
      </c>
      <c r="T144" s="420" t="s">
        <v>6</v>
      </c>
      <c r="U144" s="420">
        <f ca="1">IFERROR(INDIRECT("ТИП4!"&amp;"$S$97"),0)</f>
        <v>0</v>
      </c>
      <c r="V144" s="420">
        <f ca="1">IFERROR(INDIRECT("ТИП4!"&amp;"$U$97"),0)</f>
        <v>0</v>
      </c>
      <c r="W144" s="420">
        <f ca="1">IFERROR(INDIRECT("ТИП4!"&amp;"$V$97"),0)</f>
        <v>0</v>
      </c>
      <c r="X144" s="419">
        <f ca="1">IF(Z144&gt;0,INDIRECT("ТИП4!"&amp;"$Q$151"),0)</f>
        <v>0</v>
      </c>
      <c r="Y144" s="420">
        <f ca="1">IFERROR(INDIRECT("ТИП4!"&amp;"$AN$151"),0)</f>
        <v>0</v>
      </c>
      <c r="Z144" s="420">
        <f ca="1">IFERROR(INDIRECT("ТИП4!"&amp;"$T$151"),0)</f>
        <v>0</v>
      </c>
      <c r="AA144" s="425" t="s">
        <v>6</v>
      </c>
      <c r="AB144" s="420">
        <f ca="1">IFERROR(INDIRECT("ТИП4!"&amp;"$S$151"),0)</f>
        <v>0</v>
      </c>
      <c r="AC144" s="420">
        <f ca="1">IFERROR(INDIRECT("ТИП4!"&amp;"$U$151"),0)</f>
        <v>0</v>
      </c>
      <c r="AD144" s="420">
        <f ca="1">IFERROR(INDIRECT("ТИП4!"&amp;"$V$151"),0)</f>
        <v>0</v>
      </c>
      <c r="AE144" s="1516"/>
    </row>
    <row r="145" spans="2:31" s="385" customFormat="1" ht="15.75" hidden="1" customHeight="1">
      <c r="B145" s="1125" t="str">
        <f t="shared" ca="1" si="33"/>
        <v>-</v>
      </c>
      <c r="C145" s="1125"/>
      <c r="D145" s="581" t="str">
        <f t="shared" ca="1" si="34"/>
        <v>-</v>
      </c>
      <c r="E145" s="581" t="str">
        <f t="shared" ca="1" si="35"/>
        <v>-</v>
      </c>
      <c r="F145" s="581" t="str">
        <f t="shared" ca="1" si="36"/>
        <v>-</v>
      </c>
      <c r="G145" s="581" t="str">
        <f t="shared" ca="1" si="37"/>
        <v>-</v>
      </c>
      <c r="H145" s="581" t="str">
        <f t="shared" ca="1" si="38"/>
        <v>-</v>
      </c>
      <c r="I145" s="706" t="str">
        <f ca="1">IF(AND(R145&gt;0,$V$131=1),IF(OR(R145=1,R145=2),HYPERLINK($AH$88,$AM$88),IF(R145&gt;=3,HYPERLINK($AH$89,$AM$89))),IF(AND(Y145&gt;0,$AC$131=1),HYPERLINK($AH$87,$AM$87),""))</f>
        <v/>
      </c>
      <c r="N145" s="403"/>
      <c r="O145" s="405">
        <f t="shared" ca="1" si="26"/>
        <v>0</v>
      </c>
      <c r="P145" s="403"/>
      <c r="Q145" s="419">
        <f ca="1">IF(S145&gt;0,INDIRECT("ТИП4!"&amp;"$Q$98"),0)</f>
        <v>0</v>
      </c>
      <c r="R145" s="420">
        <f ca="1">IFERROR(INDIRECT("ТИП4!"&amp;"$AN$98"),0)</f>
        <v>0</v>
      </c>
      <c r="S145" s="420">
        <f ca="1">IFERROR(INDIRECT("ТИП4!"&amp;"$T$98"),0)</f>
        <v>0</v>
      </c>
      <c r="T145" s="420" t="s">
        <v>6</v>
      </c>
      <c r="U145" s="420">
        <f ca="1">IFERROR(INDIRECT("ТИП4!"&amp;"$S$98"),0)</f>
        <v>0</v>
      </c>
      <c r="V145" s="420">
        <f ca="1">IFERROR(INDIRECT("ТИП4!"&amp;"$U$98"),0)</f>
        <v>0</v>
      </c>
      <c r="W145" s="420">
        <f ca="1">IFERROR(INDIRECT("ТИП4!"&amp;"$V$98"),0)</f>
        <v>0</v>
      </c>
      <c r="X145" s="419">
        <f ca="1">IF(Z145&gt;0,INDIRECT("ТИП4!"&amp;"$Q$152"),0)</f>
        <v>0</v>
      </c>
      <c r="Y145" s="420">
        <f ca="1">IFERROR(INDIRECT("ТИП4!"&amp;"$AN$152"),0)</f>
        <v>0</v>
      </c>
      <c r="Z145" s="420">
        <f ca="1">IFERROR(INDIRECT("ТИП4!"&amp;"$T$152"),0)</f>
        <v>0</v>
      </c>
      <c r="AA145" s="425" t="s">
        <v>6</v>
      </c>
      <c r="AB145" s="420">
        <f ca="1">IFERROR(INDIRECT("ТИП4!"&amp;"$S$152"),0)</f>
        <v>0</v>
      </c>
      <c r="AC145" s="420">
        <f ca="1">IFERROR(INDIRECT("ТИП4!"&amp;"$U$152"),0)</f>
        <v>0</v>
      </c>
      <c r="AD145" s="420">
        <f ca="1">IFERROR(INDIRECT("ТИП4!"&amp;"$V$152"),0)</f>
        <v>0</v>
      </c>
      <c r="AE145" s="1516"/>
    </row>
    <row r="146" spans="2:31" s="385" customFormat="1" ht="15.75" hidden="1" customHeight="1">
      <c r="B146" s="1125" t="str">
        <f t="shared" ca="1" si="33"/>
        <v>-</v>
      </c>
      <c r="C146" s="1125"/>
      <c r="D146" s="581" t="str">
        <f t="shared" ca="1" si="34"/>
        <v>-</v>
      </c>
      <c r="E146" s="581" t="str">
        <f t="shared" ca="1" si="35"/>
        <v>-</v>
      </c>
      <c r="F146" s="581" t="str">
        <f t="shared" ca="1" si="36"/>
        <v>-</v>
      </c>
      <c r="G146" s="581" t="str">
        <f t="shared" ca="1" si="37"/>
        <v>-</v>
      </c>
      <c r="H146" s="581" t="str">
        <f t="shared" ca="1" si="38"/>
        <v>-</v>
      </c>
      <c r="I146" s="706" t="str">
        <f ca="1">IF(AND(R146&gt;0,$V$131=1),HYPERLINK($AH$91,$AM$91),IF(AND(Z146&gt;0,$AC$131=1),HYPERLINK($AH$90,$AM$90),""))</f>
        <v/>
      </c>
      <c r="N146" s="403"/>
      <c r="O146" s="405">
        <f t="shared" ca="1" si="26"/>
        <v>0</v>
      </c>
      <c r="P146" s="403"/>
      <c r="Q146" s="423">
        <f ca="1">IF(S146&gt;0,(INDIRECT("ТИП4!"&amp;"$Q$101")),0)</f>
        <v>0</v>
      </c>
      <c r="R146" s="424">
        <f ca="1">IFERROR(INDIRECT("ТИП4!"&amp;"$AN$101"),0)</f>
        <v>0</v>
      </c>
      <c r="S146" s="424">
        <f ca="1">IFERROR(INDIRECT("ТИП4!"&amp;"$S$101"),0)</f>
        <v>0</v>
      </c>
      <c r="T146" s="424" t="s">
        <v>6</v>
      </c>
      <c r="U146" s="424" t="s">
        <v>6</v>
      </c>
      <c r="V146" s="424" t="s">
        <v>6</v>
      </c>
      <c r="W146" s="424" t="s">
        <v>6</v>
      </c>
      <c r="X146" s="423">
        <f ca="1">IF(Z146&gt;0,INDIRECT("ТИП4!"&amp;"$R$156"),0)</f>
        <v>0</v>
      </c>
      <c r="Y146" s="424" t="s">
        <v>6</v>
      </c>
      <c r="Z146" s="424">
        <f ca="1">IFERROR(INDIRECT("ТИП4!"&amp;"$T$156"),0)</f>
        <v>0</v>
      </c>
      <c r="AA146" s="411" t="s">
        <v>6</v>
      </c>
      <c r="AB146" s="411" t="s">
        <v>6</v>
      </c>
      <c r="AC146" s="411" t="s">
        <v>6</v>
      </c>
      <c r="AD146" s="411" t="s">
        <v>6</v>
      </c>
      <c r="AE146" s="411" t="s">
        <v>570</v>
      </c>
    </row>
    <row r="147" spans="2:31" s="385" customFormat="1" ht="15.75" hidden="1" customHeight="1">
      <c r="B147" s="1125" t="str">
        <f t="shared" ca="1" si="33"/>
        <v>-</v>
      </c>
      <c r="C147" s="1125"/>
      <c r="D147" s="581" t="str">
        <f t="shared" ca="1" si="34"/>
        <v>-</v>
      </c>
      <c r="E147" s="581" t="str">
        <f t="shared" ca="1" si="35"/>
        <v>-</v>
      </c>
      <c r="F147" s="581" t="str">
        <f t="shared" ca="1" si="36"/>
        <v>-</v>
      </c>
      <c r="G147" s="581" t="str">
        <f t="shared" ca="1" si="37"/>
        <v>-</v>
      </c>
      <c r="H147" s="581" t="str">
        <f t="shared" ca="1" si="38"/>
        <v>-</v>
      </c>
      <c r="I147" s="581" t="s">
        <v>6</v>
      </c>
      <c r="N147" s="403"/>
      <c r="O147" s="405">
        <f t="shared" ca="1" si="26"/>
        <v>0</v>
      </c>
      <c r="P147" s="403"/>
      <c r="Q147" s="417">
        <f ca="1">IF(S147&gt;0,INDIRECT("ТИП4!"&amp;"$P$124"),0)</f>
        <v>0</v>
      </c>
      <c r="R147" s="418" t="s">
        <v>6</v>
      </c>
      <c r="S147" s="418">
        <f ca="1">IFERROR(INDIRECT("ТИП4!"&amp;"$S$125"),0)</f>
        <v>0</v>
      </c>
      <c r="T147" s="418" t="s">
        <v>6</v>
      </c>
      <c r="U147" s="418" t="s">
        <v>6</v>
      </c>
      <c r="V147" s="418" t="s">
        <v>6</v>
      </c>
      <c r="W147" s="418" t="s">
        <v>6</v>
      </c>
      <c r="X147" s="417">
        <f ca="1">IF(Z147&gt;0,INDIRECT("ТИП4!"&amp;"$P$160"),0)</f>
        <v>0</v>
      </c>
      <c r="Y147" s="418" t="s">
        <v>6</v>
      </c>
      <c r="Z147" s="418">
        <f ca="1">IFERROR(INDIRECT("ТИП4!"&amp;"$S$161"),0)</f>
        <v>0</v>
      </c>
      <c r="AA147" s="418" t="s">
        <v>6</v>
      </c>
      <c r="AB147" s="418" t="s">
        <v>6</v>
      </c>
      <c r="AC147" s="418" t="s">
        <v>6</v>
      </c>
      <c r="AD147" s="418" t="s">
        <v>6</v>
      </c>
      <c r="AE147" s="412" t="s">
        <v>571</v>
      </c>
    </row>
    <row r="148" spans="2:31" s="385" customFormat="1" ht="15.75" hidden="1" customHeight="1">
      <c r="B148" s="1518" t="s">
        <v>498</v>
      </c>
      <c r="C148" s="1518"/>
      <c r="D148" s="1518"/>
      <c r="E148" s="1518"/>
      <c r="F148" s="1518"/>
      <c r="G148" s="1518"/>
      <c r="H148" s="1518"/>
      <c r="I148" s="1518"/>
      <c r="N148" s="403"/>
      <c r="O148" s="405">
        <f ca="1">IF(SUM(O149:O164)&gt;0,1,0)</f>
        <v>0</v>
      </c>
      <c r="P148" s="403"/>
      <c r="Q148" s="1488" t="s">
        <v>527</v>
      </c>
      <c r="R148" s="1489"/>
      <c r="S148" s="1489"/>
      <c r="T148" s="1489"/>
      <c r="U148" s="1489"/>
      <c r="V148" s="432" t="str">
        <f ca="1">INDIRECT("ТИП5!"&amp;"$Z$4")</f>
        <v>-</v>
      </c>
      <c r="W148" s="431" t="str">
        <f ca="1">IF(INDIRECT("ТИП5!"&amp;"$Z$4")=1,"●","")</f>
        <v/>
      </c>
      <c r="X148" s="1490" t="s">
        <v>528</v>
      </c>
      <c r="Y148" s="1491"/>
      <c r="Z148" s="1491"/>
      <c r="AA148" s="1491"/>
      <c r="AB148" s="1491"/>
      <c r="AC148" s="433" t="str">
        <f ca="1">INDIRECT("ТИП5!"&amp;"$Z$3")</f>
        <v>-</v>
      </c>
      <c r="AD148" s="434" t="str">
        <f ca="1">IF(INDIRECT("ТИП5!"&amp;"$Z$3")=1,"●","")</f>
        <v/>
      </c>
    </row>
    <row r="149" spans="2:31" s="385" customFormat="1" ht="15.75" hidden="1" customHeight="1">
      <c r="B149" s="1125" t="str">
        <f t="shared" ref="B149:B164" ca="1" si="39">IF(AND($V$148=1,Q149&gt;0),Q149,IF(AND($AC$148=1,X149&gt;0),X149,"-"))</f>
        <v>-</v>
      </c>
      <c r="C149" s="1125"/>
      <c r="D149" s="581" t="str">
        <f t="shared" ref="D149:D164" ca="1" si="40">IF(AND($V$148=1,S149&gt;0),S149,IF(AND($AC$148=1,Z149&gt;0),Z149,"-"))</f>
        <v>-</v>
      </c>
      <c r="E149" s="581" t="str">
        <f t="shared" ref="E149:E164" ca="1" si="41">IF(AND($V$148=1,T149&gt;0),T149,IF(AND($AC$148=1,AA149&gt;0),AA149,"-"))</f>
        <v>-</v>
      </c>
      <c r="F149" s="581" t="str">
        <f t="shared" ref="F149:F164" ca="1" si="42">IF(AND($V$148=1,U149&gt;0),U149,IF(AND($AC$148=1,AB149&gt;0),AB149,"-"))</f>
        <v>-</v>
      </c>
      <c r="G149" s="581" t="str">
        <f t="shared" ref="G149:G164" ca="1" si="43">IF(AND($V$148=1,V149&gt;0),V149,IF(AND($AC$148=1,AC149&gt;0),AC149,"-"))</f>
        <v>-</v>
      </c>
      <c r="H149" s="581" t="str">
        <f t="shared" ref="H149:H164" ca="1" si="44">IF(AND($V$148=1,W149&gt;0),W149,IF(AND($AC$148=1,AD149&gt;0),AD149,"-"))</f>
        <v>-</v>
      </c>
      <c r="I149" s="706" t="str">
        <f ca="1">IF(AND(R149&gt;0,$V$148=1),IF(OR(R149=1,R149=2),HYPERLINK($AH$83,$AM$83),IF(R149&gt;=3,HYPERLINK($AH$82,$AM$82))),IF(AND(Y149&gt;0,$AC$148=1),HYPERLINK($AH$81,$AM$81),""))</f>
        <v/>
      </c>
      <c r="N149" s="403"/>
      <c r="O149" s="405">
        <f t="shared" ca="1" si="26"/>
        <v>0</v>
      </c>
      <c r="P149" s="403"/>
      <c r="Q149" s="413">
        <f ca="1">IF(S149&gt;0,INDIRECT("ТИП5!"&amp;"$P$81"),0)</f>
        <v>0</v>
      </c>
      <c r="R149" s="414">
        <f ca="1">IFERROR(INDIRECT("ТИП5!"&amp;"$AN$81"),0)</f>
        <v>0</v>
      </c>
      <c r="S149" s="414">
        <f ca="1">IFERROR(INDIRECT("ТИП5!"&amp;"$T$81"),0)</f>
        <v>0</v>
      </c>
      <c r="T149" s="414">
        <f ca="1">IFERROR(INDIRECT("ТИП5!"&amp;"$R$81"),0)</f>
        <v>0</v>
      </c>
      <c r="U149" s="414">
        <f ca="1">IFERROR(INDIRECT("ТИП5!"&amp;"$S$81"),0)</f>
        <v>0</v>
      </c>
      <c r="V149" s="414">
        <f ca="1">IFERROR(INDIRECT("ТИП5!"&amp;"$U$81"),0)</f>
        <v>0</v>
      </c>
      <c r="W149" s="414">
        <f ca="1">IFERROR(INDIRECT("ТИП5!"&amp;"$V$81"),0)</f>
        <v>0</v>
      </c>
      <c r="X149" s="415">
        <f ca="1">IF(Z149&gt;0,INDIRECT("ТИП5!"&amp;"$P$133"),0)</f>
        <v>0</v>
      </c>
      <c r="Y149" s="414">
        <f ca="1">IFERROR(INDIRECT("ТИП5!"&amp;"$AN$133"),0)</f>
        <v>0</v>
      </c>
      <c r="Z149" s="416">
        <f ca="1">IFERROR(INDIRECT("ТИП5!"&amp;"$T$133"),0)</f>
        <v>0</v>
      </c>
      <c r="AA149" s="414">
        <f ca="1">IFERROR(INDIRECT("ТИП5!"&amp;"$R$133"),0)</f>
        <v>0</v>
      </c>
      <c r="AB149" s="414">
        <f ca="1">IFERROR(INDIRECT("ТИП5!"&amp;"$S$133"),0)</f>
        <v>0</v>
      </c>
      <c r="AC149" s="414">
        <f ca="1">IFERROR(INDIRECT("ТИП5!"&amp;"$U$133"),0)</f>
        <v>0</v>
      </c>
      <c r="AD149" s="414">
        <f ca="1">IFERROR(INDIRECT("ТИП5!"&amp;"$V$133"),0)</f>
        <v>0</v>
      </c>
      <c r="AE149" s="1517" t="s">
        <v>567</v>
      </c>
    </row>
    <row r="150" spans="2:31" s="385" customFormat="1" ht="15.75" hidden="1" customHeight="1">
      <c r="B150" s="1125" t="str">
        <f t="shared" ca="1" si="39"/>
        <v>-</v>
      </c>
      <c r="C150" s="1125"/>
      <c r="D150" s="581" t="str">
        <f t="shared" ca="1" si="40"/>
        <v>-</v>
      </c>
      <c r="E150" s="581" t="str">
        <f t="shared" ca="1" si="41"/>
        <v>-</v>
      </c>
      <c r="F150" s="581" t="str">
        <f t="shared" ca="1" si="42"/>
        <v>-</v>
      </c>
      <c r="G150" s="581" t="str">
        <f t="shared" ca="1" si="43"/>
        <v>-</v>
      </c>
      <c r="H150" s="581" t="str">
        <f t="shared" ca="1" si="44"/>
        <v>-</v>
      </c>
      <c r="I150" s="706" t="str">
        <f ca="1">IF(AND(R150&gt;0,$V$148=1),IF(OR(R150=1,R150=2),HYPERLINK($AH$83,$AM$83),IF(R150&gt;=3,HYPERLINK($AH$82,$AM$82))),IF(AND(Y150&gt;0,$AC$148=1),HYPERLINK($AH$81,$AM$81),""))</f>
        <v/>
      </c>
      <c r="N150" s="403"/>
      <c r="O150" s="405">
        <f t="shared" ca="1" si="26"/>
        <v>0</v>
      </c>
      <c r="P150" s="403"/>
      <c r="Q150" s="413">
        <f ca="1">IF(S150&gt;0,INDIRECT("ТИП5!"&amp;"$P$82"),0)</f>
        <v>0</v>
      </c>
      <c r="R150" s="414">
        <f ca="1">IFERROR(INDIRECT("ТИП5!"&amp;"$AN$82"),0)</f>
        <v>0</v>
      </c>
      <c r="S150" s="414">
        <f ca="1">IFERROR(INDIRECT("ТИП5!"&amp;"$T$82"),0)</f>
        <v>0</v>
      </c>
      <c r="T150" s="414">
        <f ca="1">IFERROR(INDIRECT("ТИП5!"&amp;"$R$82"),0)</f>
        <v>0</v>
      </c>
      <c r="U150" s="414">
        <f ca="1">IFERROR(INDIRECT("ТИП5!"&amp;"$S$82"),0)</f>
        <v>0</v>
      </c>
      <c r="V150" s="414">
        <f ca="1">IFERROR(INDIRECT("ТИП5!"&amp;"$U$82"),0)</f>
        <v>0</v>
      </c>
      <c r="W150" s="414">
        <f ca="1">IFERROR(INDIRECT("ТИП5!"&amp;"$V$82"),0)</f>
        <v>0</v>
      </c>
      <c r="X150" s="413">
        <f ca="1">IF(Z150&gt;0,INDIRECT("ТИП5!"&amp;"$P$134"),0)</f>
        <v>0</v>
      </c>
      <c r="Y150" s="414">
        <f ca="1">IFERROR(INDIRECT("ТИП5!"&amp;"$AN$134"),0)</f>
        <v>0</v>
      </c>
      <c r="Z150" s="414">
        <f ca="1">IFERROR(INDIRECT("ТИП5!"&amp;"$T$134"),0)</f>
        <v>0</v>
      </c>
      <c r="AA150" s="414">
        <f ca="1">IFERROR(INDIRECT("ТИП5!"&amp;"$R$134"),0)</f>
        <v>0</v>
      </c>
      <c r="AB150" s="414">
        <f ca="1">IFERROR(INDIRECT("ТИП5!"&amp;"$S$134"),0)</f>
        <v>0</v>
      </c>
      <c r="AC150" s="414">
        <f ca="1">IFERROR(INDIRECT("ТИП5!"&amp;"$U$134"),0)</f>
        <v>0</v>
      </c>
      <c r="AD150" s="414">
        <f ca="1">IFERROR(INDIRECT("ТИП5!"&amp;"$V$134"),0)</f>
        <v>0</v>
      </c>
      <c r="AE150" s="1517"/>
    </row>
    <row r="151" spans="2:31" s="385" customFormat="1" ht="15.75" hidden="1" customHeight="1">
      <c r="B151" s="1125" t="str">
        <f t="shared" ca="1" si="39"/>
        <v>-</v>
      </c>
      <c r="C151" s="1125"/>
      <c r="D151" s="581" t="str">
        <f t="shared" ca="1" si="40"/>
        <v>-</v>
      </c>
      <c r="E151" s="581" t="str">
        <f t="shared" ca="1" si="41"/>
        <v>-</v>
      </c>
      <c r="F151" s="581" t="str">
        <f t="shared" ca="1" si="42"/>
        <v>-</v>
      </c>
      <c r="G151" s="581" t="str">
        <f t="shared" ca="1" si="43"/>
        <v>-</v>
      </c>
      <c r="H151" s="581" t="str">
        <f t="shared" ca="1" si="44"/>
        <v>-</v>
      </c>
      <c r="I151" s="706" t="str">
        <f ca="1">IF(AND(R151&gt;0,$V$148=1),IF(OR(R151=1,R151=2),HYPERLINK($AH$83,$AM$83),IF(R151&gt;=3,HYPERLINK($AH$82,$AM$82))),IF(AND(Y151&gt;0,$AC$148=1),HYPERLINK($AH$81,$AM$81),""))</f>
        <v/>
      </c>
      <c r="N151" s="403"/>
      <c r="O151" s="405">
        <f t="shared" ca="1" si="26"/>
        <v>0</v>
      </c>
      <c r="P151" s="403"/>
      <c r="Q151" s="413">
        <f ca="1">IF(S151&gt;0,INDIRECT("ТИП5!"&amp;"$P$83"),0)</f>
        <v>0</v>
      </c>
      <c r="R151" s="414">
        <f ca="1">IFERROR(INDIRECT("ТИП5!"&amp;"$AN$83"),0)</f>
        <v>0</v>
      </c>
      <c r="S151" s="414">
        <f ca="1">IFERROR(INDIRECT("ТИП5!"&amp;"$T$83"),0)</f>
        <v>0</v>
      </c>
      <c r="T151" s="414">
        <f ca="1">IFERROR(INDIRECT("ТИП5!"&amp;"$R$83"),0)</f>
        <v>0</v>
      </c>
      <c r="U151" s="414">
        <f ca="1">IFERROR(INDIRECT("ТИП5!"&amp;"$S$83"),0)</f>
        <v>0</v>
      </c>
      <c r="V151" s="414">
        <f ca="1">IFERROR(INDIRECT("ТИП5!"&amp;"$U$83"),0)</f>
        <v>0</v>
      </c>
      <c r="W151" s="414">
        <f ca="1">IFERROR(INDIRECT("ТИП5!"&amp;"$V$83"),0)</f>
        <v>0</v>
      </c>
      <c r="X151" s="413">
        <f ca="1">IF(Z151&gt;0,INDIRECT("ТИП5!"&amp;"$P$135"),0)</f>
        <v>0</v>
      </c>
      <c r="Y151" s="414">
        <f ca="1">IFERROR(INDIRECT("ТИП5!"&amp;"$AN$135"),0)</f>
        <v>0</v>
      </c>
      <c r="Z151" s="414">
        <f ca="1">IFERROR(INDIRECT("ТИП5!"&amp;"$T$135"),0)</f>
        <v>0</v>
      </c>
      <c r="AA151" s="414">
        <f ca="1">IFERROR(INDIRECT("ТИП5!"&amp;"$R$135"),0)</f>
        <v>0</v>
      </c>
      <c r="AB151" s="414">
        <f ca="1">IFERROR(INDIRECT("ТИП5!"&amp;"$S$135"),0)</f>
        <v>0</v>
      </c>
      <c r="AC151" s="414">
        <f ca="1">IFERROR(INDIRECT("ТИП5!"&amp;"$U$135"),0)</f>
        <v>0</v>
      </c>
      <c r="AD151" s="414">
        <f ca="1">IFERROR(INDIRECT("ТИП5!"&amp;"$V$135"),0)</f>
        <v>0</v>
      </c>
      <c r="AE151" s="1517"/>
    </row>
    <row r="152" spans="2:31" s="385" customFormat="1" ht="15.75" hidden="1" customHeight="1">
      <c r="B152" s="1125" t="str">
        <f t="shared" ca="1" si="39"/>
        <v>-</v>
      </c>
      <c r="C152" s="1125"/>
      <c r="D152" s="581" t="str">
        <f t="shared" ca="1" si="40"/>
        <v>-</v>
      </c>
      <c r="E152" s="581" t="str">
        <f t="shared" ca="1" si="41"/>
        <v>-</v>
      </c>
      <c r="F152" s="581" t="str">
        <f t="shared" ca="1" si="42"/>
        <v>-</v>
      </c>
      <c r="G152" s="581" t="str">
        <f t="shared" ca="1" si="43"/>
        <v>-</v>
      </c>
      <c r="H152" s="581" t="str">
        <f t="shared" ca="1" si="44"/>
        <v>-</v>
      </c>
      <c r="I152" s="706" t="str">
        <f ca="1">IF(AND(R152&gt;0,$V$148=1),IF(OR(R152=1,R152=2),HYPERLINK($AH$83,$AM$83),IF(R152&gt;=3,HYPERLINK($AH$82,$AM$82))),IF(AND(Y152&gt;0,$AC$148=1),HYPERLINK($AH$81,$AM$81),""))</f>
        <v/>
      </c>
      <c r="N152" s="403"/>
      <c r="O152" s="405">
        <f t="shared" ca="1" si="26"/>
        <v>0</v>
      </c>
      <c r="P152" s="403"/>
      <c r="Q152" s="413">
        <f ca="1">IF(S152&gt;0,INDIRECT("ТИП5!"&amp;"$P$84"),0)</f>
        <v>0</v>
      </c>
      <c r="R152" s="414">
        <f ca="1">IFERROR(INDIRECT("ТИП5!"&amp;"$AN$84"),0)</f>
        <v>0</v>
      </c>
      <c r="S152" s="414">
        <f ca="1">IFERROR(INDIRECT("ТИП5!"&amp;"$T$84"),0)</f>
        <v>0</v>
      </c>
      <c r="T152" s="414">
        <f ca="1">IFERROR(INDIRECT("ТИП5!"&amp;"$R$84"),0)</f>
        <v>0</v>
      </c>
      <c r="U152" s="414">
        <f ca="1">IFERROR(INDIRECT("ТИП5!"&amp;"$S$84"),0)</f>
        <v>0</v>
      </c>
      <c r="V152" s="414">
        <f ca="1">IFERROR(INDIRECT("ТИП5!"&amp;"$U$84"),0)</f>
        <v>0</v>
      </c>
      <c r="W152" s="414">
        <f ca="1">IFERROR(INDIRECT("ТИП5!"&amp;"$V$84"),0)</f>
        <v>0</v>
      </c>
      <c r="X152" s="413">
        <f ca="1">IF(Z152&gt;0,INDIRECT("ТИП5!"&amp;"$P$136"),0)</f>
        <v>0</v>
      </c>
      <c r="Y152" s="414">
        <f ca="1">IFERROR(INDIRECT("ТИП5!"&amp;"$AN$136"),0)</f>
        <v>0</v>
      </c>
      <c r="Z152" s="414">
        <f ca="1">IFERROR(INDIRECT("ТИП5!"&amp;"$T$136"),0)</f>
        <v>0</v>
      </c>
      <c r="AA152" s="414">
        <f ca="1">IFERROR(INDIRECT("ТИП5!"&amp;"$R$136"),0)</f>
        <v>0</v>
      </c>
      <c r="AB152" s="414">
        <f ca="1">IFERROR(INDIRECT("ТИП5!"&amp;"$S$136"),0)</f>
        <v>0</v>
      </c>
      <c r="AC152" s="414">
        <f ca="1">IFERROR(INDIRECT("ТИП5!"&amp;"$U$136"),0)</f>
        <v>0</v>
      </c>
      <c r="AD152" s="414">
        <f ca="1">IFERROR(INDIRECT("ТИП5!"&amp;"$V$136"),0)</f>
        <v>0</v>
      </c>
      <c r="AE152" s="1517"/>
    </row>
    <row r="153" spans="2:31" s="385" customFormat="1" ht="15.75" hidden="1" customHeight="1">
      <c r="B153" s="1125" t="str">
        <f t="shared" ca="1" si="39"/>
        <v>-</v>
      </c>
      <c r="C153" s="1125"/>
      <c r="D153" s="581" t="str">
        <f t="shared" ca="1" si="40"/>
        <v>-</v>
      </c>
      <c r="E153" s="581" t="str">
        <f t="shared" ca="1" si="41"/>
        <v>-</v>
      </c>
      <c r="F153" s="581" t="str">
        <f t="shared" ca="1" si="42"/>
        <v>-</v>
      </c>
      <c r="G153" s="581" t="str">
        <f t="shared" ca="1" si="43"/>
        <v>-</v>
      </c>
      <c r="H153" s="581" t="str">
        <f t="shared" ca="1" si="44"/>
        <v>-</v>
      </c>
      <c r="I153" s="706" t="str">
        <f ca="1">IF(AND(R153&gt;0,$V$148=1),IF(OR(R153=1,R153=2),HYPERLINK($AH$83,$AM$83),IF(R153&gt;=3,HYPERLINK($AH$82,$AM$82))),IF(AND(Y153&gt;0,$AC$148=1),HYPERLINK($AH$81,$AM$81),""))</f>
        <v/>
      </c>
      <c r="N153" s="403"/>
      <c r="O153" s="405">
        <f t="shared" ca="1" si="26"/>
        <v>0</v>
      </c>
      <c r="P153" s="403"/>
      <c r="Q153" s="413">
        <f ca="1">IF(S153&gt;0,INDIRECT("ТИП5!"&amp;"$P$85"),0)</f>
        <v>0</v>
      </c>
      <c r="R153" s="414">
        <f ca="1">IFERROR(INDIRECT("ТИП5!"&amp;"$AN$85"),0)</f>
        <v>0</v>
      </c>
      <c r="S153" s="414">
        <f ca="1">IFERROR(INDIRECT("ТИП5!"&amp;"$T$85"),0)</f>
        <v>0</v>
      </c>
      <c r="T153" s="414">
        <f ca="1">IFERROR(INDIRECT("ТИП5!"&amp;"$R$85"),0)</f>
        <v>0</v>
      </c>
      <c r="U153" s="414">
        <f ca="1">IFERROR(INDIRECT("ТИП5!"&amp;"$S$85"),0)</f>
        <v>0</v>
      </c>
      <c r="V153" s="414">
        <f ca="1">IFERROR(INDIRECT("ТИП5!"&amp;"$U$85"),0)</f>
        <v>0</v>
      </c>
      <c r="W153" s="414">
        <f ca="1">IFERROR(INDIRECT("ТИП5!"&amp;"$V$85"),0)</f>
        <v>0</v>
      </c>
      <c r="X153" s="413">
        <f ca="1">IF(Z153&gt;0,INDIRECT("ТИП5!"&amp;"$P$137"),0)</f>
        <v>0</v>
      </c>
      <c r="Y153" s="414">
        <f ca="1">IFERROR(INDIRECT("ТИП5!"&amp;"$AN$137"),0)</f>
        <v>0</v>
      </c>
      <c r="Z153" s="414">
        <f ca="1">IFERROR(INDIRECT("ТИП5!"&amp;"$T$137"),0)</f>
        <v>0</v>
      </c>
      <c r="AA153" s="414">
        <f ca="1">IFERROR(INDIRECT("ТИП5!"&amp;"$R$137"),0)</f>
        <v>0</v>
      </c>
      <c r="AB153" s="414">
        <f ca="1">IFERROR(INDIRECT("ТИП5!"&amp;"$S$137"),0)</f>
        <v>0</v>
      </c>
      <c r="AC153" s="414">
        <f ca="1">IFERROR(INDIRECT("ТИП5!"&amp;"$U$137"),0)</f>
        <v>0</v>
      </c>
      <c r="AD153" s="414">
        <f ca="1">IFERROR(INDIRECT("ТИП5!"&amp;"$V$137"),0)</f>
        <v>0</v>
      </c>
      <c r="AE153" s="1517"/>
    </row>
    <row r="154" spans="2:31" s="385" customFormat="1" ht="15.75" hidden="1" customHeight="1">
      <c r="B154" s="1125" t="str">
        <f t="shared" ca="1" si="39"/>
        <v>-</v>
      </c>
      <c r="C154" s="1125"/>
      <c r="D154" s="581" t="str">
        <f t="shared" ca="1" si="40"/>
        <v>-</v>
      </c>
      <c r="E154" s="581" t="str">
        <f t="shared" ca="1" si="41"/>
        <v>-</v>
      </c>
      <c r="F154" s="581" t="str">
        <f t="shared" ca="1" si="42"/>
        <v>-</v>
      </c>
      <c r="G154" s="581" t="str">
        <f t="shared" ca="1" si="43"/>
        <v>-</v>
      </c>
      <c r="H154" s="581" t="str">
        <f t="shared" ca="1" si="44"/>
        <v>-</v>
      </c>
      <c r="I154" s="706" t="str">
        <f ca="1">IF(AND(R154&gt;0,$V$148=1),IF(OR(R154=1,R154=2),HYPERLINK($AH$85,$AM$85),IF(R154&gt;=3,HYPERLINK($AH$86,$AM$86))),IF(AND(Y154&gt;0,$AC$148=1),HYPERLINK($AH$84,$AM$84),""))</f>
        <v/>
      </c>
      <c r="N154" s="403"/>
      <c r="O154" s="405">
        <f t="shared" ca="1" si="26"/>
        <v>0</v>
      </c>
      <c r="P154" s="403"/>
      <c r="Q154" s="421">
        <f ca="1">IF(S154&gt;0,INDIRECT("ТИП5!"&amp;"$P$88"),0)</f>
        <v>0</v>
      </c>
      <c r="R154" s="422">
        <f ca="1">IFERROR(INDIRECT("ТИП5!"&amp;"$AN$88"),0)</f>
        <v>0</v>
      </c>
      <c r="S154" s="422">
        <f ca="1">IFERROR(INDIRECT("ТИП5!"&amp;"$T$88"),0)</f>
        <v>0</v>
      </c>
      <c r="T154" s="422">
        <f ca="1">IFERROR(INDIRECT("ТИП5!"&amp;"$R$88"),0)</f>
        <v>0</v>
      </c>
      <c r="U154" s="422">
        <f ca="1">IFERROR(INDIRECT("ТИП5!"&amp;"$S$88"),0)</f>
        <v>0</v>
      </c>
      <c r="V154" s="422">
        <f ca="1">IFERROR(INDIRECT("ТИП5!"&amp;"$U$88"),0)</f>
        <v>0</v>
      </c>
      <c r="W154" s="422">
        <f ca="1">IFERROR(INDIRECT("ТИП5!"&amp;"$V$88"),0)</f>
        <v>0</v>
      </c>
      <c r="X154" s="421">
        <f ca="1">IF(Z154&gt;0,INDIRECT("ТИП5!"&amp;"$P$141"),0)</f>
        <v>0</v>
      </c>
      <c r="Y154" s="422">
        <f ca="1">IFERROR(INDIRECT("ТИП5!"&amp;"$AN$141"),0)</f>
        <v>0</v>
      </c>
      <c r="Z154" s="422">
        <f ca="1">IFERROR(INDIRECT("ТИП5!"&amp;"$T$141"),0)</f>
        <v>0</v>
      </c>
      <c r="AA154" s="422">
        <f ca="1">IFERROR(INDIRECT("ТИП5!"&amp;"$R$141"),0)</f>
        <v>0</v>
      </c>
      <c r="AB154" s="422">
        <f ca="1">IFERROR(INDIRECT("ТИП5!"&amp;"$S$141"),0)</f>
        <v>0</v>
      </c>
      <c r="AC154" s="422">
        <f ca="1">IFERROR(INDIRECT("ТИП5!"&amp;"$U$141"),0)</f>
        <v>0</v>
      </c>
      <c r="AD154" s="422">
        <f ca="1">IFERROR(INDIRECT("ТИП5!"&amp;"$V$141"),0)</f>
        <v>0</v>
      </c>
      <c r="AE154" s="1515" t="s">
        <v>568</v>
      </c>
    </row>
    <row r="155" spans="2:31" s="385" customFormat="1" ht="15.75" hidden="1" customHeight="1">
      <c r="B155" s="1125" t="str">
        <f t="shared" ca="1" si="39"/>
        <v>-</v>
      </c>
      <c r="C155" s="1125"/>
      <c r="D155" s="581" t="str">
        <f t="shared" ca="1" si="40"/>
        <v>-</v>
      </c>
      <c r="E155" s="581" t="str">
        <f t="shared" ca="1" si="41"/>
        <v>-</v>
      </c>
      <c r="F155" s="581" t="str">
        <f t="shared" ca="1" si="42"/>
        <v>-</v>
      </c>
      <c r="G155" s="581" t="str">
        <f t="shared" ca="1" si="43"/>
        <v>-</v>
      </c>
      <c r="H155" s="581" t="str">
        <f t="shared" ca="1" si="44"/>
        <v>-</v>
      </c>
      <c r="I155" s="706" t="str">
        <f ca="1">IF(AND(R155&gt;0,$V$148=1),IF(OR(R155=1,R155=2),HYPERLINK($AH$85,$AM$85),IF(R155&gt;=3,HYPERLINK($AH$86,$AM$86))),IF(AND(Y155&gt;0,$AC$148=1),HYPERLINK($AH$84,$AM$84),""))</f>
        <v/>
      </c>
      <c r="N155" s="403"/>
      <c r="O155" s="405">
        <f t="shared" ca="1" si="26"/>
        <v>0</v>
      </c>
      <c r="P155" s="403"/>
      <c r="Q155" s="421">
        <f ca="1">IF(S155&gt;0,INDIRECT("ТИП5!"&amp;"$P$89"),0)</f>
        <v>0</v>
      </c>
      <c r="R155" s="422">
        <f ca="1">IFERROR(INDIRECT("ТИП5!"&amp;"$AN$89"),0)</f>
        <v>0</v>
      </c>
      <c r="S155" s="422">
        <f ca="1">IFERROR(INDIRECT("ТИП5!"&amp;"$T$89"),0)</f>
        <v>0</v>
      </c>
      <c r="T155" s="422">
        <f ca="1">IFERROR(INDIRECT("ТИП5!"&amp;"$R$89"),0)</f>
        <v>0</v>
      </c>
      <c r="U155" s="422">
        <f ca="1">IFERROR(INDIRECT("ТИП5!"&amp;"$S$89"),0)</f>
        <v>0</v>
      </c>
      <c r="V155" s="422">
        <f ca="1">IFERROR(INDIRECT("ТИП5!"&amp;"$U$89"),0)</f>
        <v>0</v>
      </c>
      <c r="W155" s="422">
        <f ca="1">IFERROR(INDIRECT("ТИП5!"&amp;"$V$89"),0)</f>
        <v>0</v>
      </c>
      <c r="X155" s="421">
        <f ca="1">IF(Z155&gt;0,INDIRECT("ТИП5!"&amp;"$P$142"),0)</f>
        <v>0</v>
      </c>
      <c r="Y155" s="422">
        <f ca="1">IFERROR(INDIRECT("ТИП5!"&amp;"$AN$142"),0)</f>
        <v>0</v>
      </c>
      <c r="Z155" s="422">
        <f ca="1">IFERROR(INDIRECT("ТИП5!"&amp;"$T$142"),0)</f>
        <v>0</v>
      </c>
      <c r="AA155" s="422">
        <f ca="1">IFERROR(INDIRECT("ТИП5!"&amp;"$R$142"),0)</f>
        <v>0</v>
      </c>
      <c r="AB155" s="422">
        <f ca="1">IFERROR(INDIRECT("ТИП5!"&amp;"$S$142"),0)</f>
        <v>0</v>
      </c>
      <c r="AC155" s="422">
        <f ca="1">IFERROR(INDIRECT("ТИП5!"&amp;"$U$142"),0)</f>
        <v>0</v>
      </c>
      <c r="AD155" s="422">
        <f ca="1">IFERROR(INDIRECT("ТИП5!"&amp;"$V$142"),0)</f>
        <v>0</v>
      </c>
      <c r="AE155" s="1515"/>
    </row>
    <row r="156" spans="2:31" s="385" customFormat="1" ht="15.75" hidden="1" customHeight="1">
      <c r="B156" s="1125" t="str">
        <f t="shared" ca="1" si="39"/>
        <v>-</v>
      </c>
      <c r="C156" s="1125"/>
      <c r="D156" s="581" t="str">
        <f t="shared" ca="1" si="40"/>
        <v>-</v>
      </c>
      <c r="E156" s="581" t="str">
        <f t="shared" ca="1" si="41"/>
        <v>-</v>
      </c>
      <c r="F156" s="581" t="str">
        <f t="shared" ca="1" si="42"/>
        <v>-</v>
      </c>
      <c r="G156" s="581" t="str">
        <f t="shared" ca="1" si="43"/>
        <v>-</v>
      </c>
      <c r="H156" s="581" t="str">
        <f t="shared" ca="1" si="44"/>
        <v>-</v>
      </c>
      <c r="I156" s="706" t="str">
        <f ca="1">IF(AND(R156&gt;0,$V$148=1),IF(OR(R156=1,R156=2),HYPERLINK($AH$85,$AM$85),IF(R156&gt;=3,HYPERLINK($AH$86,$AM$86))),IF(AND(Y156&gt;0,$AC$148=1),HYPERLINK($AH$84,$AM$84),""))</f>
        <v/>
      </c>
      <c r="N156" s="403"/>
      <c r="O156" s="405">
        <f t="shared" ca="1" si="26"/>
        <v>0</v>
      </c>
      <c r="P156" s="403"/>
      <c r="Q156" s="421">
        <f ca="1">IF(S156&gt;0,INDIRECT("ТИП5!"&amp;"$P$90"),0)</f>
        <v>0</v>
      </c>
      <c r="R156" s="422">
        <f ca="1">IFERROR(INDIRECT("ТИП5!"&amp;"$AN$90"),0)</f>
        <v>0</v>
      </c>
      <c r="S156" s="422">
        <f ca="1">IFERROR(INDIRECT("ТИП5!"&amp;"$T$90"),0)</f>
        <v>0</v>
      </c>
      <c r="T156" s="422">
        <f ca="1">IFERROR(INDIRECT("ТИП5!"&amp;"$R$90"),0)</f>
        <v>0</v>
      </c>
      <c r="U156" s="422">
        <f ca="1">IFERROR(INDIRECT("ТИП5!"&amp;"$S$90"),0)</f>
        <v>0</v>
      </c>
      <c r="V156" s="422">
        <f ca="1">IFERROR(INDIRECT("ТИП5!"&amp;"$U$90"),0)</f>
        <v>0</v>
      </c>
      <c r="W156" s="422">
        <f ca="1">IFERROR(INDIRECT("ТИП5!"&amp;"$V$90"),0)</f>
        <v>0</v>
      </c>
      <c r="X156" s="421">
        <f ca="1">IF(Z156&gt;0,INDIRECT("ТИП5!"&amp;"$P$143"),0)</f>
        <v>0</v>
      </c>
      <c r="Y156" s="422">
        <f ca="1">IFERROR(INDIRECT("ТИП5!"&amp;"$AN$143"),0)</f>
        <v>0</v>
      </c>
      <c r="Z156" s="422">
        <f ca="1">IFERROR(INDIRECT("ТИП5!"&amp;"$T$143"),0)</f>
        <v>0</v>
      </c>
      <c r="AA156" s="422">
        <f ca="1">IFERROR(INDIRECT("ТИП5!"&amp;"$R$143"),0)</f>
        <v>0</v>
      </c>
      <c r="AB156" s="422">
        <f ca="1">IFERROR(INDIRECT("ТИП5!"&amp;"$S$143"),0)</f>
        <v>0</v>
      </c>
      <c r="AC156" s="422">
        <f ca="1">IFERROR(INDIRECT("ТИП5!"&amp;"$U$143"),0)</f>
        <v>0</v>
      </c>
      <c r="AD156" s="422">
        <f ca="1">IFERROR(INDIRECT("ТИП5!"&amp;"$V$143"),0)</f>
        <v>0</v>
      </c>
      <c r="AE156" s="1515"/>
    </row>
    <row r="157" spans="2:31" s="385" customFormat="1" ht="15.75" hidden="1" customHeight="1">
      <c r="B157" s="1125" t="str">
        <f t="shared" ca="1" si="39"/>
        <v>-</v>
      </c>
      <c r="C157" s="1125"/>
      <c r="D157" s="581" t="str">
        <f t="shared" ca="1" si="40"/>
        <v>-</v>
      </c>
      <c r="E157" s="581" t="str">
        <f t="shared" ca="1" si="41"/>
        <v>-</v>
      </c>
      <c r="F157" s="581" t="str">
        <f t="shared" ca="1" si="42"/>
        <v>-</v>
      </c>
      <c r="G157" s="581" t="str">
        <f t="shared" ca="1" si="43"/>
        <v>-</v>
      </c>
      <c r="H157" s="581" t="str">
        <f t="shared" ca="1" si="44"/>
        <v>-</v>
      </c>
      <c r="I157" s="706" t="str">
        <f ca="1">IF(AND(R157&gt;0,$V$148=1),IF(OR(R157=1,R157=2),HYPERLINK($AH$85,$AM$85),IF(R157&gt;=3,HYPERLINK($AH$86,$AM$86))),IF(AND(Y157&gt;0,$AC$148=1),HYPERLINK($AH$84,$AM$84),""))</f>
        <v/>
      </c>
      <c r="N157" s="403"/>
      <c r="O157" s="405">
        <f t="shared" ca="1" si="26"/>
        <v>0</v>
      </c>
      <c r="P157" s="403"/>
      <c r="Q157" s="421">
        <f ca="1">IF(S157&gt;0,INDIRECT("ТИП5!"&amp;"$P$91"),0)</f>
        <v>0</v>
      </c>
      <c r="R157" s="422">
        <f ca="1">IFERROR(INDIRECT("ТИП5!"&amp;"$AN$91"),0)</f>
        <v>0</v>
      </c>
      <c r="S157" s="422">
        <f ca="1">IFERROR(INDIRECT("ТИП5!"&amp;"$T$91"),0)</f>
        <v>0</v>
      </c>
      <c r="T157" s="422">
        <f ca="1">IFERROR(INDIRECT("ТИП5!"&amp;"$R$91"),0)</f>
        <v>0</v>
      </c>
      <c r="U157" s="422">
        <f ca="1">IFERROR(INDIRECT("ТИП5!"&amp;"$S$91"),0)</f>
        <v>0</v>
      </c>
      <c r="V157" s="422">
        <f ca="1">IFERROR(INDIRECT("ТИП5!"&amp;"$U$91"),0)</f>
        <v>0</v>
      </c>
      <c r="W157" s="422">
        <f ca="1">IFERROR(INDIRECT("ТИП5!"&amp;"$V$91"),0)</f>
        <v>0</v>
      </c>
      <c r="X157" s="421">
        <f ca="1">IF(Z157&gt;0,INDIRECT("ТИП5!"&amp;"$P$144"),0)</f>
        <v>0</v>
      </c>
      <c r="Y157" s="422">
        <f ca="1">IFERROR(INDIRECT("ТИП5!"&amp;"$AN$144"),0)</f>
        <v>0</v>
      </c>
      <c r="Z157" s="422">
        <f ca="1">IFERROR(INDIRECT("ТИП5!"&amp;"$T$144"),0)</f>
        <v>0</v>
      </c>
      <c r="AA157" s="422">
        <f ca="1">IFERROR(INDIRECT("ТИП5!"&amp;"$R$144"),0)</f>
        <v>0</v>
      </c>
      <c r="AB157" s="422">
        <f ca="1">IFERROR(INDIRECT("ТИП5!"&amp;"$S$144"),0)</f>
        <v>0</v>
      </c>
      <c r="AC157" s="422">
        <f ca="1">IFERROR(INDIRECT("ТИП5!"&amp;"$U$144"),0)</f>
        <v>0</v>
      </c>
      <c r="AD157" s="422">
        <f ca="1">IFERROR(INDIRECT("ТИП5!"&amp;"$V$144"),0)</f>
        <v>0</v>
      </c>
      <c r="AE157" s="1515"/>
    </row>
    <row r="158" spans="2:31" s="385" customFormat="1" ht="15.75" hidden="1" customHeight="1">
      <c r="B158" s="1125" t="str">
        <f t="shared" ca="1" si="39"/>
        <v>-</v>
      </c>
      <c r="C158" s="1125"/>
      <c r="D158" s="581" t="str">
        <f t="shared" ca="1" si="40"/>
        <v>-</v>
      </c>
      <c r="E158" s="581" t="str">
        <f t="shared" ca="1" si="41"/>
        <v>-</v>
      </c>
      <c r="F158" s="581" t="str">
        <f t="shared" ca="1" si="42"/>
        <v>-</v>
      </c>
      <c r="G158" s="581" t="str">
        <f t="shared" ca="1" si="43"/>
        <v>-</v>
      </c>
      <c r="H158" s="581" t="str">
        <f t="shared" ca="1" si="44"/>
        <v>-</v>
      </c>
      <c r="I158" s="706" t="str">
        <f ca="1">IF(AND(R158&gt;0,$V$148=1),IF(OR(R158=1,R158=2),HYPERLINK($AH$85,$AM$85),IF(R158&gt;=3,HYPERLINK($AH$86,$AM$86))),IF(AND(Y158&gt;0,$AC$148=1),HYPERLINK($AH$84,$AM$84),""))</f>
        <v/>
      </c>
      <c r="N158" s="403"/>
      <c r="O158" s="405">
        <f t="shared" ca="1" si="26"/>
        <v>0</v>
      </c>
      <c r="P158" s="403"/>
      <c r="Q158" s="421">
        <f ca="1">IF(S158&gt;0,INDIRECT("ТИП5!"&amp;"$P$92"),0)</f>
        <v>0</v>
      </c>
      <c r="R158" s="422">
        <f ca="1">IFERROR(INDIRECT("ТИП5!"&amp;"$AN$92"),0)</f>
        <v>0</v>
      </c>
      <c r="S158" s="422">
        <f ca="1">IFERROR(INDIRECT("ТИП5!"&amp;"$T$92"),0)</f>
        <v>0</v>
      </c>
      <c r="T158" s="422">
        <f ca="1">IFERROR(INDIRECT("ТИП5!"&amp;"$R$92"),0)</f>
        <v>0</v>
      </c>
      <c r="U158" s="422">
        <f ca="1">IFERROR(INDIRECT("ТИП5!"&amp;"$S$92"),0)</f>
        <v>0</v>
      </c>
      <c r="V158" s="422">
        <f ca="1">IFERROR(INDIRECT("ТИП5!"&amp;"$U$92"),0)</f>
        <v>0</v>
      </c>
      <c r="W158" s="422">
        <f ca="1">IFERROR(INDIRECT("ТИП5!"&amp;"$V$92"),0)</f>
        <v>0</v>
      </c>
      <c r="X158" s="421">
        <f ca="1">IF(Z158&gt;0,INDIRECT("ТИП5!"&amp;"$P$145"),0)</f>
        <v>0</v>
      </c>
      <c r="Y158" s="422">
        <f ca="1">IFERROR(INDIRECT("ТИП5!"&amp;"$AN$145"),0)</f>
        <v>0</v>
      </c>
      <c r="Z158" s="422">
        <f ca="1">IFERROR(INDIRECT("ТИП5!"&amp;"$T$145"),0)</f>
        <v>0</v>
      </c>
      <c r="AA158" s="422">
        <f ca="1">IFERROR(INDIRECT("ТИП5!"&amp;"$R$145"),0)</f>
        <v>0</v>
      </c>
      <c r="AB158" s="422">
        <f ca="1">IFERROR(INDIRECT("ТИП5!"&amp;"$S$145"),0)</f>
        <v>0</v>
      </c>
      <c r="AC158" s="422">
        <f ca="1">IFERROR(INDIRECT("ТИП5!"&amp;"$U$145"),0)</f>
        <v>0</v>
      </c>
      <c r="AD158" s="422">
        <f ca="1">IFERROR(INDIRECT("ТИП5!"&amp;"$V$145"),0)</f>
        <v>0</v>
      </c>
      <c r="AE158" s="1515"/>
    </row>
    <row r="159" spans="2:31" s="385" customFormat="1" ht="15.75" hidden="1" customHeight="1">
      <c r="B159" s="1125" t="str">
        <f t="shared" ca="1" si="39"/>
        <v>-</v>
      </c>
      <c r="C159" s="1125"/>
      <c r="D159" s="581" t="str">
        <f t="shared" ca="1" si="40"/>
        <v>-</v>
      </c>
      <c r="E159" s="581" t="str">
        <f t="shared" ca="1" si="41"/>
        <v>-</v>
      </c>
      <c r="F159" s="581" t="str">
        <f t="shared" ca="1" si="42"/>
        <v>-</v>
      </c>
      <c r="G159" s="581" t="str">
        <f t="shared" ca="1" si="43"/>
        <v>-</v>
      </c>
      <c r="H159" s="581" t="str">
        <f t="shared" ca="1" si="44"/>
        <v>-</v>
      </c>
      <c r="I159" s="706" t="str">
        <f ca="1">IF(AND(R159&gt;0,$V$148=1),IF(OR(R159=1,R159=2),HYPERLINK($AH$88,$AM$88),IF(R159&gt;=3,HYPERLINK($AH$89,$AM$89))),IF(AND(Y159&gt;0,$AC$148=1),HYPERLINK($AH$87,$AM$87),""))</f>
        <v/>
      </c>
      <c r="N159" s="403"/>
      <c r="O159" s="405">
        <f t="shared" ca="1" si="26"/>
        <v>0</v>
      </c>
      <c r="P159" s="403"/>
      <c r="Q159" s="419">
        <f ca="1">IF(S159&gt;0,INDIRECT("ТИП5!"&amp;"$Q$95"),0)</f>
        <v>0</v>
      </c>
      <c r="R159" s="420">
        <f ca="1">IFERROR(INDIRECT("ТИП5!"&amp;"$AN$95"),0)</f>
        <v>0</v>
      </c>
      <c r="S159" s="420">
        <f ca="1">IFERROR(INDIRECT("ТИП5!"&amp;"$T$95"),0)</f>
        <v>0</v>
      </c>
      <c r="T159" s="420" t="s">
        <v>6</v>
      </c>
      <c r="U159" s="420">
        <f ca="1">IFERROR(INDIRECT("ТИП5!"&amp;"$S$95"),0)</f>
        <v>0</v>
      </c>
      <c r="V159" s="420">
        <f ca="1">IFERROR(INDIRECT("ТИП5!"&amp;"$U$95"),0)</f>
        <v>0</v>
      </c>
      <c r="W159" s="420">
        <f ca="1">IFERROR(INDIRECT("ТИП5!"&amp;"$V$95"),0)</f>
        <v>0</v>
      </c>
      <c r="X159" s="419">
        <f ca="1">IF(Z159&gt;0,INDIRECT("ТИП5!"&amp;"$Q$149"),0)</f>
        <v>0</v>
      </c>
      <c r="Y159" s="420">
        <f ca="1">IFERROR(INDIRECT("ТИП5!"&amp;"$AN$149"),0)</f>
        <v>0</v>
      </c>
      <c r="Z159" s="420">
        <f ca="1">IFERROR(INDIRECT("ТИП5!"&amp;"$T$149"),0)</f>
        <v>0</v>
      </c>
      <c r="AA159" s="425" t="s">
        <v>6</v>
      </c>
      <c r="AB159" s="420">
        <f ca="1">IFERROR(INDIRECT("ТИП5!"&amp;"$S$149"),0)</f>
        <v>0</v>
      </c>
      <c r="AC159" s="420">
        <f ca="1">IFERROR(INDIRECT("ТИП5!"&amp;"$U$149"),0)</f>
        <v>0</v>
      </c>
      <c r="AD159" s="420">
        <f ca="1">IFERROR(INDIRECT("ТИП5!"&amp;"$V$149"),0)</f>
        <v>0</v>
      </c>
      <c r="AE159" s="1516" t="s">
        <v>569</v>
      </c>
    </row>
    <row r="160" spans="2:31" s="385" customFormat="1" ht="15.75" hidden="1" customHeight="1">
      <c r="B160" s="1125" t="str">
        <f t="shared" ca="1" si="39"/>
        <v>-</v>
      </c>
      <c r="C160" s="1125"/>
      <c r="D160" s="581" t="str">
        <f t="shared" ca="1" si="40"/>
        <v>-</v>
      </c>
      <c r="E160" s="581" t="str">
        <f t="shared" ca="1" si="41"/>
        <v>-</v>
      </c>
      <c r="F160" s="581" t="str">
        <f t="shared" ca="1" si="42"/>
        <v>-</v>
      </c>
      <c r="G160" s="581" t="str">
        <f t="shared" ca="1" si="43"/>
        <v>-</v>
      </c>
      <c r="H160" s="581" t="str">
        <f t="shared" ca="1" si="44"/>
        <v>-</v>
      </c>
      <c r="I160" s="706" t="str">
        <f ca="1">IF(AND(R160&gt;0,$V$148=1),IF(OR(R160=1,R160=2),HYPERLINK($AH$88,$AM$88),IF(R160&gt;=3,HYPERLINK($AH$89,$AM$89))),IF(AND(Y160&gt;0,$AC$148=1),HYPERLINK($AH$87,$AM$87),""))</f>
        <v/>
      </c>
      <c r="N160" s="403"/>
      <c r="O160" s="405">
        <f t="shared" ca="1" si="26"/>
        <v>0</v>
      </c>
      <c r="P160" s="403"/>
      <c r="Q160" s="419">
        <f ca="1">IF(S160&gt;0,INDIRECT("ТИП5!"&amp;"$Q$96"),0)</f>
        <v>0</v>
      </c>
      <c r="R160" s="420">
        <f ca="1">IFERROR(INDIRECT("ТИП5!"&amp;"$AN$96"),0)</f>
        <v>0</v>
      </c>
      <c r="S160" s="420">
        <f ca="1">IFERROR(INDIRECT("ТИП5!"&amp;"$T$96"),0)</f>
        <v>0</v>
      </c>
      <c r="T160" s="420" t="s">
        <v>6</v>
      </c>
      <c r="U160" s="420">
        <f ca="1">IFERROR(INDIRECT("ТИП5!"&amp;"$S$96"),0)</f>
        <v>0</v>
      </c>
      <c r="V160" s="420">
        <f ca="1">IFERROR(INDIRECT("ТИП5!"&amp;"$U$96"),0)</f>
        <v>0</v>
      </c>
      <c r="W160" s="420">
        <f ca="1">IFERROR(INDIRECT("ТИП5!"&amp;"$V$96"),0)</f>
        <v>0</v>
      </c>
      <c r="X160" s="419">
        <f ca="1">IF(Z160&gt;0,INDIRECT("ТИП5!"&amp;"$Q$150"),0)</f>
        <v>0</v>
      </c>
      <c r="Y160" s="420">
        <f ca="1">IFERROR(INDIRECT("ТИП5!"&amp;"$AN$150"),0)</f>
        <v>0</v>
      </c>
      <c r="Z160" s="420">
        <f ca="1">IFERROR(INDIRECT("ТИП5!"&amp;"$T$150"),0)</f>
        <v>0</v>
      </c>
      <c r="AA160" s="425" t="s">
        <v>6</v>
      </c>
      <c r="AB160" s="420">
        <f ca="1">IFERROR(INDIRECT("ТИП5!"&amp;"$S$150"),0)</f>
        <v>0</v>
      </c>
      <c r="AC160" s="420">
        <f ca="1">IFERROR(INDIRECT("ТИП5!"&amp;"$U$150"),0)</f>
        <v>0</v>
      </c>
      <c r="AD160" s="420">
        <f ca="1">IFERROR(INDIRECT("ТИП5!"&amp;"$V$150"),0)</f>
        <v>0</v>
      </c>
      <c r="AE160" s="1516"/>
    </row>
    <row r="161" spans="2:31" s="385" customFormat="1" ht="15.75" hidden="1" customHeight="1">
      <c r="B161" s="1125" t="str">
        <f t="shared" ca="1" si="39"/>
        <v>-</v>
      </c>
      <c r="C161" s="1125"/>
      <c r="D161" s="581" t="str">
        <f t="shared" ca="1" si="40"/>
        <v>-</v>
      </c>
      <c r="E161" s="581" t="str">
        <f t="shared" ca="1" si="41"/>
        <v>-</v>
      </c>
      <c r="F161" s="581" t="str">
        <f t="shared" ca="1" si="42"/>
        <v>-</v>
      </c>
      <c r="G161" s="581" t="str">
        <f t="shared" ca="1" si="43"/>
        <v>-</v>
      </c>
      <c r="H161" s="581" t="str">
        <f t="shared" ca="1" si="44"/>
        <v>-</v>
      </c>
      <c r="I161" s="706" t="str">
        <f ca="1">IF(AND(R161&gt;0,$V$148=1),IF(OR(R161=1,R161=2),HYPERLINK($AH$88,$AM$88),IF(R161&gt;=3,HYPERLINK($AH$89,$AM$89))),IF(AND(Y161&gt;0,$AC$148=1),HYPERLINK($AH$87,$AM$87),""))</f>
        <v/>
      </c>
      <c r="N161" s="403"/>
      <c r="O161" s="405">
        <f t="shared" ca="1" si="26"/>
        <v>0</v>
      </c>
      <c r="P161" s="403"/>
      <c r="Q161" s="419">
        <f ca="1">IF(S161&gt;0,INDIRECT("ТИП5!"&amp;"$Q$97"),0)</f>
        <v>0</v>
      </c>
      <c r="R161" s="420">
        <f ca="1">IFERROR(INDIRECT("ТИП5!"&amp;"$AN$97"),0)</f>
        <v>0</v>
      </c>
      <c r="S161" s="420">
        <f ca="1">IFERROR(INDIRECT("ТИП5!"&amp;"$T$97"),0)</f>
        <v>0</v>
      </c>
      <c r="T161" s="420" t="s">
        <v>6</v>
      </c>
      <c r="U161" s="420">
        <f ca="1">IFERROR(INDIRECT("ТИП5!"&amp;"$S$97"),0)</f>
        <v>0</v>
      </c>
      <c r="V161" s="420">
        <f ca="1">IFERROR(INDIRECT("ТИП5!"&amp;"$U$97"),0)</f>
        <v>0</v>
      </c>
      <c r="W161" s="420">
        <f ca="1">IFERROR(INDIRECT("ТИП5!"&amp;"$V$97"),0)</f>
        <v>0</v>
      </c>
      <c r="X161" s="419">
        <f ca="1">IF(Z161&gt;0,INDIRECT("ТИП5!"&amp;"$Q$151"),0)</f>
        <v>0</v>
      </c>
      <c r="Y161" s="420">
        <f ca="1">IFERROR(INDIRECT("ТИП5!"&amp;"$AN$151"),0)</f>
        <v>0</v>
      </c>
      <c r="Z161" s="420">
        <f ca="1">IFERROR(INDIRECT("ТИП5!"&amp;"$T$151"),0)</f>
        <v>0</v>
      </c>
      <c r="AA161" s="425" t="s">
        <v>6</v>
      </c>
      <c r="AB161" s="420">
        <f ca="1">IFERROR(INDIRECT("ТИП5!"&amp;"$S$151"),0)</f>
        <v>0</v>
      </c>
      <c r="AC161" s="420">
        <f ca="1">IFERROR(INDIRECT("ТИП5!"&amp;"$U$151"),0)</f>
        <v>0</v>
      </c>
      <c r="AD161" s="420">
        <f ca="1">IFERROR(INDIRECT("ТИП5!"&amp;"$V$151"),0)</f>
        <v>0</v>
      </c>
      <c r="AE161" s="1516"/>
    </row>
    <row r="162" spans="2:31" s="385" customFormat="1" ht="15.75" hidden="1" customHeight="1">
      <c r="B162" s="1125" t="str">
        <f t="shared" ca="1" si="39"/>
        <v>-</v>
      </c>
      <c r="C162" s="1125"/>
      <c r="D162" s="581" t="str">
        <f t="shared" ca="1" si="40"/>
        <v>-</v>
      </c>
      <c r="E162" s="581" t="str">
        <f t="shared" ca="1" si="41"/>
        <v>-</v>
      </c>
      <c r="F162" s="581" t="str">
        <f t="shared" ca="1" si="42"/>
        <v>-</v>
      </c>
      <c r="G162" s="581" t="str">
        <f t="shared" ca="1" si="43"/>
        <v>-</v>
      </c>
      <c r="H162" s="581" t="str">
        <f t="shared" ca="1" si="44"/>
        <v>-</v>
      </c>
      <c r="I162" s="706" t="str">
        <f ca="1">IF(AND(R162&gt;0,$V$148=1),IF(OR(R162=1,R162=2),HYPERLINK($AH$88,$AM$88),IF(R162&gt;=3,HYPERLINK($AH$89,$AM$89))),IF(AND(Y162&gt;0,$AC$148=1),HYPERLINK($AH$87,$AM$87),""))</f>
        <v/>
      </c>
      <c r="N162" s="403"/>
      <c r="O162" s="405">
        <f t="shared" ca="1" si="26"/>
        <v>0</v>
      </c>
      <c r="P162" s="403"/>
      <c r="Q162" s="419">
        <f ca="1">IF(S162&gt;0,INDIRECT("ТИП5!"&amp;"$Q$98"),0)</f>
        <v>0</v>
      </c>
      <c r="R162" s="420">
        <f ca="1">IFERROR(INDIRECT("ТИП5!"&amp;"$AN$98"),0)</f>
        <v>0</v>
      </c>
      <c r="S162" s="420">
        <f ca="1">IFERROR(INDIRECT("ТИП5!"&amp;"$T$98"),0)</f>
        <v>0</v>
      </c>
      <c r="T162" s="420" t="s">
        <v>6</v>
      </c>
      <c r="U162" s="420">
        <f ca="1">IFERROR(INDIRECT("ТИП5!"&amp;"$S$98"),0)</f>
        <v>0</v>
      </c>
      <c r="V162" s="420">
        <f ca="1">IFERROR(INDIRECT("ТИП5!"&amp;"$U$98"),0)</f>
        <v>0</v>
      </c>
      <c r="W162" s="420">
        <f ca="1">IFERROR(INDIRECT("ТИП5!"&amp;"$V$98"),0)</f>
        <v>0</v>
      </c>
      <c r="X162" s="419">
        <f ca="1">IF(Z162&gt;0,INDIRECT("ТИП5!"&amp;"$Q$152"),0)</f>
        <v>0</v>
      </c>
      <c r="Y162" s="420">
        <f ca="1">IFERROR(INDIRECT("ТИП5!"&amp;"$AN$152"),0)</f>
        <v>0</v>
      </c>
      <c r="Z162" s="420">
        <f ca="1">IFERROR(INDIRECT("ТИП5!"&amp;"$T$152"),0)</f>
        <v>0</v>
      </c>
      <c r="AA162" s="425" t="s">
        <v>6</v>
      </c>
      <c r="AB162" s="420">
        <f ca="1">IFERROR(INDIRECT("ТИП5!"&amp;"$S$152"),0)</f>
        <v>0</v>
      </c>
      <c r="AC162" s="420">
        <f ca="1">IFERROR(INDIRECT("ТИП5!"&amp;"$U$152"),0)</f>
        <v>0</v>
      </c>
      <c r="AD162" s="420">
        <f ca="1">IFERROR(INDIRECT("ТИП5!"&amp;"$V$152"),0)</f>
        <v>0</v>
      </c>
      <c r="AE162" s="1516"/>
    </row>
    <row r="163" spans="2:31" s="385" customFormat="1" ht="15.75" hidden="1" customHeight="1">
      <c r="B163" s="1125" t="str">
        <f t="shared" ca="1" si="39"/>
        <v>-</v>
      </c>
      <c r="C163" s="1125"/>
      <c r="D163" s="581" t="str">
        <f t="shared" ca="1" si="40"/>
        <v>-</v>
      </c>
      <c r="E163" s="581" t="str">
        <f t="shared" ca="1" si="41"/>
        <v>-</v>
      </c>
      <c r="F163" s="581" t="str">
        <f t="shared" ca="1" si="42"/>
        <v>-</v>
      </c>
      <c r="G163" s="581" t="str">
        <f t="shared" ca="1" si="43"/>
        <v>-</v>
      </c>
      <c r="H163" s="581" t="str">
        <f t="shared" ca="1" si="44"/>
        <v>-</v>
      </c>
      <c r="I163" s="706" t="str">
        <f ca="1">IF(AND(R163&gt;0,$V$148=1),HYPERLINK($AH$91,$AM$91),IF(AND(Z163&gt;0,$AC$148=1),HYPERLINK($AH$90,$AM$90),""))</f>
        <v/>
      </c>
      <c r="N163" s="403"/>
      <c r="O163" s="405">
        <f t="shared" ref="O163:O226" ca="1" si="45">IF(D163="-",0,1)</f>
        <v>0</v>
      </c>
      <c r="P163" s="403"/>
      <c r="Q163" s="423">
        <f ca="1">IF(S163&gt;0,(INDIRECT("ТИП5!"&amp;"$Q$101")),0)</f>
        <v>0</v>
      </c>
      <c r="R163" s="424">
        <f ca="1">IFERROR(INDIRECT("ТИП5!"&amp;"$AN$101"),0)</f>
        <v>0</v>
      </c>
      <c r="S163" s="424">
        <f ca="1">IFERROR(INDIRECT("ТИП5!"&amp;"$S$101"),0)</f>
        <v>0</v>
      </c>
      <c r="T163" s="424" t="s">
        <v>6</v>
      </c>
      <c r="U163" s="424" t="s">
        <v>6</v>
      </c>
      <c r="V163" s="424" t="s">
        <v>6</v>
      </c>
      <c r="W163" s="424" t="s">
        <v>6</v>
      </c>
      <c r="X163" s="423">
        <f ca="1">IF(Z163&gt;0,INDIRECT("ТИП5!"&amp;"$R$156"),0)</f>
        <v>0</v>
      </c>
      <c r="Y163" s="424" t="s">
        <v>6</v>
      </c>
      <c r="Z163" s="424">
        <f ca="1">IFERROR(INDIRECT("ТИП5!"&amp;"$T$156"),0)</f>
        <v>0</v>
      </c>
      <c r="AA163" s="411" t="s">
        <v>6</v>
      </c>
      <c r="AB163" s="411" t="s">
        <v>6</v>
      </c>
      <c r="AC163" s="411" t="s">
        <v>6</v>
      </c>
      <c r="AD163" s="411" t="s">
        <v>6</v>
      </c>
      <c r="AE163" s="411" t="s">
        <v>570</v>
      </c>
    </row>
    <row r="164" spans="2:31" s="385" customFormat="1" ht="15.75" hidden="1" customHeight="1">
      <c r="B164" s="1125" t="str">
        <f t="shared" ca="1" si="39"/>
        <v>-</v>
      </c>
      <c r="C164" s="1125"/>
      <c r="D164" s="581" t="str">
        <f t="shared" ca="1" si="40"/>
        <v>-</v>
      </c>
      <c r="E164" s="581" t="str">
        <f t="shared" ca="1" si="41"/>
        <v>-</v>
      </c>
      <c r="F164" s="581" t="str">
        <f t="shared" ca="1" si="42"/>
        <v>-</v>
      </c>
      <c r="G164" s="581" t="str">
        <f t="shared" ca="1" si="43"/>
        <v>-</v>
      </c>
      <c r="H164" s="581" t="str">
        <f t="shared" ca="1" si="44"/>
        <v>-</v>
      </c>
      <c r="I164" s="581" t="s">
        <v>6</v>
      </c>
      <c r="N164" s="403"/>
      <c r="O164" s="405">
        <f t="shared" ca="1" si="45"/>
        <v>0</v>
      </c>
      <c r="P164" s="403"/>
      <c r="Q164" s="417">
        <f ca="1">IF(S164&gt;0,INDIRECT("ТИП5!"&amp;"$P$124"),0)</f>
        <v>0</v>
      </c>
      <c r="R164" s="418" t="s">
        <v>6</v>
      </c>
      <c r="S164" s="418">
        <f ca="1">IFERROR(INDIRECT("ТИП5!"&amp;"$S$125"),0)</f>
        <v>0</v>
      </c>
      <c r="T164" s="418" t="s">
        <v>6</v>
      </c>
      <c r="U164" s="418" t="s">
        <v>6</v>
      </c>
      <c r="V164" s="418" t="s">
        <v>6</v>
      </c>
      <c r="W164" s="418" t="s">
        <v>6</v>
      </c>
      <c r="X164" s="417">
        <f ca="1">IF(Z164&gt;0,INDIRECT("ТИП5!"&amp;"$P$160"),0)</f>
        <v>0</v>
      </c>
      <c r="Y164" s="418" t="s">
        <v>6</v>
      </c>
      <c r="Z164" s="418">
        <f ca="1">IFERROR(INDIRECT("ТИП5!"&amp;"$S$161"),0)</f>
        <v>0</v>
      </c>
      <c r="AA164" s="418" t="s">
        <v>6</v>
      </c>
      <c r="AB164" s="418" t="s">
        <v>6</v>
      </c>
      <c r="AC164" s="418" t="s">
        <v>6</v>
      </c>
      <c r="AD164" s="418" t="s">
        <v>6</v>
      </c>
      <c r="AE164" s="412" t="s">
        <v>571</v>
      </c>
    </row>
    <row r="165" spans="2:31" s="385" customFormat="1" ht="15.75" hidden="1" customHeight="1">
      <c r="B165" s="1518" t="s">
        <v>499</v>
      </c>
      <c r="C165" s="1518"/>
      <c r="D165" s="1518"/>
      <c r="E165" s="1518"/>
      <c r="F165" s="1518"/>
      <c r="G165" s="1518"/>
      <c r="H165" s="1518"/>
      <c r="I165" s="1518"/>
      <c r="N165" s="403"/>
      <c r="O165" s="405">
        <f ca="1">IF(SUM(O166:O181)&gt;0,1,0)</f>
        <v>0</v>
      </c>
      <c r="P165" s="403"/>
      <c r="Q165" s="1488" t="s">
        <v>527</v>
      </c>
      <c r="R165" s="1489"/>
      <c r="S165" s="1489"/>
      <c r="T165" s="1489"/>
      <c r="U165" s="1489"/>
      <c r="V165" s="432" t="str">
        <f ca="1">INDIRECT("ТИП6!"&amp;"$Z$4")</f>
        <v>-</v>
      </c>
      <c r="W165" s="431" t="str">
        <f ca="1">IF(INDIRECT("ТИП6!"&amp;"$Z$4")=1,"●","")</f>
        <v/>
      </c>
      <c r="X165" s="1490" t="s">
        <v>528</v>
      </c>
      <c r="Y165" s="1491"/>
      <c r="Z165" s="1491"/>
      <c r="AA165" s="1491"/>
      <c r="AB165" s="1491"/>
      <c r="AC165" s="433" t="str">
        <f ca="1">INDIRECT("ТИП6!"&amp;"$Z$3")</f>
        <v>-</v>
      </c>
      <c r="AD165" s="434" t="str">
        <f ca="1">IF(INDIRECT("ТИП6!"&amp;"$Z$3")=1,"●","")</f>
        <v/>
      </c>
    </row>
    <row r="166" spans="2:31" s="385" customFormat="1" ht="15.75" hidden="1" customHeight="1">
      <c r="B166" s="1125" t="str">
        <f t="shared" ref="B166:B181" ca="1" si="46">IF(AND($V$165=1,Q166&gt;0),Q166,IF(AND($AC$165=1,X166&gt;0),X166,"-"))</f>
        <v>-</v>
      </c>
      <c r="C166" s="1125"/>
      <c r="D166" s="581" t="str">
        <f t="shared" ref="D166:D181" ca="1" si="47">IF(AND($V$165=1,S166&gt;0),S166,IF(AND($AC$165=1,Z166&gt;0),Z166,"-"))</f>
        <v>-</v>
      </c>
      <c r="E166" s="581" t="str">
        <f t="shared" ref="E166:E181" ca="1" si="48">IF(AND($V$165=1,T166&gt;0),T166,IF(AND($AC$165=1,AA166&gt;0),AA166,"-"))</f>
        <v>-</v>
      </c>
      <c r="F166" s="581" t="str">
        <f t="shared" ref="F166:F181" ca="1" si="49">IF(AND($V$165=1,U166&gt;0),U166,IF(AND($AC$165=1,AB166&gt;0),AB166,"-"))</f>
        <v>-</v>
      </c>
      <c r="G166" s="581" t="str">
        <f t="shared" ref="G166:G181" ca="1" si="50">IF(AND($V$165=1,V166&gt;0),V166,IF(AND($AC$165=1,AC166&gt;0),AC166,"-"))</f>
        <v>-</v>
      </c>
      <c r="H166" s="581" t="str">
        <f t="shared" ref="H166:H181" ca="1" si="51">IF(AND($V$165=1,W166&gt;0),W166,IF(AND($AC$165=1,AD166&gt;0),AD166,"-"))</f>
        <v>-</v>
      </c>
      <c r="I166" s="706" t="str">
        <f ca="1">IF(AND(R166&gt;0,$V$165=1),IF(OR(R166=1,R166=2),HYPERLINK($AH$83,$AM$83),IF(R166&gt;=3,HYPERLINK($AH$82,$AM$82))),IF(AND(Y166&gt;0,$AC$165=1),HYPERLINK($AH$81,$AM$81),""))</f>
        <v/>
      </c>
      <c r="N166" s="403"/>
      <c r="O166" s="405">
        <f t="shared" ca="1" si="45"/>
        <v>0</v>
      </c>
      <c r="P166" s="403"/>
      <c r="Q166" s="413">
        <f ca="1">IF(S166&gt;0,INDIRECT("ТИП6!"&amp;"$P$81"),0)</f>
        <v>0</v>
      </c>
      <c r="R166" s="414">
        <f ca="1">IFERROR(INDIRECT("ТИП6!"&amp;"$AN$81"),0)</f>
        <v>0</v>
      </c>
      <c r="S166" s="414">
        <f ca="1">IFERROR(INDIRECT("ТИП6!"&amp;"$T$81"),0)</f>
        <v>0</v>
      </c>
      <c r="T166" s="414">
        <f ca="1">IFERROR(INDIRECT("ТИП6!"&amp;"$R$81"),0)</f>
        <v>0</v>
      </c>
      <c r="U166" s="414">
        <f ca="1">IFERROR(INDIRECT("ТИП6!"&amp;"$S$81"),0)</f>
        <v>0</v>
      </c>
      <c r="V166" s="414">
        <f ca="1">IFERROR(INDIRECT("ТИП6!"&amp;"$U$81"),0)</f>
        <v>0</v>
      </c>
      <c r="W166" s="414">
        <f ca="1">IFERROR(INDIRECT("ТИП6!"&amp;"$V$81"),0)</f>
        <v>0</v>
      </c>
      <c r="X166" s="415">
        <f ca="1">IF(Z166&gt;0,INDIRECT("ТИП6!"&amp;"$P$133"),0)</f>
        <v>0</v>
      </c>
      <c r="Y166" s="414">
        <f ca="1">IFERROR(INDIRECT("ТИП6!"&amp;"$AN$133"),0)</f>
        <v>0</v>
      </c>
      <c r="Z166" s="416">
        <f ca="1">IFERROR(INDIRECT("ТИП6!"&amp;"$T$133"),0)</f>
        <v>0</v>
      </c>
      <c r="AA166" s="414">
        <f ca="1">IFERROR(INDIRECT("ТИП6!"&amp;"$R$133"),0)</f>
        <v>0</v>
      </c>
      <c r="AB166" s="414">
        <f ca="1">IFERROR(INDIRECT("ТИП6!"&amp;"$S$133"),0)</f>
        <v>0</v>
      </c>
      <c r="AC166" s="414">
        <f ca="1">IFERROR(INDIRECT("ТИП6!"&amp;"$U$133"),0)</f>
        <v>0</v>
      </c>
      <c r="AD166" s="414">
        <f ca="1">IFERROR(INDIRECT("ТИП6!"&amp;"$V$133"),0)</f>
        <v>0</v>
      </c>
      <c r="AE166" s="1517" t="s">
        <v>567</v>
      </c>
    </row>
    <row r="167" spans="2:31" s="385" customFormat="1" ht="15.75" hidden="1" customHeight="1">
      <c r="B167" s="1125" t="str">
        <f t="shared" ca="1" si="46"/>
        <v>-</v>
      </c>
      <c r="C167" s="1125"/>
      <c r="D167" s="581" t="str">
        <f t="shared" ca="1" si="47"/>
        <v>-</v>
      </c>
      <c r="E167" s="581" t="str">
        <f t="shared" ca="1" si="48"/>
        <v>-</v>
      </c>
      <c r="F167" s="581" t="str">
        <f t="shared" ca="1" si="49"/>
        <v>-</v>
      </c>
      <c r="G167" s="581" t="str">
        <f t="shared" ca="1" si="50"/>
        <v>-</v>
      </c>
      <c r="H167" s="581" t="str">
        <f t="shared" ca="1" si="51"/>
        <v>-</v>
      </c>
      <c r="I167" s="706" t="str">
        <f ca="1">IF(AND(R167&gt;0,$V$165=1),IF(OR(R167=1,R167=2),HYPERLINK($AH$83,$AM$83),IF(R167&gt;=3,HYPERLINK($AH$82,$AM$82))),IF(AND(Y167&gt;0,$AC$165=1),HYPERLINK($AH$81,$AM$81),""))</f>
        <v/>
      </c>
      <c r="N167" s="403"/>
      <c r="O167" s="405">
        <f t="shared" ca="1" si="45"/>
        <v>0</v>
      </c>
      <c r="P167" s="403"/>
      <c r="Q167" s="413">
        <f ca="1">IF(S167&gt;0,INDIRECT("ТИП6!"&amp;"$P$82"),0)</f>
        <v>0</v>
      </c>
      <c r="R167" s="414">
        <f ca="1">IFERROR(INDIRECT("ТИП6!"&amp;"$AN$82"),0)</f>
        <v>0</v>
      </c>
      <c r="S167" s="414">
        <f ca="1">IFERROR(INDIRECT("ТИП6!"&amp;"$T$82"),0)</f>
        <v>0</v>
      </c>
      <c r="T167" s="414">
        <f ca="1">IFERROR(INDIRECT("ТИП6!"&amp;"$R$82"),0)</f>
        <v>0</v>
      </c>
      <c r="U167" s="414">
        <f ca="1">IFERROR(INDIRECT("ТИП6!"&amp;"$S$82"),0)</f>
        <v>0</v>
      </c>
      <c r="V167" s="414">
        <f ca="1">IFERROR(INDIRECT("ТИП6!"&amp;"$U$82"),0)</f>
        <v>0</v>
      </c>
      <c r="W167" s="414">
        <f ca="1">IFERROR(INDIRECT("ТИП6!"&amp;"$V$82"),0)</f>
        <v>0</v>
      </c>
      <c r="X167" s="413">
        <f ca="1">IF(Z167&gt;0,INDIRECT("ТИП6!"&amp;"$P$134"),0)</f>
        <v>0</v>
      </c>
      <c r="Y167" s="414">
        <f ca="1">IFERROR(INDIRECT("ТИП6!"&amp;"$AN$134"),0)</f>
        <v>0</v>
      </c>
      <c r="Z167" s="414">
        <f ca="1">IFERROR(INDIRECT("ТИП6!"&amp;"$T$134"),0)</f>
        <v>0</v>
      </c>
      <c r="AA167" s="414">
        <f ca="1">IFERROR(INDIRECT("ТИП6!"&amp;"$R$134"),0)</f>
        <v>0</v>
      </c>
      <c r="AB167" s="414">
        <f ca="1">IFERROR(INDIRECT("ТИП6!"&amp;"$S$134"),0)</f>
        <v>0</v>
      </c>
      <c r="AC167" s="414">
        <f ca="1">IFERROR(INDIRECT("ТИП6!"&amp;"$U$134"),0)</f>
        <v>0</v>
      </c>
      <c r="AD167" s="414">
        <f ca="1">IFERROR(INDIRECT("ТИП6!"&amp;"$V$134"),0)</f>
        <v>0</v>
      </c>
      <c r="AE167" s="1517"/>
    </row>
    <row r="168" spans="2:31" s="385" customFormat="1" ht="15.75" hidden="1" customHeight="1">
      <c r="B168" s="1125" t="str">
        <f t="shared" ca="1" si="46"/>
        <v>-</v>
      </c>
      <c r="C168" s="1125"/>
      <c r="D168" s="581" t="str">
        <f t="shared" ca="1" si="47"/>
        <v>-</v>
      </c>
      <c r="E168" s="581" t="str">
        <f t="shared" ca="1" si="48"/>
        <v>-</v>
      </c>
      <c r="F168" s="581" t="str">
        <f t="shared" ca="1" si="49"/>
        <v>-</v>
      </c>
      <c r="G168" s="581" t="str">
        <f t="shared" ca="1" si="50"/>
        <v>-</v>
      </c>
      <c r="H168" s="581" t="str">
        <f t="shared" ca="1" si="51"/>
        <v>-</v>
      </c>
      <c r="I168" s="706" t="str">
        <f ca="1">IF(AND(R168&gt;0,$V$165=1),IF(OR(R168=1,R168=2),HYPERLINK($AH$83,$AM$83),IF(R168&gt;=3,HYPERLINK($AH$82,$AM$82))),IF(AND(Y168&gt;0,$AC$165=1),HYPERLINK($AH$81,$AM$81),""))</f>
        <v/>
      </c>
      <c r="N168" s="403"/>
      <c r="O168" s="405">
        <f t="shared" ca="1" si="45"/>
        <v>0</v>
      </c>
      <c r="P168" s="403"/>
      <c r="Q168" s="413">
        <f ca="1">IF(S168&gt;0,INDIRECT("ТИП6!"&amp;"$P$83"),0)</f>
        <v>0</v>
      </c>
      <c r="R168" s="414">
        <f ca="1">IFERROR(INDIRECT("ТИП6!"&amp;"$AN$83"),0)</f>
        <v>0</v>
      </c>
      <c r="S168" s="414">
        <f ca="1">IFERROR(INDIRECT("ТИП6!"&amp;"$T$83"),0)</f>
        <v>0</v>
      </c>
      <c r="T168" s="414">
        <f ca="1">IFERROR(INDIRECT("ТИП6!"&amp;"$R$83"),0)</f>
        <v>0</v>
      </c>
      <c r="U168" s="414">
        <f ca="1">IFERROR(INDIRECT("ТИП6!"&amp;"$S$83"),0)</f>
        <v>0</v>
      </c>
      <c r="V168" s="414">
        <f ca="1">IFERROR(INDIRECT("ТИП6!"&amp;"$U$83"),0)</f>
        <v>0</v>
      </c>
      <c r="W168" s="414">
        <f ca="1">IFERROR(INDIRECT("ТИП6!"&amp;"$V$83"),0)</f>
        <v>0</v>
      </c>
      <c r="X168" s="413">
        <f ca="1">IF(Z168&gt;0,INDIRECT("ТИП6!"&amp;"$P$135"),0)</f>
        <v>0</v>
      </c>
      <c r="Y168" s="414">
        <f ca="1">IFERROR(INDIRECT("ТИП6!"&amp;"$AN$135"),0)</f>
        <v>0</v>
      </c>
      <c r="Z168" s="414">
        <f ca="1">IFERROR(INDIRECT("ТИП6!"&amp;"$T$135"),0)</f>
        <v>0</v>
      </c>
      <c r="AA168" s="414">
        <f ca="1">IFERROR(INDIRECT("ТИП6!"&amp;"$R$135"),0)</f>
        <v>0</v>
      </c>
      <c r="AB168" s="414">
        <f ca="1">IFERROR(INDIRECT("ТИП6!"&amp;"$S$135"),0)</f>
        <v>0</v>
      </c>
      <c r="AC168" s="414">
        <f ca="1">IFERROR(INDIRECT("ТИП6!"&amp;"$U$135"),0)</f>
        <v>0</v>
      </c>
      <c r="AD168" s="414">
        <f ca="1">IFERROR(INDIRECT("ТИП6!"&amp;"$V$135"),0)</f>
        <v>0</v>
      </c>
      <c r="AE168" s="1517"/>
    </row>
    <row r="169" spans="2:31" s="385" customFormat="1" ht="15.75" hidden="1" customHeight="1">
      <c r="B169" s="1125" t="str">
        <f t="shared" ca="1" si="46"/>
        <v>-</v>
      </c>
      <c r="C169" s="1125"/>
      <c r="D169" s="581" t="str">
        <f t="shared" ca="1" si="47"/>
        <v>-</v>
      </c>
      <c r="E169" s="581" t="str">
        <f t="shared" ca="1" si="48"/>
        <v>-</v>
      </c>
      <c r="F169" s="581" t="str">
        <f t="shared" ca="1" si="49"/>
        <v>-</v>
      </c>
      <c r="G169" s="581" t="str">
        <f t="shared" ca="1" si="50"/>
        <v>-</v>
      </c>
      <c r="H169" s="581" t="str">
        <f t="shared" ca="1" si="51"/>
        <v>-</v>
      </c>
      <c r="I169" s="706" t="str">
        <f ca="1">IF(AND(R169&gt;0,$V$165=1),IF(OR(R169=1,R169=2),HYPERLINK($AH$83,$AM$83),IF(R169&gt;=3,HYPERLINK($AH$82,$AM$82))),IF(AND(Y169&gt;0,$AC$165=1),HYPERLINK($AH$81,$AM$81),""))</f>
        <v/>
      </c>
      <c r="N169" s="403"/>
      <c r="O169" s="405">
        <f t="shared" ca="1" si="45"/>
        <v>0</v>
      </c>
      <c r="P169" s="403"/>
      <c r="Q169" s="413">
        <f ca="1">IF(S169&gt;0,INDIRECT("ТИП6!"&amp;"$P$84"),0)</f>
        <v>0</v>
      </c>
      <c r="R169" s="414">
        <f ca="1">IFERROR(INDIRECT("ТИП6!"&amp;"$AN$84"),0)</f>
        <v>0</v>
      </c>
      <c r="S169" s="414">
        <f ca="1">IFERROR(INDIRECT("ТИП6!"&amp;"$T$84"),0)</f>
        <v>0</v>
      </c>
      <c r="T169" s="414">
        <f ca="1">IFERROR(INDIRECT("ТИП6!"&amp;"$R$84"),0)</f>
        <v>0</v>
      </c>
      <c r="U169" s="414">
        <f ca="1">IFERROR(INDIRECT("ТИП6!"&amp;"$S$84"),0)</f>
        <v>0</v>
      </c>
      <c r="V169" s="414">
        <f ca="1">IFERROR(INDIRECT("ТИП6!"&amp;"$U$84"),0)</f>
        <v>0</v>
      </c>
      <c r="W169" s="414">
        <f ca="1">IFERROR(INDIRECT("ТИП6!"&amp;"$V$84"),0)</f>
        <v>0</v>
      </c>
      <c r="X169" s="413">
        <f ca="1">IF(Z169&gt;0,INDIRECT("ТИП6!"&amp;"$P$136"),0)</f>
        <v>0</v>
      </c>
      <c r="Y169" s="414">
        <f ca="1">IFERROR(INDIRECT("ТИП6!"&amp;"$AN$136"),0)</f>
        <v>0</v>
      </c>
      <c r="Z169" s="414">
        <f ca="1">IFERROR(INDIRECT("ТИП6!"&amp;"$T$136"),0)</f>
        <v>0</v>
      </c>
      <c r="AA169" s="414">
        <f ca="1">IFERROR(INDIRECT("ТИП6!"&amp;"$R$136"),0)</f>
        <v>0</v>
      </c>
      <c r="AB169" s="414">
        <f ca="1">IFERROR(INDIRECT("ТИП6!"&amp;"$S$136"),0)</f>
        <v>0</v>
      </c>
      <c r="AC169" s="414">
        <f ca="1">IFERROR(INDIRECT("ТИП6!"&amp;"$U$136"),0)</f>
        <v>0</v>
      </c>
      <c r="AD169" s="414">
        <f ca="1">IFERROR(INDIRECT("ТИП6!"&amp;"$V$136"),0)</f>
        <v>0</v>
      </c>
      <c r="AE169" s="1517"/>
    </row>
    <row r="170" spans="2:31" s="385" customFormat="1" ht="15.75" hidden="1" customHeight="1">
      <c r="B170" s="1125" t="str">
        <f t="shared" ca="1" si="46"/>
        <v>-</v>
      </c>
      <c r="C170" s="1125"/>
      <c r="D170" s="581" t="str">
        <f t="shared" ca="1" si="47"/>
        <v>-</v>
      </c>
      <c r="E170" s="581" t="str">
        <f t="shared" ca="1" si="48"/>
        <v>-</v>
      </c>
      <c r="F170" s="581" t="str">
        <f t="shared" ca="1" si="49"/>
        <v>-</v>
      </c>
      <c r="G170" s="581" t="str">
        <f t="shared" ca="1" si="50"/>
        <v>-</v>
      </c>
      <c r="H170" s="581" t="str">
        <f t="shared" ca="1" si="51"/>
        <v>-</v>
      </c>
      <c r="I170" s="706" t="str">
        <f ca="1">IF(AND(R170&gt;0,$V$165=1),IF(OR(R170=1,R170=2),HYPERLINK($AH$83,$AM$83),IF(R170&gt;=3,HYPERLINK($AH$82,$AM$82))),IF(AND(Y170&gt;0,$AC$165=1),HYPERLINK($AH$81,$AM$81),""))</f>
        <v/>
      </c>
      <c r="N170" s="403"/>
      <c r="O170" s="405">
        <f t="shared" ca="1" si="45"/>
        <v>0</v>
      </c>
      <c r="P170" s="403"/>
      <c r="Q170" s="413">
        <f ca="1">IF(S170&gt;0,INDIRECT("ТИП6!"&amp;"$P$85"),0)</f>
        <v>0</v>
      </c>
      <c r="R170" s="414">
        <f ca="1">IFERROR(INDIRECT("ТИП6!"&amp;"$AN$85"),0)</f>
        <v>0</v>
      </c>
      <c r="S170" s="414">
        <f ca="1">IFERROR(INDIRECT("ТИП6!"&amp;"$T$85"),0)</f>
        <v>0</v>
      </c>
      <c r="T170" s="414">
        <f ca="1">IFERROR(INDIRECT("ТИП6!"&amp;"$R$85"),0)</f>
        <v>0</v>
      </c>
      <c r="U170" s="414">
        <f ca="1">IFERROR(INDIRECT("ТИП6!"&amp;"$S$85"),0)</f>
        <v>0</v>
      </c>
      <c r="V170" s="414">
        <f ca="1">IFERROR(INDIRECT("ТИП6!"&amp;"$U$85"),0)</f>
        <v>0</v>
      </c>
      <c r="W170" s="414">
        <f ca="1">IFERROR(INDIRECT("ТИП6!"&amp;"$V$85"),0)</f>
        <v>0</v>
      </c>
      <c r="X170" s="413">
        <f ca="1">IF(Z170&gt;0,INDIRECT("ТИП6!"&amp;"$P$137"),0)</f>
        <v>0</v>
      </c>
      <c r="Y170" s="414">
        <f ca="1">IFERROR(INDIRECT("ТИП6!"&amp;"$AN$137"),0)</f>
        <v>0</v>
      </c>
      <c r="Z170" s="414">
        <f ca="1">IFERROR(INDIRECT("ТИП6!"&amp;"$T$137"),0)</f>
        <v>0</v>
      </c>
      <c r="AA170" s="414">
        <f ca="1">IFERROR(INDIRECT("ТИП6!"&amp;"$R$137"),0)</f>
        <v>0</v>
      </c>
      <c r="AB170" s="414">
        <f ca="1">IFERROR(INDIRECT("ТИП6!"&amp;"$S$137"),0)</f>
        <v>0</v>
      </c>
      <c r="AC170" s="414">
        <f ca="1">IFERROR(INDIRECT("ТИП6!"&amp;"$U$137"),0)</f>
        <v>0</v>
      </c>
      <c r="AD170" s="414">
        <f ca="1">IFERROR(INDIRECT("ТИП6!"&amp;"$V$137"),0)</f>
        <v>0</v>
      </c>
      <c r="AE170" s="1517"/>
    </row>
    <row r="171" spans="2:31" s="385" customFormat="1" ht="15.75" hidden="1" customHeight="1">
      <c r="B171" s="1125" t="str">
        <f t="shared" ca="1" si="46"/>
        <v>-</v>
      </c>
      <c r="C171" s="1125"/>
      <c r="D171" s="581" t="str">
        <f t="shared" ca="1" si="47"/>
        <v>-</v>
      </c>
      <c r="E171" s="581" t="str">
        <f t="shared" ca="1" si="48"/>
        <v>-</v>
      </c>
      <c r="F171" s="581" t="str">
        <f t="shared" ca="1" si="49"/>
        <v>-</v>
      </c>
      <c r="G171" s="581" t="str">
        <f t="shared" ca="1" si="50"/>
        <v>-</v>
      </c>
      <c r="H171" s="581" t="str">
        <f t="shared" ca="1" si="51"/>
        <v>-</v>
      </c>
      <c r="I171" s="706" t="str">
        <f ca="1">IF(AND(R171&gt;0,$V$165=1),IF(OR(R171=1,R171=2),HYPERLINK($AH$85,$AM$85),IF(R171&gt;=3,HYPERLINK($AH$86,$AM$86))),IF(AND(Y171&gt;0,$AC$165=1),HYPERLINK($AH$84,$AM$84),""))</f>
        <v/>
      </c>
      <c r="N171" s="403"/>
      <c r="O171" s="405">
        <f t="shared" ca="1" si="45"/>
        <v>0</v>
      </c>
      <c r="P171" s="403"/>
      <c r="Q171" s="421">
        <f ca="1">IF(S171&gt;0,INDIRECT("ТИП6!"&amp;"$P$88"),0)</f>
        <v>0</v>
      </c>
      <c r="R171" s="422">
        <f ca="1">IFERROR(INDIRECT("ТИП6!"&amp;"$AN$88"),0)</f>
        <v>0</v>
      </c>
      <c r="S171" s="422">
        <f ca="1">IFERROR(INDIRECT("ТИП6!"&amp;"$T$88"),0)</f>
        <v>0</v>
      </c>
      <c r="T171" s="422">
        <f ca="1">IFERROR(INDIRECT("ТИП6!"&amp;"$R$88"),0)</f>
        <v>0</v>
      </c>
      <c r="U171" s="422">
        <f ca="1">IFERROR(INDIRECT("ТИП6!"&amp;"$S$88"),0)</f>
        <v>0</v>
      </c>
      <c r="V171" s="422">
        <f ca="1">IFERROR(INDIRECT("ТИП6!"&amp;"$U$88"),0)</f>
        <v>0</v>
      </c>
      <c r="W171" s="422">
        <f ca="1">IFERROR(INDIRECT("ТИП6!"&amp;"$V$88"),0)</f>
        <v>0</v>
      </c>
      <c r="X171" s="421">
        <f ca="1">IF(Z171&gt;0,INDIRECT("ТИП6!"&amp;"$P$141"),0)</f>
        <v>0</v>
      </c>
      <c r="Y171" s="422">
        <f ca="1">IFERROR(INDIRECT("ТИП6!"&amp;"$AN$141"),0)</f>
        <v>0</v>
      </c>
      <c r="Z171" s="422">
        <f ca="1">IFERROR(INDIRECT("ТИП6!"&amp;"$T$141"),0)</f>
        <v>0</v>
      </c>
      <c r="AA171" s="422">
        <f ca="1">IFERROR(INDIRECT("ТИП6!"&amp;"$R$141"),0)</f>
        <v>0</v>
      </c>
      <c r="AB171" s="422">
        <f ca="1">IFERROR(INDIRECT("ТИП6!"&amp;"$S$141"),0)</f>
        <v>0</v>
      </c>
      <c r="AC171" s="422">
        <f ca="1">IFERROR(INDIRECT("ТИП6!"&amp;"$U$141"),0)</f>
        <v>0</v>
      </c>
      <c r="AD171" s="422">
        <f ca="1">IFERROR(INDIRECT("ТИП6!"&amp;"$V$141"),0)</f>
        <v>0</v>
      </c>
      <c r="AE171" s="1515" t="s">
        <v>568</v>
      </c>
    </row>
    <row r="172" spans="2:31" s="385" customFormat="1" ht="15.75" hidden="1" customHeight="1">
      <c r="B172" s="1125" t="str">
        <f t="shared" ca="1" si="46"/>
        <v>-</v>
      </c>
      <c r="C172" s="1125"/>
      <c r="D172" s="581" t="str">
        <f t="shared" ca="1" si="47"/>
        <v>-</v>
      </c>
      <c r="E172" s="581" t="str">
        <f t="shared" ca="1" si="48"/>
        <v>-</v>
      </c>
      <c r="F172" s="581" t="str">
        <f t="shared" ca="1" si="49"/>
        <v>-</v>
      </c>
      <c r="G172" s="581" t="str">
        <f t="shared" ca="1" si="50"/>
        <v>-</v>
      </c>
      <c r="H172" s="581" t="str">
        <f t="shared" ca="1" si="51"/>
        <v>-</v>
      </c>
      <c r="I172" s="706" t="str">
        <f ca="1">IF(AND(R172&gt;0,$V$165=1),IF(OR(R172=1,R172=2),HYPERLINK($AH$85,$AM$85),IF(R172&gt;=3,HYPERLINK($AH$86,$AM$86))),IF(AND(Y172&gt;0,$AC$165=1),HYPERLINK($AH$84,$AM$84),""))</f>
        <v/>
      </c>
      <c r="N172" s="403"/>
      <c r="O172" s="405">
        <f t="shared" ca="1" si="45"/>
        <v>0</v>
      </c>
      <c r="P172" s="403"/>
      <c r="Q172" s="421">
        <f ca="1">IF(S172&gt;0,INDIRECT("ТИП6!"&amp;"$P$89"),0)</f>
        <v>0</v>
      </c>
      <c r="R172" s="422">
        <f ca="1">IFERROR(INDIRECT("ТИП6!"&amp;"$AN$89"),0)</f>
        <v>0</v>
      </c>
      <c r="S172" s="422">
        <f ca="1">IFERROR(INDIRECT("ТИП6!"&amp;"$T$89"),0)</f>
        <v>0</v>
      </c>
      <c r="T172" s="422">
        <f ca="1">IFERROR(INDIRECT("ТИП6!"&amp;"$R$89"),0)</f>
        <v>0</v>
      </c>
      <c r="U172" s="422">
        <f ca="1">IFERROR(INDIRECT("ТИП6!"&amp;"$S$89"),0)</f>
        <v>0</v>
      </c>
      <c r="V172" s="422">
        <f ca="1">IFERROR(INDIRECT("ТИП6!"&amp;"$U$89"),0)</f>
        <v>0</v>
      </c>
      <c r="W172" s="422">
        <f ca="1">IFERROR(INDIRECT("ТИП6!"&amp;"$V$89"),0)</f>
        <v>0</v>
      </c>
      <c r="X172" s="421">
        <f ca="1">IF(Z172&gt;0,INDIRECT("ТИП6!"&amp;"$P$142"),0)</f>
        <v>0</v>
      </c>
      <c r="Y172" s="422">
        <f ca="1">IFERROR(INDIRECT("ТИП6!"&amp;"$AN$142"),0)</f>
        <v>0</v>
      </c>
      <c r="Z172" s="422">
        <f ca="1">IFERROR(INDIRECT("ТИП6!"&amp;"$T$142"),0)</f>
        <v>0</v>
      </c>
      <c r="AA172" s="422">
        <f ca="1">IFERROR(INDIRECT("ТИП6!"&amp;"$R$142"),0)</f>
        <v>0</v>
      </c>
      <c r="AB172" s="422">
        <f ca="1">IFERROR(INDIRECT("ТИП6!"&amp;"$S$142"),0)</f>
        <v>0</v>
      </c>
      <c r="AC172" s="422">
        <f ca="1">IFERROR(INDIRECT("ТИП6!"&amp;"$U$142"),0)</f>
        <v>0</v>
      </c>
      <c r="AD172" s="422">
        <f ca="1">IFERROR(INDIRECT("ТИП6!"&amp;"$V$142"),0)</f>
        <v>0</v>
      </c>
      <c r="AE172" s="1515"/>
    </row>
    <row r="173" spans="2:31" s="385" customFormat="1" ht="15.75" hidden="1" customHeight="1">
      <c r="B173" s="1125" t="str">
        <f t="shared" ca="1" si="46"/>
        <v>-</v>
      </c>
      <c r="C173" s="1125"/>
      <c r="D173" s="581" t="str">
        <f t="shared" ca="1" si="47"/>
        <v>-</v>
      </c>
      <c r="E173" s="581" t="str">
        <f t="shared" ca="1" si="48"/>
        <v>-</v>
      </c>
      <c r="F173" s="581" t="str">
        <f t="shared" ca="1" si="49"/>
        <v>-</v>
      </c>
      <c r="G173" s="581" t="str">
        <f t="shared" ca="1" si="50"/>
        <v>-</v>
      </c>
      <c r="H173" s="581" t="str">
        <f t="shared" ca="1" si="51"/>
        <v>-</v>
      </c>
      <c r="I173" s="706" t="str">
        <f ca="1">IF(AND(R173&gt;0,$V$165=1),IF(OR(R173=1,R173=2),HYPERLINK($AH$85,$AM$85),IF(R173&gt;=3,HYPERLINK($AH$86,$AM$86))),IF(AND(Y173&gt;0,$AC$165=1),HYPERLINK($AH$84,$AM$84),""))</f>
        <v/>
      </c>
      <c r="N173" s="403"/>
      <c r="O173" s="405">
        <f t="shared" ca="1" si="45"/>
        <v>0</v>
      </c>
      <c r="P173" s="403"/>
      <c r="Q173" s="421">
        <f ca="1">IF(S173&gt;0,INDIRECT("ТИП6!"&amp;"$P$90"),0)</f>
        <v>0</v>
      </c>
      <c r="R173" s="422">
        <f ca="1">IFERROR(INDIRECT("ТИП6!"&amp;"$AN$90"),0)</f>
        <v>0</v>
      </c>
      <c r="S173" s="422">
        <f ca="1">IFERROR(INDIRECT("ТИП6!"&amp;"$T$90"),0)</f>
        <v>0</v>
      </c>
      <c r="T173" s="422">
        <f ca="1">IFERROR(INDIRECT("ТИП6!"&amp;"$R$90"),0)</f>
        <v>0</v>
      </c>
      <c r="U173" s="422">
        <f ca="1">IFERROR(INDIRECT("ТИП6!"&amp;"$S$90"),0)</f>
        <v>0</v>
      </c>
      <c r="V173" s="422">
        <f ca="1">IFERROR(INDIRECT("ТИП6!"&amp;"$U$90"),0)</f>
        <v>0</v>
      </c>
      <c r="W173" s="422">
        <f ca="1">IFERROR(INDIRECT("ТИП6!"&amp;"$V$90"),0)</f>
        <v>0</v>
      </c>
      <c r="X173" s="421">
        <f ca="1">IF(Z173&gt;0,INDIRECT("ТИП6!"&amp;"$P$143"),0)</f>
        <v>0</v>
      </c>
      <c r="Y173" s="422">
        <f ca="1">IFERROR(INDIRECT("ТИП6!"&amp;"$AN$143"),0)</f>
        <v>0</v>
      </c>
      <c r="Z173" s="422">
        <f ca="1">IFERROR(INDIRECT("ТИП6!"&amp;"$T$143"),0)</f>
        <v>0</v>
      </c>
      <c r="AA173" s="422">
        <f ca="1">IFERROR(INDIRECT("ТИП6!"&amp;"$R$143"),0)</f>
        <v>0</v>
      </c>
      <c r="AB173" s="422">
        <f ca="1">IFERROR(INDIRECT("ТИП6!"&amp;"$S$143"),0)</f>
        <v>0</v>
      </c>
      <c r="AC173" s="422">
        <f ca="1">IFERROR(INDIRECT("ТИП6!"&amp;"$U$143"),0)</f>
        <v>0</v>
      </c>
      <c r="AD173" s="422">
        <f ca="1">IFERROR(INDIRECT("ТИП6!"&amp;"$V$143"),0)</f>
        <v>0</v>
      </c>
      <c r="AE173" s="1515"/>
    </row>
    <row r="174" spans="2:31" s="385" customFormat="1" ht="15.75" hidden="1" customHeight="1">
      <c r="B174" s="1125" t="str">
        <f t="shared" ca="1" si="46"/>
        <v>-</v>
      </c>
      <c r="C174" s="1125"/>
      <c r="D174" s="581" t="str">
        <f t="shared" ca="1" si="47"/>
        <v>-</v>
      </c>
      <c r="E174" s="581" t="str">
        <f t="shared" ca="1" si="48"/>
        <v>-</v>
      </c>
      <c r="F174" s="581" t="str">
        <f t="shared" ca="1" si="49"/>
        <v>-</v>
      </c>
      <c r="G174" s="581" t="str">
        <f t="shared" ca="1" si="50"/>
        <v>-</v>
      </c>
      <c r="H174" s="581" t="str">
        <f t="shared" ca="1" si="51"/>
        <v>-</v>
      </c>
      <c r="I174" s="706" t="str">
        <f ca="1">IF(AND(R174&gt;0,$V$165=1),IF(OR(R174=1,R174=2),HYPERLINK($AH$85,$AM$85),IF(R174&gt;=3,HYPERLINK($AH$86,$AM$86))),IF(AND(Y174&gt;0,$AC$165=1),HYPERLINK($AH$84,$AM$84),""))</f>
        <v/>
      </c>
      <c r="N174" s="403"/>
      <c r="O174" s="405">
        <f t="shared" ca="1" si="45"/>
        <v>0</v>
      </c>
      <c r="P174" s="403"/>
      <c r="Q174" s="421">
        <f ca="1">IF(S174&gt;0,INDIRECT("ТИП6!"&amp;"$P$91"),0)</f>
        <v>0</v>
      </c>
      <c r="R174" s="422">
        <f ca="1">IFERROR(INDIRECT("ТИП6!"&amp;"$AN$91"),0)</f>
        <v>0</v>
      </c>
      <c r="S174" s="422">
        <f ca="1">IFERROR(INDIRECT("ТИП6!"&amp;"$T$91"),0)</f>
        <v>0</v>
      </c>
      <c r="T174" s="422">
        <f ca="1">IFERROR(INDIRECT("ТИП6!"&amp;"$R$91"),0)</f>
        <v>0</v>
      </c>
      <c r="U174" s="422">
        <f ca="1">IFERROR(INDIRECT("ТИП6!"&amp;"$S$91"),0)</f>
        <v>0</v>
      </c>
      <c r="V174" s="422">
        <f ca="1">IFERROR(INDIRECT("ТИП6!"&amp;"$U$91"),0)</f>
        <v>0</v>
      </c>
      <c r="W174" s="422">
        <f ca="1">IFERROR(INDIRECT("ТИП6!"&amp;"$V$91"),0)</f>
        <v>0</v>
      </c>
      <c r="X174" s="421">
        <f ca="1">IF(Z174&gt;0,INDIRECT("ТИП6!"&amp;"$P$144"),0)</f>
        <v>0</v>
      </c>
      <c r="Y174" s="422">
        <f ca="1">IFERROR(INDIRECT("ТИП6!"&amp;"$AN$144"),0)</f>
        <v>0</v>
      </c>
      <c r="Z174" s="422">
        <f ca="1">IFERROR(INDIRECT("ТИП6!"&amp;"$T$144"),0)</f>
        <v>0</v>
      </c>
      <c r="AA174" s="422">
        <f ca="1">IFERROR(INDIRECT("ТИП6!"&amp;"$R$144"),0)</f>
        <v>0</v>
      </c>
      <c r="AB174" s="422">
        <f ca="1">IFERROR(INDIRECT("ТИП6!"&amp;"$S$144"),0)</f>
        <v>0</v>
      </c>
      <c r="AC174" s="422">
        <f ca="1">IFERROR(INDIRECT("ТИП6!"&amp;"$U$144"),0)</f>
        <v>0</v>
      </c>
      <c r="AD174" s="422">
        <f ca="1">IFERROR(INDIRECT("ТИП6!"&amp;"$V$144"),0)</f>
        <v>0</v>
      </c>
      <c r="AE174" s="1515"/>
    </row>
    <row r="175" spans="2:31" s="385" customFormat="1" ht="15.75" hidden="1" customHeight="1">
      <c r="B175" s="1125" t="str">
        <f t="shared" ca="1" si="46"/>
        <v>-</v>
      </c>
      <c r="C175" s="1125"/>
      <c r="D175" s="581" t="str">
        <f t="shared" ca="1" si="47"/>
        <v>-</v>
      </c>
      <c r="E175" s="581" t="str">
        <f t="shared" ca="1" si="48"/>
        <v>-</v>
      </c>
      <c r="F175" s="581" t="str">
        <f t="shared" ca="1" si="49"/>
        <v>-</v>
      </c>
      <c r="G175" s="581" t="str">
        <f t="shared" ca="1" si="50"/>
        <v>-</v>
      </c>
      <c r="H175" s="581" t="str">
        <f t="shared" ca="1" si="51"/>
        <v>-</v>
      </c>
      <c r="I175" s="706" t="str">
        <f ca="1">IF(AND(R175&gt;0,$V$165=1),IF(OR(R175=1,R175=2),HYPERLINK($AH$85,$AM$85),IF(R175&gt;=3,HYPERLINK($AH$86,$AM$86))),IF(AND(Y175&gt;0,$AC$165=1),HYPERLINK($AH$84,$AM$84),""))</f>
        <v/>
      </c>
      <c r="N175" s="403"/>
      <c r="O175" s="405">
        <f t="shared" ca="1" si="45"/>
        <v>0</v>
      </c>
      <c r="P175" s="403"/>
      <c r="Q175" s="421">
        <f ca="1">IF(S175&gt;0,INDIRECT("ТИП6!"&amp;"$P$92"),0)</f>
        <v>0</v>
      </c>
      <c r="R175" s="422">
        <f ca="1">IFERROR(INDIRECT("ТИП6!"&amp;"$AN$92"),0)</f>
        <v>0</v>
      </c>
      <c r="S175" s="422">
        <f ca="1">IFERROR(INDIRECT("ТИП6!"&amp;"$T$92"),0)</f>
        <v>0</v>
      </c>
      <c r="T175" s="422">
        <f ca="1">IFERROR(INDIRECT("ТИП6!"&amp;"$R$92"),0)</f>
        <v>0</v>
      </c>
      <c r="U175" s="422">
        <f ca="1">IFERROR(INDIRECT("ТИП6!"&amp;"$S$92"),0)</f>
        <v>0</v>
      </c>
      <c r="V175" s="422">
        <f ca="1">IFERROR(INDIRECT("ТИП6!"&amp;"$U$92"),0)</f>
        <v>0</v>
      </c>
      <c r="W175" s="422">
        <f ca="1">IFERROR(INDIRECT("ТИП6!"&amp;"$V$92"),0)</f>
        <v>0</v>
      </c>
      <c r="X175" s="421">
        <f ca="1">IF(Z175&gt;0,INDIRECT("ТИП6!"&amp;"$P$145"),0)</f>
        <v>0</v>
      </c>
      <c r="Y175" s="422">
        <f ca="1">IFERROR(INDIRECT("ТИП6!"&amp;"$AN$145"),0)</f>
        <v>0</v>
      </c>
      <c r="Z175" s="422">
        <f ca="1">IFERROR(INDIRECT("ТИП6!"&amp;"$T$145"),0)</f>
        <v>0</v>
      </c>
      <c r="AA175" s="422">
        <f ca="1">IFERROR(INDIRECT("ТИП6!"&amp;"$R$145"),0)</f>
        <v>0</v>
      </c>
      <c r="AB175" s="422">
        <f ca="1">IFERROR(INDIRECT("ТИП6!"&amp;"$S$145"),0)</f>
        <v>0</v>
      </c>
      <c r="AC175" s="422">
        <f ca="1">IFERROR(INDIRECT("ТИП6!"&amp;"$U$145"),0)</f>
        <v>0</v>
      </c>
      <c r="AD175" s="422">
        <f ca="1">IFERROR(INDIRECT("ТИП6!"&amp;"$V$145"),0)</f>
        <v>0</v>
      </c>
      <c r="AE175" s="1515"/>
    </row>
    <row r="176" spans="2:31" s="385" customFormat="1" ht="15.75" hidden="1" customHeight="1">
      <c r="B176" s="1125" t="str">
        <f t="shared" ca="1" si="46"/>
        <v>-</v>
      </c>
      <c r="C176" s="1125"/>
      <c r="D176" s="581" t="str">
        <f t="shared" ca="1" si="47"/>
        <v>-</v>
      </c>
      <c r="E176" s="581" t="str">
        <f t="shared" ca="1" si="48"/>
        <v>-</v>
      </c>
      <c r="F176" s="581" t="str">
        <f t="shared" ca="1" si="49"/>
        <v>-</v>
      </c>
      <c r="G176" s="581" t="str">
        <f t="shared" ca="1" si="50"/>
        <v>-</v>
      </c>
      <c r="H176" s="581" t="str">
        <f t="shared" ca="1" si="51"/>
        <v>-</v>
      </c>
      <c r="I176" s="706" t="str">
        <f ca="1">IF(AND(R176&gt;0,$V$165=1),IF(OR(R176=1,R176=2),HYPERLINK($AH$88,$AM$88),IF(R176&gt;=3,HYPERLINK($AH$89,$AM$89))),IF(AND(Y176&gt;0,$AC$165=1),HYPERLINK($AH$87,$AM$87),""))</f>
        <v/>
      </c>
      <c r="N176" s="403"/>
      <c r="O176" s="405">
        <f t="shared" ca="1" si="45"/>
        <v>0</v>
      </c>
      <c r="P176" s="403"/>
      <c r="Q176" s="419">
        <f ca="1">IF(S176&gt;0,INDIRECT("ТИП6!"&amp;"$Q$95"),0)</f>
        <v>0</v>
      </c>
      <c r="R176" s="420">
        <f ca="1">IFERROR(INDIRECT("ТИП6!"&amp;"$AN$95"),0)</f>
        <v>0</v>
      </c>
      <c r="S176" s="420">
        <f ca="1">IFERROR(INDIRECT("ТИП6!"&amp;"$T$95"),0)</f>
        <v>0</v>
      </c>
      <c r="T176" s="420" t="s">
        <v>6</v>
      </c>
      <c r="U176" s="420">
        <f ca="1">IFERROR(INDIRECT("ТИП6!"&amp;"$S$95"),0)</f>
        <v>0</v>
      </c>
      <c r="V176" s="420">
        <f ca="1">IFERROR(INDIRECT("ТИП6!"&amp;"$U$95"),0)</f>
        <v>0</v>
      </c>
      <c r="W176" s="420">
        <f ca="1">IFERROR(INDIRECT("ТИП6!"&amp;"$V$95"),0)</f>
        <v>0</v>
      </c>
      <c r="X176" s="419">
        <f ca="1">IF(Z176&gt;0,INDIRECT("ТИП6!"&amp;"$Q$149"),0)</f>
        <v>0</v>
      </c>
      <c r="Y176" s="420">
        <f ca="1">IFERROR(INDIRECT("ТИП6!"&amp;"$AN$149"),0)</f>
        <v>0</v>
      </c>
      <c r="Z176" s="420">
        <f ca="1">IFERROR(INDIRECT("ТИП6!"&amp;"$T$149"),0)</f>
        <v>0</v>
      </c>
      <c r="AA176" s="425" t="s">
        <v>6</v>
      </c>
      <c r="AB176" s="420">
        <f ca="1">IFERROR(INDIRECT("ТИП6!"&amp;"$S$149"),0)</f>
        <v>0</v>
      </c>
      <c r="AC176" s="420">
        <f ca="1">IFERROR(INDIRECT("ТИП6!"&amp;"$U$149"),0)</f>
        <v>0</v>
      </c>
      <c r="AD176" s="420">
        <f ca="1">IFERROR(INDIRECT("ТИП6!"&amp;"$V$149"),0)</f>
        <v>0</v>
      </c>
      <c r="AE176" s="1516" t="s">
        <v>569</v>
      </c>
    </row>
    <row r="177" spans="2:31" s="385" customFormat="1" ht="15.75" hidden="1" customHeight="1">
      <c r="B177" s="1125" t="str">
        <f t="shared" ca="1" si="46"/>
        <v>-</v>
      </c>
      <c r="C177" s="1125"/>
      <c r="D177" s="581" t="str">
        <f t="shared" ca="1" si="47"/>
        <v>-</v>
      </c>
      <c r="E177" s="581" t="str">
        <f t="shared" ca="1" si="48"/>
        <v>-</v>
      </c>
      <c r="F177" s="581" t="str">
        <f t="shared" ca="1" si="49"/>
        <v>-</v>
      </c>
      <c r="G177" s="581" t="str">
        <f t="shared" ca="1" si="50"/>
        <v>-</v>
      </c>
      <c r="H177" s="581" t="str">
        <f t="shared" ca="1" si="51"/>
        <v>-</v>
      </c>
      <c r="I177" s="706" t="str">
        <f ca="1">IF(AND(R177&gt;0,$V$165=1),IF(OR(R177=1,R177=2),HYPERLINK($AH$88,$AM$88),IF(R177&gt;=3,HYPERLINK($AH$89,$AM$89))),IF(AND(Y177&gt;0,$AC$165=1),HYPERLINK($AH$87,$AM$87),""))</f>
        <v/>
      </c>
      <c r="N177" s="403"/>
      <c r="O177" s="405">
        <f t="shared" ca="1" si="45"/>
        <v>0</v>
      </c>
      <c r="P177" s="403"/>
      <c r="Q177" s="419">
        <f ca="1">IF(S177&gt;0,INDIRECT("ТИП6!"&amp;"$Q$96"),0)</f>
        <v>0</v>
      </c>
      <c r="R177" s="420">
        <f ca="1">IFERROR(INDIRECT("ТИП6!"&amp;"$AN$96"),0)</f>
        <v>0</v>
      </c>
      <c r="S177" s="420">
        <f ca="1">IFERROR(INDIRECT("ТИП6!"&amp;"$T$96"),0)</f>
        <v>0</v>
      </c>
      <c r="T177" s="420" t="s">
        <v>6</v>
      </c>
      <c r="U177" s="420">
        <f ca="1">IFERROR(INDIRECT("ТИП6!"&amp;"$S$96"),0)</f>
        <v>0</v>
      </c>
      <c r="V177" s="420">
        <f ca="1">IFERROR(INDIRECT("ТИП6!"&amp;"$U$96"),0)</f>
        <v>0</v>
      </c>
      <c r="W177" s="420">
        <f ca="1">IFERROR(INDIRECT("ТИП6!"&amp;"$V$96"),0)</f>
        <v>0</v>
      </c>
      <c r="X177" s="419">
        <f ca="1">IF(Z177&gt;0,INDIRECT("ТИП6!"&amp;"$Q$150"),0)</f>
        <v>0</v>
      </c>
      <c r="Y177" s="420">
        <f ca="1">IFERROR(INDIRECT("ТИП6!"&amp;"$AN$150"),0)</f>
        <v>0</v>
      </c>
      <c r="Z177" s="420">
        <f ca="1">IFERROR(INDIRECT("ТИП6!"&amp;"$T$150"),0)</f>
        <v>0</v>
      </c>
      <c r="AA177" s="425" t="s">
        <v>6</v>
      </c>
      <c r="AB177" s="420">
        <f ca="1">IFERROR(INDIRECT("ТИП6!"&amp;"$S$150"),0)</f>
        <v>0</v>
      </c>
      <c r="AC177" s="420">
        <f ca="1">IFERROR(INDIRECT("ТИП6!"&amp;"$U$150"),0)</f>
        <v>0</v>
      </c>
      <c r="AD177" s="420">
        <f ca="1">IFERROR(INDIRECT("ТИП6!"&amp;"$V$150"),0)</f>
        <v>0</v>
      </c>
      <c r="AE177" s="1516"/>
    </row>
    <row r="178" spans="2:31" s="385" customFormat="1" ht="15.75" hidden="1" customHeight="1">
      <c r="B178" s="1125" t="str">
        <f t="shared" ca="1" si="46"/>
        <v>-</v>
      </c>
      <c r="C178" s="1125"/>
      <c r="D178" s="581" t="str">
        <f t="shared" ca="1" si="47"/>
        <v>-</v>
      </c>
      <c r="E178" s="581" t="str">
        <f t="shared" ca="1" si="48"/>
        <v>-</v>
      </c>
      <c r="F178" s="581" t="str">
        <f t="shared" ca="1" si="49"/>
        <v>-</v>
      </c>
      <c r="G178" s="581" t="str">
        <f t="shared" ca="1" si="50"/>
        <v>-</v>
      </c>
      <c r="H178" s="581" t="str">
        <f t="shared" ca="1" si="51"/>
        <v>-</v>
      </c>
      <c r="I178" s="706" t="str">
        <f ca="1">IF(AND(R178&gt;0,$V$165=1),IF(OR(R178=1,R178=2),HYPERLINK($AH$88,$AM$88),IF(R178&gt;=3,HYPERLINK($AH$89,$AM$89))),IF(AND(Y178&gt;0,$AC$165=1),HYPERLINK($AH$87,$AM$87),""))</f>
        <v/>
      </c>
      <c r="N178" s="403"/>
      <c r="O178" s="405">
        <f t="shared" ca="1" si="45"/>
        <v>0</v>
      </c>
      <c r="P178" s="403"/>
      <c r="Q178" s="419">
        <f ca="1">IF(S178&gt;0,INDIRECT("ТИП6!"&amp;"$Q$97"),0)</f>
        <v>0</v>
      </c>
      <c r="R178" s="420">
        <f ca="1">IFERROR(INDIRECT("ТИП6!"&amp;"$AN$97"),0)</f>
        <v>0</v>
      </c>
      <c r="S178" s="420">
        <f ca="1">IFERROR(INDIRECT("ТИП6!"&amp;"$T$97"),0)</f>
        <v>0</v>
      </c>
      <c r="T178" s="420" t="s">
        <v>6</v>
      </c>
      <c r="U178" s="420">
        <f ca="1">IFERROR(INDIRECT("ТИП6!"&amp;"$S$97"),0)</f>
        <v>0</v>
      </c>
      <c r="V178" s="420">
        <f ca="1">IFERROR(INDIRECT("ТИП6!"&amp;"$U$97"),0)</f>
        <v>0</v>
      </c>
      <c r="W178" s="420">
        <f ca="1">IFERROR(INDIRECT("ТИП6!"&amp;"$V$97"),0)</f>
        <v>0</v>
      </c>
      <c r="X178" s="419">
        <f ca="1">IF(Z178&gt;0,INDIRECT("ТИП6!"&amp;"$Q$151"),0)</f>
        <v>0</v>
      </c>
      <c r="Y178" s="420">
        <f ca="1">IFERROR(INDIRECT("ТИП6!"&amp;"$AN$151"),0)</f>
        <v>0</v>
      </c>
      <c r="Z178" s="420">
        <f ca="1">IFERROR(INDIRECT("ТИП6!"&amp;"$T$151"),0)</f>
        <v>0</v>
      </c>
      <c r="AA178" s="425" t="s">
        <v>6</v>
      </c>
      <c r="AB178" s="420">
        <f ca="1">IFERROR(INDIRECT("ТИП6!"&amp;"$S$151"),0)</f>
        <v>0</v>
      </c>
      <c r="AC178" s="420">
        <f ca="1">IFERROR(INDIRECT("ТИП6!"&amp;"$U$151"),0)</f>
        <v>0</v>
      </c>
      <c r="AD178" s="420">
        <f ca="1">IFERROR(INDIRECT("ТИП6!"&amp;"$V$151"),0)</f>
        <v>0</v>
      </c>
      <c r="AE178" s="1516"/>
    </row>
    <row r="179" spans="2:31" s="385" customFormat="1" ht="15.75" hidden="1" customHeight="1">
      <c r="B179" s="1125" t="str">
        <f t="shared" ca="1" si="46"/>
        <v>-</v>
      </c>
      <c r="C179" s="1125"/>
      <c r="D179" s="581" t="str">
        <f t="shared" ca="1" si="47"/>
        <v>-</v>
      </c>
      <c r="E179" s="581" t="str">
        <f t="shared" ca="1" si="48"/>
        <v>-</v>
      </c>
      <c r="F179" s="581" t="str">
        <f t="shared" ca="1" si="49"/>
        <v>-</v>
      </c>
      <c r="G179" s="581" t="str">
        <f t="shared" ca="1" si="50"/>
        <v>-</v>
      </c>
      <c r="H179" s="581" t="str">
        <f t="shared" ca="1" si="51"/>
        <v>-</v>
      </c>
      <c r="I179" s="706" t="str">
        <f ca="1">IF(AND(R179&gt;0,$V$165=1),IF(OR(R179=1,R179=2),HYPERLINK($AH$88,$AM$88),IF(R179&gt;=3,HYPERLINK($AH$89,$AM$89))),IF(AND(Y179&gt;0,$AC$165=1),HYPERLINK($AH$87,$AM$87),""))</f>
        <v/>
      </c>
      <c r="N179" s="403"/>
      <c r="O179" s="405">
        <f t="shared" ca="1" si="45"/>
        <v>0</v>
      </c>
      <c r="P179" s="403"/>
      <c r="Q179" s="419">
        <f ca="1">IF(S179&gt;0,INDIRECT("ТИП6!"&amp;"$Q$98"),0)</f>
        <v>0</v>
      </c>
      <c r="R179" s="420">
        <f ca="1">IFERROR(INDIRECT("ТИП6!"&amp;"$AN$98"),0)</f>
        <v>0</v>
      </c>
      <c r="S179" s="420">
        <f ca="1">IFERROR(INDIRECT("ТИП6!"&amp;"$T$98"),0)</f>
        <v>0</v>
      </c>
      <c r="T179" s="420" t="s">
        <v>6</v>
      </c>
      <c r="U179" s="420">
        <f ca="1">IFERROR(INDIRECT("ТИП6!"&amp;"$S$98"),0)</f>
        <v>0</v>
      </c>
      <c r="V179" s="420">
        <f ca="1">IFERROR(INDIRECT("ТИП6!"&amp;"$U$98"),0)</f>
        <v>0</v>
      </c>
      <c r="W179" s="420">
        <f ca="1">IFERROR(INDIRECT("ТИП6!"&amp;"$V$98"),0)</f>
        <v>0</v>
      </c>
      <c r="X179" s="419">
        <f ca="1">IF(Z179&gt;0,INDIRECT("ТИП6!"&amp;"$Q$152"),0)</f>
        <v>0</v>
      </c>
      <c r="Y179" s="420">
        <f ca="1">IFERROR(INDIRECT("ТИП6!"&amp;"$AN$152"),0)</f>
        <v>0</v>
      </c>
      <c r="Z179" s="420">
        <f ca="1">IFERROR(INDIRECT("ТИП6!"&amp;"$T$152"),0)</f>
        <v>0</v>
      </c>
      <c r="AA179" s="425" t="s">
        <v>6</v>
      </c>
      <c r="AB179" s="420">
        <f ca="1">IFERROR(INDIRECT("ТИП6!"&amp;"$S$152"),0)</f>
        <v>0</v>
      </c>
      <c r="AC179" s="420">
        <f ca="1">IFERROR(INDIRECT("ТИП6!"&amp;"$U$152"),0)</f>
        <v>0</v>
      </c>
      <c r="AD179" s="420">
        <f ca="1">IFERROR(INDIRECT("ТИП6!"&amp;"$V$152"),0)</f>
        <v>0</v>
      </c>
      <c r="AE179" s="1516"/>
    </row>
    <row r="180" spans="2:31" s="385" customFormat="1" ht="15.75" hidden="1" customHeight="1">
      <c r="B180" s="1125" t="str">
        <f t="shared" ca="1" si="46"/>
        <v>-</v>
      </c>
      <c r="C180" s="1125"/>
      <c r="D180" s="581" t="str">
        <f t="shared" ca="1" si="47"/>
        <v>-</v>
      </c>
      <c r="E180" s="581" t="str">
        <f t="shared" ca="1" si="48"/>
        <v>-</v>
      </c>
      <c r="F180" s="581" t="str">
        <f t="shared" ca="1" si="49"/>
        <v>-</v>
      </c>
      <c r="G180" s="581" t="str">
        <f t="shared" ca="1" si="50"/>
        <v>-</v>
      </c>
      <c r="H180" s="581" t="str">
        <f t="shared" ca="1" si="51"/>
        <v>-</v>
      </c>
      <c r="I180" s="706" t="str">
        <f ca="1">IF(AND(R180&gt;0,$V$165=1),HYPERLINK($AH$91,$AM$91),IF(AND(Z180&gt;0,$AC$165=1),HYPERLINK($AH$90,$AM$90),""))</f>
        <v/>
      </c>
      <c r="N180" s="403"/>
      <c r="O180" s="405">
        <f t="shared" ca="1" si="45"/>
        <v>0</v>
      </c>
      <c r="P180" s="403"/>
      <c r="Q180" s="423">
        <f ca="1">IF(S180&gt;0,(INDIRECT("ТИП6!"&amp;"$Q$101")),0)</f>
        <v>0</v>
      </c>
      <c r="R180" s="424">
        <f ca="1">IFERROR(INDIRECT("ТИП6!"&amp;"$AN$101"),0)</f>
        <v>0</v>
      </c>
      <c r="S180" s="424">
        <f ca="1">IFERROR(INDIRECT("ТИП6!"&amp;"$S$101"),0)</f>
        <v>0</v>
      </c>
      <c r="T180" s="424" t="s">
        <v>6</v>
      </c>
      <c r="U180" s="424" t="s">
        <v>6</v>
      </c>
      <c r="V180" s="424" t="s">
        <v>6</v>
      </c>
      <c r="W180" s="424" t="s">
        <v>6</v>
      </c>
      <c r="X180" s="423">
        <f ca="1">IF(Z180&gt;0,INDIRECT("ТИП6!"&amp;"$R$156"),0)</f>
        <v>0</v>
      </c>
      <c r="Y180" s="424" t="s">
        <v>6</v>
      </c>
      <c r="Z180" s="424">
        <f ca="1">IFERROR(INDIRECT("ТИП6!"&amp;"$T$156"),0)</f>
        <v>0</v>
      </c>
      <c r="AA180" s="411" t="s">
        <v>6</v>
      </c>
      <c r="AB180" s="411" t="s">
        <v>6</v>
      </c>
      <c r="AC180" s="411" t="s">
        <v>6</v>
      </c>
      <c r="AD180" s="411" t="s">
        <v>6</v>
      </c>
      <c r="AE180" s="411" t="s">
        <v>570</v>
      </c>
    </row>
    <row r="181" spans="2:31" s="385" customFormat="1" ht="15.75" hidden="1" customHeight="1">
      <c r="B181" s="1125" t="str">
        <f t="shared" ca="1" si="46"/>
        <v>-</v>
      </c>
      <c r="C181" s="1125"/>
      <c r="D181" s="581" t="str">
        <f t="shared" ca="1" si="47"/>
        <v>-</v>
      </c>
      <c r="E181" s="581" t="str">
        <f t="shared" ca="1" si="48"/>
        <v>-</v>
      </c>
      <c r="F181" s="581" t="str">
        <f t="shared" ca="1" si="49"/>
        <v>-</v>
      </c>
      <c r="G181" s="581" t="str">
        <f t="shared" ca="1" si="50"/>
        <v>-</v>
      </c>
      <c r="H181" s="581" t="str">
        <f t="shared" ca="1" si="51"/>
        <v>-</v>
      </c>
      <c r="I181" s="581" t="s">
        <v>6</v>
      </c>
      <c r="N181" s="403"/>
      <c r="O181" s="405">
        <f t="shared" ca="1" si="45"/>
        <v>0</v>
      </c>
      <c r="P181" s="403"/>
      <c r="Q181" s="417">
        <f ca="1">IF(S181&gt;0,INDIRECT("ТИП6!"&amp;"$P$124"),0)</f>
        <v>0</v>
      </c>
      <c r="R181" s="418" t="s">
        <v>6</v>
      </c>
      <c r="S181" s="418">
        <f ca="1">IFERROR(INDIRECT("ТИП6!"&amp;"$S$125"),0)</f>
        <v>0</v>
      </c>
      <c r="T181" s="418" t="s">
        <v>6</v>
      </c>
      <c r="U181" s="418" t="s">
        <v>6</v>
      </c>
      <c r="V181" s="418" t="s">
        <v>6</v>
      </c>
      <c r="W181" s="418" t="s">
        <v>6</v>
      </c>
      <c r="X181" s="417">
        <f ca="1">IF(Z181&gt;0,INDIRECT("ТИП6!"&amp;"$P$160"),0)</f>
        <v>0</v>
      </c>
      <c r="Y181" s="418" t="s">
        <v>6</v>
      </c>
      <c r="Z181" s="418">
        <f ca="1">IFERROR(INDIRECT("ТИП6!"&amp;"$S$161"),0)</f>
        <v>0</v>
      </c>
      <c r="AA181" s="418" t="s">
        <v>6</v>
      </c>
      <c r="AB181" s="418" t="s">
        <v>6</v>
      </c>
      <c r="AC181" s="418" t="s">
        <v>6</v>
      </c>
      <c r="AD181" s="418" t="s">
        <v>6</v>
      </c>
      <c r="AE181" s="412" t="s">
        <v>571</v>
      </c>
    </row>
    <row r="182" spans="2:31" s="385" customFormat="1" ht="15.75" hidden="1" customHeight="1">
      <c r="B182" s="1518" t="s">
        <v>500</v>
      </c>
      <c r="C182" s="1518"/>
      <c r="D182" s="1518"/>
      <c r="E182" s="1518"/>
      <c r="F182" s="1518"/>
      <c r="G182" s="1518"/>
      <c r="H182" s="1518"/>
      <c r="I182" s="1518"/>
      <c r="N182" s="403"/>
      <c r="O182" s="405">
        <f ca="1">IF(SUM(O183:O198)&gt;0,1,0)</f>
        <v>0</v>
      </c>
      <c r="P182" s="403"/>
      <c r="Q182" s="1488" t="s">
        <v>527</v>
      </c>
      <c r="R182" s="1489"/>
      <c r="S182" s="1489"/>
      <c r="T182" s="1489"/>
      <c r="U182" s="1489"/>
      <c r="V182" s="432" t="str">
        <f ca="1">INDIRECT("ТИП7!"&amp;"$Z$4")</f>
        <v>-</v>
      </c>
      <c r="W182" s="431" t="str">
        <f ca="1">IF(INDIRECT("ТИП7!"&amp;"$Z$4")=1,"●","")</f>
        <v/>
      </c>
      <c r="X182" s="1490" t="s">
        <v>528</v>
      </c>
      <c r="Y182" s="1491"/>
      <c r="Z182" s="1491"/>
      <c r="AA182" s="1491"/>
      <c r="AB182" s="1491"/>
      <c r="AC182" s="433" t="str">
        <f ca="1">INDIRECT("ТИП7!"&amp;"$Z$3")</f>
        <v>-</v>
      </c>
      <c r="AD182" s="434" t="str">
        <f ca="1">IF(INDIRECT("ТИП7!"&amp;"$Z$3")=1,"●","")</f>
        <v/>
      </c>
    </row>
    <row r="183" spans="2:31" s="385" customFormat="1" ht="15.75" hidden="1" customHeight="1">
      <c r="B183" s="1125" t="str">
        <f t="shared" ref="B183:B198" ca="1" si="52">IF(AND($V$182=1,Q183&gt;0),Q183,IF(AND($AC$182=1,X183&gt;0),X183,"-"))</f>
        <v>-</v>
      </c>
      <c r="C183" s="1125"/>
      <c r="D183" s="581" t="str">
        <f t="shared" ref="D183:D198" ca="1" si="53">IF(AND($V$182=1,S183&gt;0),S183,IF(AND($AC$182=1,Z183&gt;0),Z183,"-"))</f>
        <v>-</v>
      </c>
      <c r="E183" s="581" t="str">
        <f t="shared" ref="E183:E198" ca="1" si="54">IF(AND($V$182=1,T183&gt;0),T183,IF(AND($AC$182=1,AA183&gt;0),AA183,"-"))</f>
        <v>-</v>
      </c>
      <c r="F183" s="581" t="str">
        <f t="shared" ref="F183:F198" ca="1" si="55">IF(AND($V$182=1,U183&gt;0),U183,IF(AND($AC$182=1,AB183&gt;0),AB183,"-"))</f>
        <v>-</v>
      </c>
      <c r="G183" s="581" t="str">
        <f t="shared" ref="G183:G198" ca="1" si="56">IF(AND($V$182=1,V183&gt;0),V183,IF(AND($AC$182=1,AC183&gt;0),AC183,"-"))</f>
        <v>-</v>
      </c>
      <c r="H183" s="581" t="str">
        <f t="shared" ref="H183:H198" ca="1" si="57">IF(AND($V$182=1,W183&gt;0),W183,IF(AND($AC$182=1,AD183&gt;0),AD183,"-"))</f>
        <v>-</v>
      </c>
      <c r="I183" s="706" t="str">
        <f ca="1">IF(AND(R183&gt;0,$V$182=1),IF(OR(R183=1,R183=2),HYPERLINK($AH$83,$AM$83),IF(R183&gt;=3,HYPERLINK($AH$82,$AM$82))),IF(AND(Y183&gt;0,$AC$182=1),HYPERLINK($AH$81,$AM$81),""))</f>
        <v/>
      </c>
      <c r="N183" s="403"/>
      <c r="O183" s="405">
        <f t="shared" ca="1" si="45"/>
        <v>0</v>
      </c>
      <c r="P183" s="403"/>
      <c r="Q183" s="413">
        <f ca="1">IF(S183&gt;0,INDIRECT("ТИП7!"&amp;"$P$81"),0)</f>
        <v>0</v>
      </c>
      <c r="R183" s="414">
        <f ca="1">IFERROR(INDIRECT("ТИП7!"&amp;"$AN$81"),0)</f>
        <v>0</v>
      </c>
      <c r="S183" s="414">
        <f ca="1">IFERROR(INDIRECT("ТИП7!"&amp;"$T$81"),0)</f>
        <v>0</v>
      </c>
      <c r="T183" s="414">
        <f ca="1">IFERROR(INDIRECT("ТИП7!"&amp;"$R$81"),0)</f>
        <v>0</v>
      </c>
      <c r="U183" s="414">
        <f ca="1">IFERROR(INDIRECT("ТИП7!"&amp;"$S$81"),0)</f>
        <v>0</v>
      </c>
      <c r="V183" s="414">
        <f ca="1">IFERROR(INDIRECT("ТИП7!"&amp;"$U$81"),0)</f>
        <v>0</v>
      </c>
      <c r="W183" s="414">
        <f ca="1">IFERROR(INDIRECT("ТИП7!"&amp;"$V$81"),0)</f>
        <v>0</v>
      </c>
      <c r="X183" s="415">
        <f ca="1">IF(Z183&gt;0,INDIRECT("ТИП7!"&amp;"$P$133"),0)</f>
        <v>0</v>
      </c>
      <c r="Y183" s="414">
        <f ca="1">IFERROR(INDIRECT("ТИП7!"&amp;"$AN$133"),0)</f>
        <v>0</v>
      </c>
      <c r="Z183" s="416">
        <f ca="1">IFERROR(INDIRECT("ТИП7!"&amp;"$T$133"),0)</f>
        <v>0</v>
      </c>
      <c r="AA183" s="414">
        <f ca="1">IFERROR(INDIRECT("ТИП7!"&amp;"$R$133"),0)</f>
        <v>0</v>
      </c>
      <c r="AB183" s="414">
        <f ca="1">IFERROR(INDIRECT("ТИП7!"&amp;"$S$133"),0)</f>
        <v>0</v>
      </c>
      <c r="AC183" s="414">
        <f ca="1">IFERROR(INDIRECT("ТИП7!"&amp;"$U$133"),0)</f>
        <v>0</v>
      </c>
      <c r="AD183" s="414">
        <f ca="1">IFERROR(INDIRECT("ТИП7!"&amp;"$V$133"),0)</f>
        <v>0</v>
      </c>
      <c r="AE183" s="1517" t="s">
        <v>567</v>
      </c>
    </row>
    <row r="184" spans="2:31" s="385" customFormat="1" ht="15.75" hidden="1" customHeight="1">
      <c r="B184" s="1125" t="str">
        <f t="shared" ca="1" si="52"/>
        <v>-</v>
      </c>
      <c r="C184" s="1125"/>
      <c r="D184" s="581" t="str">
        <f t="shared" ca="1" si="53"/>
        <v>-</v>
      </c>
      <c r="E184" s="581" t="str">
        <f t="shared" ca="1" si="54"/>
        <v>-</v>
      </c>
      <c r="F184" s="581" t="str">
        <f t="shared" ca="1" si="55"/>
        <v>-</v>
      </c>
      <c r="G184" s="581" t="str">
        <f t="shared" ca="1" si="56"/>
        <v>-</v>
      </c>
      <c r="H184" s="581" t="str">
        <f t="shared" ca="1" si="57"/>
        <v>-</v>
      </c>
      <c r="I184" s="706" t="str">
        <f ca="1">IF(AND(R184&gt;0,$V$182=1),IF(OR(R184=1,R184=2),HYPERLINK($AH$83,$AM$83),IF(R184&gt;=3,HYPERLINK($AH$82,$AM$82))),IF(AND(Y184&gt;0,$AC$182=1),HYPERLINK($AH$81,$AM$81),""))</f>
        <v/>
      </c>
      <c r="N184" s="403"/>
      <c r="O184" s="405">
        <f t="shared" ca="1" si="45"/>
        <v>0</v>
      </c>
      <c r="P184" s="403"/>
      <c r="Q184" s="413">
        <f ca="1">IF(S184&gt;0,INDIRECT("ТИП7!"&amp;"$P$82"),0)</f>
        <v>0</v>
      </c>
      <c r="R184" s="414">
        <f ca="1">IFERROR(INDIRECT("ТИП7!"&amp;"$AN$82"),0)</f>
        <v>0</v>
      </c>
      <c r="S184" s="414">
        <f ca="1">IFERROR(INDIRECT("ТИП7!"&amp;"$T$82"),0)</f>
        <v>0</v>
      </c>
      <c r="T184" s="414">
        <f ca="1">IFERROR(INDIRECT("ТИП7!"&amp;"$R$82"),0)</f>
        <v>0</v>
      </c>
      <c r="U184" s="414">
        <f ca="1">IFERROR(INDIRECT("ТИП7!"&amp;"$S$82"),0)</f>
        <v>0</v>
      </c>
      <c r="V184" s="414">
        <f ca="1">IFERROR(INDIRECT("ТИП7!"&amp;"$U$82"),0)</f>
        <v>0</v>
      </c>
      <c r="W184" s="414">
        <f ca="1">IFERROR(INDIRECT("ТИП7!"&amp;"$V$82"),0)</f>
        <v>0</v>
      </c>
      <c r="X184" s="413">
        <f ca="1">IF(Z184&gt;0,INDIRECT("ТИП7!"&amp;"$P$134"),0)</f>
        <v>0</v>
      </c>
      <c r="Y184" s="414">
        <f ca="1">IFERROR(INDIRECT("ТИП7!"&amp;"$AN$134"),0)</f>
        <v>0</v>
      </c>
      <c r="Z184" s="414">
        <f ca="1">IFERROR(INDIRECT("ТИП7!"&amp;"$T$134"),0)</f>
        <v>0</v>
      </c>
      <c r="AA184" s="414">
        <f ca="1">IFERROR(INDIRECT("ТИП7!"&amp;"$R$134"),0)</f>
        <v>0</v>
      </c>
      <c r="AB184" s="414">
        <f ca="1">IFERROR(INDIRECT("ТИП7!"&amp;"$S$134"),0)</f>
        <v>0</v>
      </c>
      <c r="AC184" s="414">
        <f ca="1">IFERROR(INDIRECT("ТИП7!"&amp;"$U$134"),0)</f>
        <v>0</v>
      </c>
      <c r="AD184" s="414">
        <f ca="1">IFERROR(INDIRECT("ТИП7!"&amp;"$V$134"),0)</f>
        <v>0</v>
      </c>
      <c r="AE184" s="1517"/>
    </row>
    <row r="185" spans="2:31" s="385" customFormat="1" ht="15.75" hidden="1" customHeight="1">
      <c r="B185" s="1125" t="str">
        <f t="shared" ca="1" si="52"/>
        <v>-</v>
      </c>
      <c r="C185" s="1125"/>
      <c r="D185" s="581" t="str">
        <f t="shared" ca="1" si="53"/>
        <v>-</v>
      </c>
      <c r="E185" s="581" t="str">
        <f t="shared" ca="1" si="54"/>
        <v>-</v>
      </c>
      <c r="F185" s="581" t="str">
        <f t="shared" ca="1" si="55"/>
        <v>-</v>
      </c>
      <c r="G185" s="581" t="str">
        <f t="shared" ca="1" si="56"/>
        <v>-</v>
      </c>
      <c r="H185" s="581" t="str">
        <f t="shared" ca="1" si="57"/>
        <v>-</v>
      </c>
      <c r="I185" s="706" t="str">
        <f ca="1">IF(AND(R185&gt;0,$V$182=1),IF(OR(R185=1,R185=2),HYPERLINK($AH$83,$AM$83),IF(R185&gt;=3,HYPERLINK($AH$82,$AM$82))),IF(AND(Y185&gt;0,$AC$182=1),HYPERLINK($AH$81,$AM$81),""))</f>
        <v/>
      </c>
      <c r="N185" s="403"/>
      <c r="O185" s="405">
        <f t="shared" ca="1" si="45"/>
        <v>0</v>
      </c>
      <c r="P185" s="403"/>
      <c r="Q185" s="413">
        <f ca="1">IF(S185&gt;0,INDIRECT("ТИП7!"&amp;"$P$83"),0)</f>
        <v>0</v>
      </c>
      <c r="R185" s="414">
        <f ca="1">IFERROR(INDIRECT("ТИП7!"&amp;"$AN$83"),0)</f>
        <v>0</v>
      </c>
      <c r="S185" s="414">
        <f ca="1">IFERROR(INDIRECT("ТИП7!"&amp;"$T$83"),0)</f>
        <v>0</v>
      </c>
      <c r="T185" s="414">
        <f ca="1">IFERROR(INDIRECT("ТИП7!"&amp;"$R$83"),0)</f>
        <v>0</v>
      </c>
      <c r="U185" s="414">
        <f ca="1">IFERROR(INDIRECT("ТИП7!"&amp;"$S$83"),0)</f>
        <v>0</v>
      </c>
      <c r="V185" s="414">
        <f ca="1">IFERROR(INDIRECT("ТИП7!"&amp;"$U$83"),0)</f>
        <v>0</v>
      </c>
      <c r="W185" s="414">
        <f ca="1">IFERROR(INDIRECT("ТИП7!"&amp;"$V$83"),0)</f>
        <v>0</v>
      </c>
      <c r="X185" s="413">
        <f ca="1">IF(Z185&gt;0,INDIRECT("ТИП7!"&amp;"$P$135"),0)</f>
        <v>0</v>
      </c>
      <c r="Y185" s="414">
        <f ca="1">IFERROR(INDIRECT("ТИП7!"&amp;"$AN$135"),0)</f>
        <v>0</v>
      </c>
      <c r="Z185" s="414">
        <f ca="1">IFERROR(INDIRECT("ТИП7!"&amp;"$T$135"),0)</f>
        <v>0</v>
      </c>
      <c r="AA185" s="414">
        <f ca="1">IFERROR(INDIRECT("ТИП7!"&amp;"$R$135"),0)</f>
        <v>0</v>
      </c>
      <c r="AB185" s="414">
        <f ca="1">IFERROR(INDIRECT("ТИП7!"&amp;"$S$135"),0)</f>
        <v>0</v>
      </c>
      <c r="AC185" s="414">
        <f ca="1">IFERROR(INDIRECT("ТИП7!"&amp;"$U$135"),0)</f>
        <v>0</v>
      </c>
      <c r="AD185" s="414">
        <f ca="1">IFERROR(INDIRECT("ТИП7!"&amp;"$V$135"),0)</f>
        <v>0</v>
      </c>
      <c r="AE185" s="1517"/>
    </row>
    <row r="186" spans="2:31" s="385" customFormat="1" ht="15.75" hidden="1" customHeight="1">
      <c r="B186" s="1125" t="str">
        <f t="shared" ca="1" si="52"/>
        <v>-</v>
      </c>
      <c r="C186" s="1125"/>
      <c r="D186" s="581" t="str">
        <f t="shared" ca="1" si="53"/>
        <v>-</v>
      </c>
      <c r="E186" s="581" t="str">
        <f t="shared" ca="1" si="54"/>
        <v>-</v>
      </c>
      <c r="F186" s="581" t="str">
        <f t="shared" ca="1" si="55"/>
        <v>-</v>
      </c>
      <c r="G186" s="581" t="str">
        <f t="shared" ca="1" si="56"/>
        <v>-</v>
      </c>
      <c r="H186" s="581" t="str">
        <f t="shared" ca="1" si="57"/>
        <v>-</v>
      </c>
      <c r="I186" s="706" t="str">
        <f ca="1">IF(AND(R186&gt;0,$V$182=1),IF(OR(R186=1,R186=2),HYPERLINK($AH$83,$AM$83),IF(R186&gt;=3,HYPERLINK($AH$82,$AM$82))),IF(AND(Y186&gt;0,$AC$182=1),HYPERLINK($AH$81,$AM$81),""))</f>
        <v/>
      </c>
      <c r="N186" s="403"/>
      <c r="O186" s="405">
        <f t="shared" ca="1" si="45"/>
        <v>0</v>
      </c>
      <c r="P186" s="403"/>
      <c r="Q186" s="413">
        <f ca="1">IF(S186&gt;0,INDIRECT("ТИП7!"&amp;"$P$84"),0)</f>
        <v>0</v>
      </c>
      <c r="R186" s="414">
        <f ca="1">IFERROR(INDIRECT("ТИП7!"&amp;"$AN$84"),0)</f>
        <v>0</v>
      </c>
      <c r="S186" s="414">
        <f ca="1">IFERROR(INDIRECT("ТИП7!"&amp;"$T$84"),0)</f>
        <v>0</v>
      </c>
      <c r="T186" s="414">
        <f ca="1">IFERROR(INDIRECT("ТИП7!"&amp;"$R$84"),0)</f>
        <v>0</v>
      </c>
      <c r="U186" s="414">
        <f ca="1">IFERROR(INDIRECT("ТИП7!"&amp;"$S$84"),0)</f>
        <v>0</v>
      </c>
      <c r="V186" s="414">
        <f ca="1">IFERROR(INDIRECT("ТИП7!"&amp;"$U$84"),0)</f>
        <v>0</v>
      </c>
      <c r="W186" s="414">
        <f ca="1">IFERROR(INDIRECT("ТИП7!"&amp;"$V$84"),0)</f>
        <v>0</v>
      </c>
      <c r="X186" s="413">
        <f ca="1">IF(Z186&gt;0,INDIRECT("ТИП7!"&amp;"$P$136"),0)</f>
        <v>0</v>
      </c>
      <c r="Y186" s="414">
        <f ca="1">IFERROR(INDIRECT("ТИП7!"&amp;"$AN$136"),0)</f>
        <v>0</v>
      </c>
      <c r="Z186" s="414">
        <f ca="1">IFERROR(INDIRECT("ТИП7!"&amp;"$T$136"),0)</f>
        <v>0</v>
      </c>
      <c r="AA186" s="414">
        <f ca="1">IFERROR(INDIRECT("ТИП7!"&amp;"$R$136"),0)</f>
        <v>0</v>
      </c>
      <c r="AB186" s="414">
        <f ca="1">IFERROR(INDIRECT("ТИП7!"&amp;"$S$136"),0)</f>
        <v>0</v>
      </c>
      <c r="AC186" s="414">
        <f ca="1">IFERROR(INDIRECT("ТИП7!"&amp;"$U$136"),0)</f>
        <v>0</v>
      </c>
      <c r="AD186" s="414">
        <f ca="1">IFERROR(INDIRECT("ТИП7!"&amp;"$V$136"),0)</f>
        <v>0</v>
      </c>
      <c r="AE186" s="1517"/>
    </row>
    <row r="187" spans="2:31" s="385" customFormat="1" ht="15.75" hidden="1" customHeight="1">
      <c r="B187" s="1125" t="str">
        <f t="shared" ca="1" si="52"/>
        <v>-</v>
      </c>
      <c r="C187" s="1125"/>
      <c r="D187" s="581" t="str">
        <f t="shared" ca="1" si="53"/>
        <v>-</v>
      </c>
      <c r="E187" s="581" t="str">
        <f t="shared" ca="1" si="54"/>
        <v>-</v>
      </c>
      <c r="F187" s="581" t="str">
        <f t="shared" ca="1" si="55"/>
        <v>-</v>
      </c>
      <c r="G187" s="581" t="str">
        <f t="shared" ca="1" si="56"/>
        <v>-</v>
      </c>
      <c r="H187" s="581" t="str">
        <f t="shared" ca="1" si="57"/>
        <v>-</v>
      </c>
      <c r="I187" s="706" t="str">
        <f ca="1">IF(AND(R187&gt;0,$V$182=1),IF(OR(R187=1,R187=2),HYPERLINK($AH$83,$AM$83),IF(R187&gt;=3,HYPERLINK($AH$82,$AM$82))),IF(AND(Y187&gt;0,$AC$182=1),HYPERLINK($AH$81,$AM$81),""))</f>
        <v/>
      </c>
      <c r="N187" s="403"/>
      <c r="O187" s="405">
        <f t="shared" ca="1" si="45"/>
        <v>0</v>
      </c>
      <c r="P187" s="403"/>
      <c r="Q187" s="413">
        <f ca="1">IF(S187&gt;0,INDIRECT("ТИП7!"&amp;"$P$85"),0)</f>
        <v>0</v>
      </c>
      <c r="R187" s="414">
        <f ca="1">IFERROR(INDIRECT("ТИП7!"&amp;"$AN$85"),0)</f>
        <v>0</v>
      </c>
      <c r="S187" s="414">
        <f ca="1">IFERROR(INDIRECT("ТИП7!"&amp;"$T$85"),0)</f>
        <v>0</v>
      </c>
      <c r="T187" s="414">
        <f ca="1">IFERROR(INDIRECT("ТИП7!"&amp;"$R$85"),0)</f>
        <v>0</v>
      </c>
      <c r="U187" s="414">
        <f ca="1">IFERROR(INDIRECT("ТИП7!"&amp;"$S$85"),0)</f>
        <v>0</v>
      </c>
      <c r="V187" s="414">
        <f ca="1">IFERROR(INDIRECT("ТИП7!"&amp;"$U$85"),0)</f>
        <v>0</v>
      </c>
      <c r="W187" s="414">
        <f ca="1">IFERROR(INDIRECT("ТИП7!"&amp;"$V$85"),0)</f>
        <v>0</v>
      </c>
      <c r="X187" s="413">
        <f ca="1">IF(Z187&gt;0,INDIRECT("ТИП7!"&amp;"$P$137"),0)</f>
        <v>0</v>
      </c>
      <c r="Y187" s="414">
        <f ca="1">IFERROR(INDIRECT("ТИП7!"&amp;"$AN$137"),0)</f>
        <v>0</v>
      </c>
      <c r="Z187" s="414">
        <f ca="1">IFERROR(INDIRECT("ТИП7!"&amp;"$T$137"),0)</f>
        <v>0</v>
      </c>
      <c r="AA187" s="414">
        <f ca="1">IFERROR(INDIRECT("ТИП7!"&amp;"$R$137"),0)</f>
        <v>0</v>
      </c>
      <c r="AB187" s="414">
        <f ca="1">IFERROR(INDIRECT("ТИП7!"&amp;"$S$137"),0)</f>
        <v>0</v>
      </c>
      <c r="AC187" s="414">
        <f ca="1">IFERROR(INDIRECT("ТИП7!"&amp;"$U$137"),0)</f>
        <v>0</v>
      </c>
      <c r="AD187" s="414">
        <f ca="1">IFERROR(INDIRECT("ТИП7!"&amp;"$V$137"),0)</f>
        <v>0</v>
      </c>
      <c r="AE187" s="1517"/>
    </row>
    <row r="188" spans="2:31" s="385" customFormat="1" ht="15.75" hidden="1" customHeight="1">
      <c r="B188" s="1125" t="str">
        <f t="shared" ca="1" si="52"/>
        <v>-</v>
      </c>
      <c r="C188" s="1125"/>
      <c r="D188" s="581" t="str">
        <f t="shared" ca="1" si="53"/>
        <v>-</v>
      </c>
      <c r="E188" s="581" t="str">
        <f t="shared" ca="1" si="54"/>
        <v>-</v>
      </c>
      <c r="F188" s="581" t="str">
        <f t="shared" ca="1" si="55"/>
        <v>-</v>
      </c>
      <c r="G188" s="581" t="str">
        <f t="shared" ca="1" si="56"/>
        <v>-</v>
      </c>
      <c r="H188" s="581" t="str">
        <f t="shared" ca="1" si="57"/>
        <v>-</v>
      </c>
      <c r="I188" s="706" t="str">
        <f ca="1">IF(AND(R188&gt;0,$V$182=1),IF(OR(R188=1,R188=2),HYPERLINK($AH$85,$AM$85),IF(R188&gt;=3,HYPERLINK($AH$86,$AM$86))),IF(AND(Y188&gt;0,$AC$182=1),HYPERLINK($AH$84,$AM$84),""))</f>
        <v/>
      </c>
      <c r="N188" s="403"/>
      <c r="O188" s="405">
        <f t="shared" ca="1" si="45"/>
        <v>0</v>
      </c>
      <c r="P188" s="403"/>
      <c r="Q188" s="421">
        <f ca="1">IF(S188&gt;0,INDIRECT("ТИП7!"&amp;"$P$88"),0)</f>
        <v>0</v>
      </c>
      <c r="R188" s="422">
        <f ca="1">IFERROR(INDIRECT("ТИП7!"&amp;"$AN$88"),0)</f>
        <v>0</v>
      </c>
      <c r="S188" s="422">
        <f ca="1">IFERROR(INDIRECT("ТИП7!"&amp;"$T$88"),0)</f>
        <v>0</v>
      </c>
      <c r="T188" s="422">
        <f ca="1">IFERROR(INDIRECT("ТИП7!"&amp;"$R$88"),0)</f>
        <v>0</v>
      </c>
      <c r="U188" s="422">
        <f ca="1">IFERROR(INDIRECT("ТИП7!"&amp;"$S$88"),0)</f>
        <v>0</v>
      </c>
      <c r="V188" s="422">
        <f ca="1">IFERROR(INDIRECT("ТИП7!"&amp;"$U$88"),0)</f>
        <v>0</v>
      </c>
      <c r="W188" s="422">
        <f ca="1">IFERROR(INDIRECT("ТИП7!"&amp;"$V$88"),0)</f>
        <v>0</v>
      </c>
      <c r="X188" s="421">
        <f ca="1">IF(Z188&gt;0,INDIRECT("ТИП7!"&amp;"$P$141"),0)</f>
        <v>0</v>
      </c>
      <c r="Y188" s="422">
        <f ca="1">IFERROR(INDIRECT("ТИП7!"&amp;"$AN$141"),0)</f>
        <v>0</v>
      </c>
      <c r="Z188" s="422">
        <f ca="1">IFERROR(INDIRECT("ТИП7!"&amp;"$T$141"),0)</f>
        <v>0</v>
      </c>
      <c r="AA188" s="422">
        <f ca="1">IFERROR(INDIRECT("ТИП7!"&amp;"$R$141"),0)</f>
        <v>0</v>
      </c>
      <c r="AB188" s="422">
        <f ca="1">IFERROR(INDIRECT("ТИП7!"&amp;"$S$141"),0)</f>
        <v>0</v>
      </c>
      <c r="AC188" s="422">
        <f ca="1">IFERROR(INDIRECT("ТИП7!"&amp;"$U$141"),0)</f>
        <v>0</v>
      </c>
      <c r="AD188" s="422">
        <f ca="1">IFERROR(INDIRECT("ТИП7!"&amp;"$V$141"),0)</f>
        <v>0</v>
      </c>
      <c r="AE188" s="1515" t="s">
        <v>568</v>
      </c>
    </row>
    <row r="189" spans="2:31" s="385" customFormat="1" ht="15.75" hidden="1" customHeight="1">
      <c r="B189" s="1125" t="str">
        <f t="shared" ca="1" si="52"/>
        <v>-</v>
      </c>
      <c r="C189" s="1125"/>
      <c r="D189" s="581" t="str">
        <f t="shared" ca="1" si="53"/>
        <v>-</v>
      </c>
      <c r="E189" s="581" t="str">
        <f t="shared" ca="1" si="54"/>
        <v>-</v>
      </c>
      <c r="F189" s="581" t="str">
        <f t="shared" ca="1" si="55"/>
        <v>-</v>
      </c>
      <c r="G189" s="581" t="str">
        <f t="shared" ca="1" si="56"/>
        <v>-</v>
      </c>
      <c r="H189" s="581" t="str">
        <f t="shared" ca="1" si="57"/>
        <v>-</v>
      </c>
      <c r="I189" s="706" t="str">
        <f ca="1">IF(AND(R189&gt;0,$V$182=1),IF(OR(R189=1,R189=2),HYPERLINK($AH$85,$AM$85),IF(R189&gt;=3,HYPERLINK($AH$86,$AM$86))),IF(AND(Y189&gt;0,$AC$182=1),HYPERLINK($AH$84,$AM$84),""))</f>
        <v/>
      </c>
      <c r="N189" s="403"/>
      <c r="O189" s="405">
        <f t="shared" ca="1" si="45"/>
        <v>0</v>
      </c>
      <c r="P189" s="403"/>
      <c r="Q189" s="421">
        <f ca="1">IF(S189&gt;0,INDIRECT("ТИП7!"&amp;"$P$89"),0)</f>
        <v>0</v>
      </c>
      <c r="R189" s="422">
        <f ca="1">IFERROR(INDIRECT("ТИП7!"&amp;"$AN$89"),0)</f>
        <v>0</v>
      </c>
      <c r="S189" s="422">
        <f ca="1">IFERROR(INDIRECT("ТИП7!"&amp;"$T$89"),0)</f>
        <v>0</v>
      </c>
      <c r="T189" s="422">
        <f ca="1">IFERROR(INDIRECT("ТИП7!"&amp;"$R$89"),0)</f>
        <v>0</v>
      </c>
      <c r="U189" s="422">
        <f ca="1">IFERROR(INDIRECT("ТИП7!"&amp;"$S$89"),0)</f>
        <v>0</v>
      </c>
      <c r="V189" s="422">
        <f ca="1">IFERROR(INDIRECT("ТИП7!"&amp;"$U$89"),0)</f>
        <v>0</v>
      </c>
      <c r="W189" s="422">
        <f ca="1">IFERROR(INDIRECT("ТИП7!"&amp;"$V$89"),0)</f>
        <v>0</v>
      </c>
      <c r="X189" s="421">
        <f ca="1">IF(Z189&gt;0,INDIRECT("ТИП7!"&amp;"$P$142"),0)</f>
        <v>0</v>
      </c>
      <c r="Y189" s="422">
        <f ca="1">IFERROR(INDIRECT("ТИП7!"&amp;"$AN$142"),0)</f>
        <v>0</v>
      </c>
      <c r="Z189" s="422">
        <f ca="1">IFERROR(INDIRECT("ТИП7!"&amp;"$T$142"),0)</f>
        <v>0</v>
      </c>
      <c r="AA189" s="422">
        <f ca="1">IFERROR(INDIRECT("ТИП7!"&amp;"$R$142"),0)</f>
        <v>0</v>
      </c>
      <c r="AB189" s="422">
        <f ca="1">IFERROR(INDIRECT("ТИП7!"&amp;"$S$142"),0)</f>
        <v>0</v>
      </c>
      <c r="AC189" s="422">
        <f ca="1">IFERROR(INDIRECT("ТИП7!"&amp;"$U$142"),0)</f>
        <v>0</v>
      </c>
      <c r="AD189" s="422">
        <f ca="1">IFERROR(INDIRECT("ТИП7!"&amp;"$V$142"),0)</f>
        <v>0</v>
      </c>
      <c r="AE189" s="1515"/>
    </row>
    <row r="190" spans="2:31" s="385" customFormat="1" ht="15.75" hidden="1" customHeight="1">
      <c r="B190" s="1125" t="str">
        <f t="shared" ca="1" si="52"/>
        <v>-</v>
      </c>
      <c r="C190" s="1125"/>
      <c r="D190" s="581" t="str">
        <f t="shared" ca="1" si="53"/>
        <v>-</v>
      </c>
      <c r="E190" s="581" t="str">
        <f t="shared" ca="1" si="54"/>
        <v>-</v>
      </c>
      <c r="F190" s="581" t="str">
        <f t="shared" ca="1" si="55"/>
        <v>-</v>
      </c>
      <c r="G190" s="581" t="str">
        <f t="shared" ca="1" si="56"/>
        <v>-</v>
      </c>
      <c r="H190" s="581" t="str">
        <f t="shared" ca="1" si="57"/>
        <v>-</v>
      </c>
      <c r="I190" s="706" t="str">
        <f ca="1">IF(AND(R190&gt;0,$V$182=1),IF(OR(R190=1,R190=2),HYPERLINK($AH$85,$AM$85),IF(R190&gt;=3,HYPERLINK($AH$86,$AM$86))),IF(AND(Y190&gt;0,$AC$182=1),HYPERLINK($AH$84,$AM$84),""))</f>
        <v/>
      </c>
      <c r="N190" s="403"/>
      <c r="O190" s="405">
        <f t="shared" ca="1" si="45"/>
        <v>0</v>
      </c>
      <c r="P190" s="403"/>
      <c r="Q190" s="421">
        <f ca="1">IF(S190&gt;0,INDIRECT("ТИП7!"&amp;"$P$90"),0)</f>
        <v>0</v>
      </c>
      <c r="R190" s="422">
        <f ca="1">IFERROR(INDIRECT("ТИП7!"&amp;"$AN$90"),0)</f>
        <v>0</v>
      </c>
      <c r="S190" s="422">
        <f ca="1">IFERROR(INDIRECT("ТИП7!"&amp;"$T$90"),0)</f>
        <v>0</v>
      </c>
      <c r="T190" s="422">
        <f ca="1">IFERROR(INDIRECT("ТИП7!"&amp;"$R$90"),0)</f>
        <v>0</v>
      </c>
      <c r="U190" s="422">
        <f ca="1">IFERROR(INDIRECT("ТИП7!"&amp;"$S$90"),0)</f>
        <v>0</v>
      </c>
      <c r="V190" s="422">
        <f ca="1">IFERROR(INDIRECT("ТИП7!"&amp;"$U$90"),0)</f>
        <v>0</v>
      </c>
      <c r="W190" s="422">
        <f ca="1">IFERROR(INDIRECT("ТИП7!"&amp;"$V$90"),0)</f>
        <v>0</v>
      </c>
      <c r="X190" s="421">
        <f ca="1">IF(Z190&gt;0,INDIRECT("ТИП7!"&amp;"$P$143"),0)</f>
        <v>0</v>
      </c>
      <c r="Y190" s="422">
        <f ca="1">IFERROR(INDIRECT("ТИП7!"&amp;"$AN$143"),0)</f>
        <v>0</v>
      </c>
      <c r="Z190" s="422">
        <f ca="1">IFERROR(INDIRECT("ТИП7!"&amp;"$T$143"),0)</f>
        <v>0</v>
      </c>
      <c r="AA190" s="422">
        <f ca="1">IFERROR(INDIRECT("ТИП7!"&amp;"$R$143"),0)</f>
        <v>0</v>
      </c>
      <c r="AB190" s="422">
        <f ca="1">IFERROR(INDIRECT("ТИП7!"&amp;"$S$143"),0)</f>
        <v>0</v>
      </c>
      <c r="AC190" s="422">
        <f ca="1">IFERROR(INDIRECT("ТИП7!"&amp;"$U$143"),0)</f>
        <v>0</v>
      </c>
      <c r="AD190" s="422">
        <f ca="1">IFERROR(INDIRECT("ТИП7!"&amp;"$V$143"),0)</f>
        <v>0</v>
      </c>
      <c r="AE190" s="1515"/>
    </row>
    <row r="191" spans="2:31" s="385" customFormat="1" ht="15.75" hidden="1" customHeight="1">
      <c r="B191" s="1125" t="str">
        <f t="shared" ca="1" si="52"/>
        <v>-</v>
      </c>
      <c r="C191" s="1125"/>
      <c r="D191" s="581" t="str">
        <f t="shared" ca="1" si="53"/>
        <v>-</v>
      </c>
      <c r="E191" s="581" t="str">
        <f t="shared" ca="1" si="54"/>
        <v>-</v>
      </c>
      <c r="F191" s="581" t="str">
        <f t="shared" ca="1" si="55"/>
        <v>-</v>
      </c>
      <c r="G191" s="581" t="str">
        <f t="shared" ca="1" si="56"/>
        <v>-</v>
      </c>
      <c r="H191" s="581" t="str">
        <f t="shared" ca="1" si="57"/>
        <v>-</v>
      </c>
      <c r="I191" s="706" t="str">
        <f ca="1">IF(AND(R191&gt;0,$V$182=1),IF(OR(R191=1,R191=2),HYPERLINK($AH$85,$AM$85),IF(R191&gt;=3,HYPERLINK($AH$86,$AM$86))),IF(AND(Y191&gt;0,$AC$182=1),HYPERLINK($AH$84,$AM$84),""))</f>
        <v/>
      </c>
      <c r="N191" s="403"/>
      <c r="O191" s="405">
        <f t="shared" ca="1" si="45"/>
        <v>0</v>
      </c>
      <c r="P191" s="403"/>
      <c r="Q191" s="421">
        <f ca="1">IF(S191&gt;0,INDIRECT("ТИП7!"&amp;"$P$91"),0)</f>
        <v>0</v>
      </c>
      <c r="R191" s="422">
        <f ca="1">IFERROR(INDIRECT("ТИП7!"&amp;"$AN$91"),0)</f>
        <v>0</v>
      </c>
      <c r="S191" s="422">
        <f ca="1">IFERROR(INDIRECT("ТИП7!"&amp;"$T$91"),0)</f>
        <v>0</v>
      </c>
      <c r="T191" s="422">
        <f ca="1">IFERROR(INDIRECT("ТИП7!"&amp;"$R$91"),0)</f>
        <v>0</v>
      </c>
      <c r="U191" s="422">
        <f ca="1">IFERROR(INDIRECT("ТИП7!"&amp;"$S$91"),0)</f>
        <v>0</v>
      </c>
      <c r="V191" s="422">
        <f ca="1">IFERROR(INDIRECT("ТИП7!"&amp;"$U$91"),0)</f>
        <v>0</v>
      </c>
      <c r="W191" s="422">
        <f ca="1">IFERROR(INDIRECT("ТИП7!"&amp;"$V$91"),0)</f>
        <v>0</v>
      </c>
      <c r="X191" s="421">
        <f ca="1">IF(Z191&gt;0,INDIRECT("ТИП7!"&amp;"$P$144"),0)</f>
        <v>0</v>
      </c>
      <c r="Y191" s="422">
        <f ca="1">IFERROR(INDIRECT("ТИП7!"&amp;"$AN$144"),0)</f>
        <v>0</v>
      </c>
      <c r="Z191" s="422">
        <f ca="1">IFERROR(INDIRECT("ТИП7!"&amp;"$T$144"),0)</f>
        <v>0</v>
      </c>
      <c r="AA191" s="422">
        <f ca="1">IFERROR(INDIRECT("ТИП7!"&amp;"$R$144"),0)</f>
        <v>0</v>
      </c>
      <c r="AB191" s="422">
        <f ca="1">IFERROR(INDIRECT("ТИП7!"&amp;"$S$144"),0)</f>
        <v>0</v>
      </c>
      <c r="AC191" s="422">
        <f ca="1">IFERROR(INDIRECT("ТИП7!"&amp;"$U$144"),0)</f>
        <v>0</v>
      </c>
      <c r="AD191" s="422">
        <f ca="1">IFERROR(INDIRECT("ТИП7!"&amp;"$V$144"),0)</f>
        <v>0</v>
      </c>
      <c r="AE191" s="1515"/>
    </row>
    <row r="192" spans="2:31" s="385" customFormat="1" ht="15.75" hidden="1" customHeight="1">
      <c r="B192" s="1125" t="str">
        <f t="shared" ca="1" si="52"/>
        <v>-</v>
      </c>
      <c r="C192" s="1125"/>
      <c r="D192" s="581" t="str">
        <f t="shared" ca="1" si="53"/>
        <v>-</v>
      </c>
      <c r="E192" s="581" t="str">
        <f t="shared" ca="1" si="54"/>
        <v>-</v>
      </c>
      <c r="F192" s="581" t="str">
        <f t="shared" ca="1" si="55"/>
        <v>-</v>
      </c>
      <c r="G192" s="581" t="str">
        <f t="shared" ca="1" si="56"/>
        <v>-</v>
      </c>
      <c r="H192" s="581" t="str">
        <f t="shared" ca="1" si="57"/>
        <v>-</v>
      </c>
      <c r="I192" s="706" t="str">
        <f ca="1">IF(AND(R192&gt;0,$V$182=1),IF(OR(R192=1,R192=2),HYPERLINK($AH$85,$AM$85),IF(R192&gt;=3,HYPERLINK($AH$86,$AM$86))),IF(AND(Y192&gt;0,$AC$182=1),HYPERLINK($AH$84,$AM$84),""))</f>
        <v/>
      </c>
      <c r="N192" s="403"/>
      <c r="O192" s="405">
        <f t="shared" ca="1" si="45"/>
        <v>0</v>
      </c>
      <c r="P192" s="403"/>
      <c r="Q192" s="421">
        <f ca="1">IF(S192&gt;0,INDIRECT("ТИП7!"&amp;"$P$92"),0)</f>
        <v>0</v>
      </c>
      <c r="R192" s="422">
        <f ca="1">IFERROR(INDIRECT("ТИП7!"&amp;"$AN$92"),0)</f>
        <v>0</v>
      </c>
      <c r="S192" s="422">
        <f ca="1">IFERROR(INDIRECT("ТИП7!"&amp;"$T$92"),0)</f>
        <v>0</v>
      </c>
      <c r="T192" s="422">
        <f ca="1">IFERROR(INDIRECT("ТИП7!"&amp;"$R$92"),0)</f>
        <v>0</v>
      </c>
      <c r="U192" s="422">
        <f ca="1">IFERROR(INDIRECT("ТИП7!"&amp;"$S$92"),0)</f>
        <v>0</v>
      </c>
      <c r="V192" s="422">
        <f ca="1">IFERROR(INDIRECT("ТИП7!"&amp;"$U$92"),0)</f>
        <v>0</v>
      </c>
      <c r="W192" s="422">
        <f ca="1">IFERROR(INDIRECT("ТИП7!"&amp;"$V$92"),0)</f>
        <v>0</v>
      </c>
      <c r="X192" s="421">
        <f ca="1">IF(Z192&gt;0,INDIRECT("ТИП7!"&amp;"$P$145"),0)</f>
        <v>0</v>
      </c>
      <c r="Y192" s="422">
        <f ca="1">IFERROR(INDIRECT("ТИП7!"&amp;"$AN$145"),0)</f>
        <v>0</v>
      </c>
      <c r="Z192" s="422">
        <f ca="1">IFERROR(INDIRECT("ТИП7!"&amp;"$T$145"),0)</f>
        <v>0</v>
      </c>
      <c r="AA192" s="422">
        <f ca="1">IFERROR(INDIRECT("ТИП7!"&amp;"$R$145"),0)</f>
        <v>0</v>
      </c>
      <c r="AB192" s="422">
        <f ca="1">IFERROR(INDIRECT("ТИП7!"&amp;"$S$145"),0)</f>
        <v>0</v>
      </c>
      <c r="AC192" s="422">
        <f ca="1">IFERROR(INDIRECT("ТИП7!"&amp;"$U$145"),0)</f>
        <v>0</v>
      </c>
      <c r="AD192" s="422">
        <f ca="1">IFERROR(INDIRECT("ТИП7!"&amp;"$V$145"),0)</f>
        <v>0</v>
      </c>
      <c r="AE192" s="1515"/>
    </row>
    <row r="193" spans="2:31" s="385" customFormat="1" ht="15.75" hidden="1" customHeight="1">
      <c r="B193" s="1125" t="str">
        <f t="shared" ca="1" si="52"/>
        <v>-</v>
      </c>
      <c r="C193" s="1125"/>
      <c r="D193" s="581" t="str">
        <f t="shared" ca="1" si="53"/>
        <v>-</v>
      </c>
      <c r="E193" s="581" t="str">
        <f t="shared" ca="1" si="54"/>
        <v>-</v>
      </c>
      <c r="F193" s="581" t="str">
        <f t="shared" ca="1" si="55"/>
        <v>-</v>
      </c>
      <c r="G193" s="581" t="str">
        <f t="shared" ca="1" si="56"/>
        <v>-</v>
      </c>
      <c r="H193" s="581" t="str">
        <f t="shared" ca="1" si="57"/>
        <v>-</v>
      </c>
      <c r="I193" s="706" t="str">
        <f ca="1">IF(AND(R193&gt;0,$V$182=1),IF(OR(R193=1,R193=2),HYPERLINK($AH$88,$AM$88),IF(R193&gt;=3,HYPERLINK($AH$89,$AM$89))),IF(AND(Y193&gt;0,$AC$182=1),HYPERLINK($AH$87,$AM$87),""))</f>
        <v/>
      </c>
      <c r="N193" s="403"/>
      <c r="O193" s="405">
        <f t="shared" ca="1" si="45"/>
        <v>0</v>
      </c>
      <c r="P193" s="403"/>
      <c r="Q193" s="419">
        <f ca="1">IF(S193&gt;0,INDIRECT("ТИП7!"&amp;"$Q$95"),0)</f>
        <v>0</v>
      </c>
      <c r="R193" s="420">
        <f ca="1">IFERROR(INDIRECT("ТИП7!"&amp;"$AN$95"),0)</f>
        <v>0</v>
      </c>
      <c r="S193" s="420">
        <f ca="1">IFERROR(INDIRECT("ТИП7!"&amp;"$T$95"),0)</f>
        <v>0</v>
      </c>
      <c r="T193" s="420" t="s">
        <v>6</v>
      </c>
      <c r="U193" s="420">
        <f ca="1">IFERROR(INDIRECT("ТИП7!"&amp;"$S$95"),0)</f>
        <v>0</v>
      </c>
      <c r="V193" s="420">
        <f ca="1">IFERROR(INDIRECT("ТИП7!"&amp;"$U$95"),0)</f>
        <v>0</v>
      </c>
      <c r="W193" s="420">
        <f ca="1">IFERROR(INDIRECT("ТИП7!"&amp;"$V$95"),0)</f>
        <v>0</v>
      </c>
      <c r="X193" s="419">
        <f ca="1">IF(Z193&gt;0,INDIRECT("ТИП7!"&amp;"$Q$149"),0)</f>
        <v>0</v>
      </c>
      <c r="Y193" s="420">
        <f ca="1">IFERROR(INDIRECT("ТИП7!"&amp;"$AN$149"),0)</f>
        <v>0</v>
      </c>
      <c r="Z193" s="420">
        <f ca="1">IFERROR(INDIRECT("ТИП7!"&amp;"$T$149"),0)</f>
        <v>0</v>
      </c>
      <c r="AA193" s="425" t="s">
        <v>6</v>
      </c>
      <c r="AB193" s="420">
        <f ca="1">IFERROR(INDIRECT("ТИП7!"&amp;"$S$149"),0)</f>
        <v>0</v>
      </c>
      <c r="AC193" s="420">
        <f ca="1">IFERROR(INDIRECT("ТИП7!"&amp;"$U$149"),0)</f>
        <v>0</v>
      </c>
      <c r="AD193" s="420">
        <f ca="1">IFERROR(INDIRECT("ТИП7!"&amp;"$V$149"),0)</f>
        <v>0</v>
      </c>
      <c r="AE193" s="1516" t="s">
        <v>569</v>
      </c>
    </row>
    <row r="194" spans="2:31" s="385" customFormat="1" ht="15.75" hidden="1" customHeight="1">
      <c r="B194" s="1125" t="str">
        <f t="shared" ca="1" si="52"/>
        <v>-</v>
      </c>
      <c r="C194" s="1125"/>
      <c r="D194" s="581" t="str">
        <f t="shared" ca="1" si="53"/>
        <v>-</v>
      </c>
      <c r="E194" s="581" t="str">
        <f t="shared" ca="1" si="54"/>
        <v>-</v>
      </c>
      <c r="F194" s="581" t="str">
        <f t="shared" ca="1" si="55"/>
        <v>-</v>
      </c>
      <c r="G194" s="581" t="str">
        <f t="shared" ca="1" si="56"/>
        <v>-</v>
      </c>
      <c r="H194" s="581" t="str">
        <f t="shared" ca="1" si="57"/>
        <v>-</v>
      </c>
      <c r="I194" s="706" t="str">
        <f ca="1">IF(AND(R194&gt;0,$V$182=1),IF(OR(R194=1,R194=2),HYPERLINK($AH$88,$AM$88),IF(R194&gt;=3,HYPERLINK($AH$89,$AM$89))),IF(AND(Y194&gt;0,$AC$182=1),HYPERLINK($AH$87,$AM$87),""))</f>
        <v/>
      </c>
      <c r="N194" s="403"/>
      <c r="O194" s="405">
        <f t="shared" ca="1" si="45"/>
        <v>0</v>
      </c>
      <c r="P194" s="403"/>
      <c r="Q194" s="419">
        <f ca="1">IF(S194&gt;0,INDIRECT("ТИП7!"&amp;"$Q$96"),0)</f>
        <v>0</v>
      </c>
      <c r="R194" s="420">
        <f ca="1">IFERROR(INDIRECT("ТИП7!"&amp;"$AN$96"),0)</f>
        <v>0</v>
      </c>
      <c r="S194" s="420">
        <f ca="1">IFERROR(INDIRECT("ТИП7!"&amp;"$T$96"),0)</f>
        <v>0</v>
      </c>
      <c r="T194" s="420" t="s">
        <v>6</v>
      </c>
      <c r="U194" s="420">
        <f ca="1">IFERROR(INDIRECT("ТИП7!"&amp;"$S$96"),0)</f>
        <v>0</v>
      </c>
      <c r="V194" s="420">
        <f ca="1">IFERROR(INDIRECT("ТИП7!"&amp;"$U$96"),0)</f>
        <v>0</v>
      </c>
      <c r="W194" s="420">
        <f ca="1">IFERROR(INDIRECT("ТИП7!"&amp;"$V$96"),0)</f>
        <v>0</v>
      </c>
      <c r="X194" s="419">
        <f ca="1">IF(Z194&gt;0,INDIRECT("ТИП7!"&amp;"$Q$150"),0)</f>
        <v>0</v>
      </c>
      <c r="Y194" s="420">
        <f ca="1">IFERROR(INDIRECT("ТИП7!"&amp;"$AN$150"),0)</f>
        <v>0</v>
      </c>
      <c r="Z194" s="420">
        <f ca="1">IFERROR(INDIRECT("ТИП7!"&amp;"$T$150"),0)</f>
        <v>0</v>
      </c>
      <c r="AA194" s="425" t="s">
        <v>6</v>
      </c>
      <c r="AB194" s="420">
        <f ca="1">IFERROR(INDIRECT("ТИП7!"&amp;"$S$150"),0)</f>
        <v>0</v>
      </c>
      <c r="AC194" s="420">
        <f ca="1">IFERROR(INDIRECT("ТИП7!"&amp;"$U$150"),0)</f>
        <v>0</v>
      </c>
      <c r="AD194" s="420">
        <f ca="1">IFERROR(INDIRECT("ТИП7!"&amp;"$V$150"),0)</f>
        <v>0</v>
      </c>
      <c r="AE194" s="1516"/>
    </row>
    <row r="195" spans="2:31" s="385" customFormat="1" ht="15.75" hidden="1" customHeight="1">
      <c r="B195" s="1125" t="str">
        <f t="shared" ca="1" si="52"/>
        <v>-</v>
      </c>
      <c r="C195" s="1125"/>
      <c r="D195" s="581" t="str">
        <f t="shared" ca="1" si="53"/>
        <v>-</v>
      </c>
      <c r="E195" s="581" t="str">
        <f t="shared" ca="1" si="54"/>
        <v>-</v>
      </c>
      <c r="F195" s="581" t="str">
        <f t="shared" ca="1" si="55"/>
        <v>-</v>
      </c>
      <c r="G195" s="581" t="str">
        <f t="shared" ca="1" si="56"/>
        <v>-</v>
      </c>
      <c r="H195" s="581" t="str">
        <f t="shared" ca="1" si="57"/>
        <v>-</v>
      </c>
      <c r="I195" s="706" t="str">
        <f ca="1">IF(AND(R195&gt;0,$V$182=1),IF(OR(R195=1,R195=2),HYPERLINK($AH$88,$AM$88),IF(R195&gt;=3,HYPERLINK($AH$89,$AM$89))),IF(AND(Y195&gt;0,$AC$182=1),HYPERLINK($AH$87,$AM$87),""))</f>
        <v/>
      </c>
      <c r="N195" s="403"/>
      <c r="O195" s="405">
        <f t="shared" ca="1" si="45"/>
        <v>0</v>
      </c>
      <c r="P195" s="403"/>
      <c r="Q195" s="419">
        <f ca="1">IF(S195&gt;0,INDIRECT("ТИП7!"&amp;"$Q$97"),0)</f>
        <v>0</v>
      </c>
      <c r="R195" s="420">
        <f ca="1">IFERROR(INDIRECT("ТИП7!"&amp;"$AN$97"),0)</f>
        <v>0</v>
      </c>
      <c r="S195" s="420">
        <f ca="1">IFERROR(INDIRECT("ТИП7!"&amp;"$T$97"),0)</f>
        <v>0</v>
      </c>
      <c r="T195" s="420" t="s">
        <v>6</v>
      </c>
      <c r="U195" s="420">
        <f ca="1">IFERROR(INDIRECT("ТИП7!"&amp;"$S$97"),0)</f>
        <v>0</v>
      </c>
      <c r="V195" s="420">
        <f ca="1">IFERROR(INDIRECT("ТИП7!"&amp;"$U$97"),0)</f>
        <v>0</v>
      </c>
      <c r="W195" s="420">
        <f ca="1">IFERROR(INDIRECT("ТИП7!"&amp;"$V$97"),0)</f>
        <v>0</v>
      </c>
      <c r="X195" s="419">
        <f ca="1">IF(Z195&gt;0,INDIRECT("ТИП7!"&amp;"$Q$151"),0)</f>
        <v>0</v>
      </c>
      <c r="Y195" s="420">
        <f ca="1">IFERROR(INDIRECT("ТИП7!"&amp;"$AN$151"),0)</f>
        <v>0</v>
      </c>
      <c r="Z195" s="420">
        <f ca="1">IFERROR(INDIRECT("ТИП7!"&amp;"$T$151"),0)</f>
        <v>0</v>
      </c>
      <c r="AA195" s="425" t="s">
        <v>6</v>
      </c>
      <c r="AB195" s="420">
        <f ca="1">IFERROR(INDIRECT("ТИП7!"&amp;"$S$151"),0)</f>
        <v>0</v>
      </c>
      <c r="AC195" s="420">
        <f ca="1">IFERROR(INDIRECT("ТИП7!"&amp;"$U$151"),0)</f>
        <v>0</v>
      </c>
      <c r="AD195" s="420">
        <f ca="1">IFERROR(INDIRECT("ТИП7!"&amp;"$V$151"),0)</f>
        <v>0</v>
      </c>
      <c r="AE195" s="1516"/>
    </row>
    <row r="196" spans="2:31" s="385" customFormat="1" ht="15.75" hidden="1" customHeight="1">
      <c r="B196" s="1125" t="str">
        <f t="shared" ca="1" si="52"/>
        <v>-</v>
      </c>
      <c r="C196" s="1125"/>
      <c r="D196" s="581" t="str">
        <f t="shared" ca="1" si="53"/>
        <v>-</v>
      </c>
      <c r="E196" s="581" t="str">
        <f t="shared" ca="1" si="54"/>
        <v>-</v>
      </c>
      <c r="F196" s="581" t="str">
        <f t="shared" ca="1" si="55"/>
        <v>-</v>
      </c>
      <c r="G196" s="581" t="str">
        <f t="shared" ca="1" si="56"/>
        <v>-</v>
      </c>
      <c r="H196" s="581" t="str">
        <f t="shared" ca="1" si="57"/>
        <v>-</v>
      </c>
      <c r="I196" s="706" t="str">
        <f ca="1">IF(AND(R196&gt;0,$V$182=1),IF(OR(R196=1,R196=2),HYPERLINK($AH$88,$AM$88),IF(R196&gt;=3,HYPERLINK($AH$89,$AM$89))),IF(AND(Y196&gt;0,$AC$182=1),HYPERLINK($AH$87,$AM$87),""))</f>
        <v/>
      </c>
      <c r="N196" s="403"/>
      <c r="O196" s="405">
        <f t="shared" ca="1" si="45"/>
        <v>0</v>
      </c>
      <c r="P196" s="403"/>
      <c r="Q196" s="419">
        <f ca="1">IF(S196&gt;0,INDIRECT("ТИП7!"&amp;"$Q$98"),0)</f>
        <v>0</v>
      </c>
      <c r="R196" s="420">
        <f ca="1">IFERROR(INDIRECT("ТИП7!"&amp;"$AN$98"),0)</f>
        <v>0</v>
      </c>
      <c r="S196" s="420">
        <f ca="1">IFERROR(INDIRECT("ТИП7!"&amp;"$T$98"),0)</f>
        <v>0</v>
      </c>
      <c r="T196" s="420" t="s">
        <v>6</v>
      </c>
      <c r="U196" s="420">
        <f ca="1">IFERROR(INDIRECT("ТИП7!"&amp;"$S$98"),0)</f>
        <v>0</v>
      </c>
      <c r="V196" s="420">
        <f ca="1">IFERROR(INDIRECT("ТИП7!"&amp;"$U$98"),0)</f>
        <v>0</v>
      </c>
      <c r="W196" s="420">
        <f ca="1">IFERROR(INDIRECT("ТИП7!"&amp;"$V$98"),0)</f>
        <v>0</v>
      </c>
      <c r="X196" s="419">
        <f ca="1">IF(Z196&gt;0,INDIRECT("ТИП7!"&amp;"$Q$152"),0)</f>
        <v>0</v>
      </c>
      <c r="Y196" s="420">
        <f ca="1">IFERROR(INDIRECT("ТИП7!"&amp;"$AN$152"),0)</f>
        <v>0</v>
      </c>
      <c r="Z196" s="420">
        <f ca="1">IFERROR(INDIRECT("ТИП7!"&amp;"$T$152"),0)</f>
        <v>0</v>
      </c>
      <c r="AA196" s="425" t="s">
        <v>6</v>
      </c>
      <c r="AB196" s="420">
        <f ca="1">IFERROR(INDIRECT("ТИП7!"&amp;"$S$152"),0)</f>
        <v>0</v>
      </c>
      <c r="AC196" s="420">
        <f ca="1">IFERROR(INDIRECT("ТИП7!"&amp;"$U$152"),0)</f>
        <v>0</v>
      </c>
      <c r="AD196" s="420">
        <f ca="1">IFERROR(INDIRECT("ТИП7!"&amp;"$V$152"),0)</f>
        <v>0</v>
      </c>
      <c r="AE196" s="1516"/>
    </row>
    <row r="197" spans="2:31" s="385" customFormat="1" ht="15.75" hidden="1" customHeight="1">
      <c r="B197" s="1125" t="str">
        <f t="shared" ca="1" si="52"/>
        <v>-</v>
      </c>
      <c r="C197" s="1125"/>
      <c r="D197" s="581" t="str">
        <f t="shared" ca="1" si="53"/>
        <v>-</v>
      </c>
      <c r="E197" s="581" t="str">
        <f t="shared" ca="1" si="54"/>
        <v>-</v>
      </c>
      <c r="F197" s="581" t="str">
        <f t="shared" ca="1" si="55"/>
        <v>-</v>
      </c>
      <c r="G197" s="581" t="str">
        <f t="shared" ca="1" si="56"/>
        <v>-</v>
      </c>
      <c r="H197" s="581" t="str">
        <f t="shared" ca="1" si="57"/>
        <v>-</v>
      </c>
      <c r="I197" s="706" t="str">
        <f ca="1">IF(AND(R197&gt;0,$V$182=1),HYPERLINK($AH$91,$AM$91),IF(AND(Z197&gt;0,$AC$182=1),HYPERLINK($AH$90,$AM$90),""))</f>
        <v/>
      </c>
      <c r="N197" s="403"/>
      <c r="O197" s="405">
        <f t="shared" ca="1" si="45"/>
        <v>0</v>
      </c>
      <c r="P197" s="403"/>
      <c r="Q197" s="423">
        <f ca="1">IF(S197&gt;0,(INDIRECT("ТИП7!"&amp;"$Q$101")),0)</f>
        <v>0</v>
      </c>
      <c r="R197" s="424">
        <f ca="1">IFERROR(INDIRECT("ТИП7!"&amp;"$AN$101"),0)</f>
        <v>0</v>
      </c>
      <c r="S197" s="424">
        <f ca="1">IFERROR(INDIRECT("ТИП7!"&amp;"$S$101"),0)</f>
        <v>0</v>
      </c>
      <c r="T197" s="424" t="s">
        <v>6</v>
      </c>
      <c r="U197" s="424" t="s">
        <v>6</v>
      </c>
      <c r="V197" s="424" t="s">
        <v>6</v>
      </c>
      <c r="W197" s="424" t="s">
        <v>6</v>
      </c>
      <c r="X197" s="423">
        <f ca="1">IF(Z197&gt;0,INDIRECT("ТИП7!"&amp;"$R$156"),0)</f>
        <v>0</v>
      </c>
      <c r="Y197" s="424" t="s">
        <v>6</v>
      </c>
      <c r="Z197" s="424">
        <f ca="1">IFERROR(INDIRECT("ТИП7!"&amp;"$T$156"),0)</f>
        <v>0</v>
      </c>
      <c r="AA197" s="411" t="s">
        <v>6</v>
      </c>
      <c r="AB197" s="411" t="s">
        <v>6</v>
      </c>
      <c r="AC197" s="411" t="s">
        <v>6</v>
      </c>
      <c r="AD197" s="411" t="s">
        <v>6</v>
      </c>
      <c r="AE197" s="411" t="s">
        <v>570</v>
      </c>
    </row>
    <row r="198" spans="2:31" s="385" customFormat="1" ht="15.75" hidden="1" customHeight="1">
      <c r="B198" s="1125" t="str">
        <f t="shared" ca="1" si="52"/>
        <v>-</v>
      </c>
      <c r="C198" s="1125"/>
      <c r="D198" s="581" t="str">
        <f t="shared" ca="1" si="53"/>
        <v>-</v>
      </c>
      <c r="E198" s="581" t="str">
        <f t="shared" ca="1" si="54"/>
        <v>-</v>
      </c>
      <c r="F198" s="581" t="str">
        <f t="shared" ca="1" si="55"/>
        <v>-</v>
      </c>
      <c r="G198" s="581" t="str">
        <f t="shared" ca="1" si="56"/>
        <v>-</v>
      </c>
      <c r="H198" s="581" t="str">
        <f t="shared" ca="1" si="57"/>
        <v>-</v>
      </c>
      <c r="I198" s="581" t="s">
        <v>6</v>
      </c>
      <c r="N198" s="403"/>
      <c r="O198" s="405">
        <f t="shared" ca="1" si="45"/>
        <v>0</v>
      </c>
      <c r="P198" s="403"/>
      <c r="Q198" s="417">
        <f ca="1">IF(S198&gt;0,INDIRECT("ТИП7!"&amp;"$P$124"),0)</f>
        <v>0</v>
      </c>
      <c r="R198" s="418" t="s">
        <v>6</v>
      </c>
      <c r="S198" s="418">
        <f ca="1">IFERROR(INDIRECT("ТИП7!"&amp;"$S$125"),0)</f>
        <v>0</v>
      </c>
      <c r="T198" s="418" t="s">
        <v>6</v>
      </c>
      <c r="U198" s="418" t="s">
        <v>6</v>
      </c>
      <c r="V198" s="418" t="s">
        <v>6</v>
      </c>
      <c r="W198" s="418" t="s">
        <v>6</v>
      </c>
      <c r="X198" s="417">
        <f ca="1">IF(Z198&gt;0,INDIRECT("ТИП7!"&amp;"$P$160"),0)</f>
        <v>0</v>
      </c>
      <c r="Y198" s="418" t="s">
        <v>6</v>
      </c>
      <c r="Z198" s="418">
        <f ca="1">IFERROR(INDIRECT("ТИП7!"&amp;"$S$161"),0)</f>
        <v>0</v>
      </c>
      <c r="AA198" s="418" t="s">
        <v>6</v>
      </c>
      <c r="AB198" s="418" t="s">
        <v>6</v>
      </c>
      <c r="AC198" s="418" t="s">
        <v>6</v>
      </c>
      <c r="AD198" s="418" t="s">
        <v>6</v>
      </c>
      <c r="AE198" s="412" t="s">
        <v>571</v>
      </c>
    </row>
    <row r="199" spans="2:31" s="385" customFormat="1" ht="15.75" hidden="1" customHeight="1">
      <c r="B199" s="1518" t="s">
        <v>501</v>
      </c>
      <c r="C199" s="1518"/>
      <c r="D199" s="1518"/>
      <c r="E199" s="1518"/>
      <c r="F199" s="1518"/>
      <c r="G199" s="1518"/>
      <c r="H199" s="1518"/>
      <c r="I199" s="1518"/>
      <c r="N199" s="403"/>
      <c r="O199" s="405">
        <f ca="1">IF(SUM(O200:O215)&gt;0,1,0)</f>
        <v>0</v>
      </c>
      <c r="P199" s="403"/>
      <c r="Q199" s="1488" t="s">
        <v>527</v>
      </c>
      <c r="R199" s="1489"/>
      <c r="S199" s="1489"/>
      <c r="T199" s="1489"/>
      <c r="U199" s="1489"/>
      <c r="V199" s="432" t="str">
        <f ca="1">INDIRECT("ТИП8!"&amp;"$Z$4")</f>
        <v>-</v>
      </c>
      <c r="W199" s="431" t="str">
        <f ca="1">IF(INDIRECT("ТИП8!"&amp;"$Z$4")=1,"●","")</f>
        <v/>
      </c>
      <c r="X199" s="1490" t="s">
        <v>528</v>
      </c>
      <c r="Y199" s="1491"/>
      <c r="Z199" s="1491"/>
      <c r="AA199" s="1491"/>
      <c r="AB199" s="1491"/>
      <c r="AC199" s="433" t="str">
        <f ca="1">INDIRECT("ТИП8!"&amp;"$Z$3")</f>
        <v>-</v>
      </c>
      <c r="AD199" s="434" t="str">
        <f ca="1">IF(INDIRECT("ТИП8!"&amp;"$Z$3")=1,"●","")</f>
        <v/>
      </c>
    </row>
    <row r="200" spans="2:31" s="385" customFormat="1" ht="15.75" hidden="1" customHeight="1">
      <c r="B200" s="1125" t="str">
        <f t="shared" ref="B200:B215" ca="1" si="58">IF(AND($V$199=1,Q200&gt;0),Q200,IF(AND($AC$199=1,X200&gt;0),X200,"-"))</f>
        <v>-</v>
      </c>
      <c r="C200" s="1125"/>
      <c r="D200" s="581" t="str">
        <f t="shared" ref="D200:D215" ca="1" si="59">IF(AND($V$199=1,S200&gt;0),S200,IF(AND($AC$199=1,Z200&gt;0),Z200,"-"))</f>
        <v>-</v>
      </c>
      <c r="E200" s="581" t="str">
        <f t="shared" ref="E200:E215" ca="1" si="60">IF(AND($V$199=1,T200&gt;0),T200,IF(AND($AC$199=1,AA200&gt;0),AA200,"-"))</f>
        <v>-</v>
      </c>
      <c r="F200" s="581" t="str">
        <f t="shared" ref="F200:F215" ca="1" si="61">IF(AND($V$199=1,U200&gt;0),U200,IF(AND($AC$199=1,AB200&gt;0),AB200,"-"))</f>
        <v>-</v>
      </c>
      <c r="G200" s="581" t="str">
        <f t="shared" ref="G200:G215" ca="1" si="62">IF(AND($V$199=1,V200&gt;0),V200,IF(AND($AC$199=1,AC200&gt;0),AC200,"-"))</f>
        <v>-</v>
      </c>
      <c r="H200" s="581" t="str">
        <f t="shared" ref="H200:H215" ca="1" si="63">IF(AND($V$199=1,W200&gt;0),W200,IF(AND($AC$199=1,AD200&gt;0),AD200,"-"))</f>
        <v>-</v>
      </c>
      <c r="I200" s="706" t="str">
        <f ca="1">IF(AND(R200&gt;0,$V$199=1),IF(OR(R200=1,R200=2),HYPERLINK($AH$83,$AM$83),IF(R200&gt;=3,HYPERLINK($AH$82,$AM$82))),IF(AND(Y200&gt;0,$AC$199=1),HYPERLINK($AH$81,$AM$81),""))</f>
        <v/>
      </c>
      <c r="N200" s="403"/>
      <c r="O200" s="405">
        <f t="shared" ca="1" si="45"/>
        <v>0</v>
      </c>
      <c r="P200" s="403"/>
      <c r="Q200" s="413">
        <f ca="1">IF(S200&gt;0,INDIRECT("ТИП8!"&amp;"$P$81"),0)</f>
        <v>0</v>
      </c>
      <c r="R200" s="414">
        <f ca="1">IFERROR(INDIRECT("ТИП8!"&amp;"$AN$81"),0)</f>
        <v>0</v>
      </c>
      <c r="S200" s="414">
        <f ca="1">IFERROR(INDIRECT("ТИП8!"&amp;"$T$81"),0)</f>
        <v>0</v>
      </c>
      <c r="T200" s="414">
        <f ca="1">IFERROR(INDIRECT("ТИП8!"&amp;"$R$81"),0)</f>
        <v>0</v>
      </c>
      <c r="U200" s="414">
        <f ca="1">IFERROR(INDIRECT("ТИП8!"&amp;"$S$81"),0)</f>
        <v>0</v>
      </c>
      <c r="V200" s="414">
        <f ca="1">IFERROR(INDIRECT("ТИП8!"&amp;"$U$81"),0)</f>
        <v>0</v>
      </c>
      <c r="W200" s="414">
        <f ca="1">IFERROR(INDIRECT("ТИП8!"&amp;"$V$81"),0)</f>
        <v>0</v>
      </c>
      <c r="X200" s="415">
        <f ca="1">IF(Z200&gt;0,INDIRECT("ТИП8!"&amp;"$P$133"),0)</f>
        <v>0</v>
      </c>
      <c r="Y200" s="414">
        <f ca="1">IFERROR(INDIRECT("ТИП8!"&amp;"$AN$133"),0)</f>
        <v>0</v>
      </c>
      <c r="Z200" s="416">
        <f ca="1">IFERROR(INDIRECT("ТИП8!"&amp;"$T$133"),0)</f>
        <v>0</v>
      </c>
      <c r="AA200" s="414">
        <f ca="1">IFERROR(INDIRECT("ТИП8!"&amp;"$R$133"),0)</f>
        <v>0</v>
      </c>
      <c r="AB200" s="414">
        <f ca="1">IFERROR(INDIRECT("ТИП8!"&amp;"$S$133"),0)</f>
        <v>0</v>
      </c>
      <c r="AC200" s="414">
        <f ca="1">IFERROR(INDIRECT("ТИП8!"&amp;"$U$133"),0)</f>
        <v>0</v>
      </c>
      <c r="AD200" s="414">
        <f ca="1">IFERROR(INDIRECT("ТИП8!"&amp;"$V$133"),0)</f>
        <v>0</v>
      </c>
      <c r="AE200" s="1517" t="s">
        <v>567</v>
      </c>
    </row>
    <row r="201" spans="2:31" s="385" customFormat="1" ht="15.75" hidden="1" customHeight="1">
      <c r="B201" s="1125" t="str">
        <f t="shared" ca="1" si="58"/>
        <v>-</v>
      </c>
      <c r="C201" s="1125"/>
      <c r="D201" s="581" t="str">
        <f t="shared" ca="1" si="59"/>
        <v>-</v>
      </c>
      <c r="E201" s="581" t="str">
        <f t="shared" ca="1" si="60"/>
        <v>-</v>
      </c>
      <c r="F201" s="581" t="str">
        <f t="shared" ca="1" si="61"/>
        <v>-</v>
      </c>
      <c r="G201" s="581" t="str">
        <f t="shared" ca="1" si="62"/>
        <v>-</v>
      </c>
      <c r="H201" s="581" t="str">
        <f t="shared" ca="1" si="63"/>
        <v>-</v>
      </c>
      <c r="I201" s="706" t="str">
        <f ca="1">IF(AND(R201&gt;0,$V$199=1),IF(OR(R201=1,R201=2),HYPERLINK($AH$83,$AM$83),IF(R201&gt;=3,HYPERLINK($AH$82,$AM$82))),IF(AND(Y201&gt;0,$AC$199=1),HYPERLINK($AH$81,$AM$81),""))</f>
        <v/>
      </c>
      <c r="N201" s="403"/>
      <c r="O201" s="405">
        <f t="shared" ca="1" si="45"/>
        <v>0</v>
      </c>
      <c r="P201" s="403"/>
      <c r="Q201" s="413">
        <f ca="1">IF(S201&gt;0,INDIRECT("ТИП8!"&amp;"$P$82"),0)</f>
        <v>0</v>
      </c>
      <c r="R201" s="414">
        <f ca="1">IFERROR(INDIRECT("ТИП8!"&amp;"$AN$82"),0)</f>
        <v>0</v>
      </c>
      <c r="S201" s="414">
        <f ca="1">IFERROR(INDIRECT("ТИП8!"&amp;"$T$82"),0)</f>
        <v>0</v>
      </c>
      <c r="T201" s="414">
        <f ca="1">IFERROR(INDIRECT("ТИП8!"&amp;"$R$82"),0)</f>
        <v>0</v>
      </c>
      <c r="U201" s="414">
        <f ca="1">IFERROR(INDIRECT("ТИП8!"&amp;"$S$82"),0)</f>
        <v>0</v>
      </c>
      <c r="V201" s="414">
        <f ca="1">IFERROR(INDIRECT("ТИП8!"&amp;"$U$82"),0)</f>
        <v>0</v>
      </c>
      <c r="W201" s="414">
        <f ca="1">IFERROR(INDIRECT("ТИП8!"&amp;"$V$82"),0)</f>
        <v>0</v>
      </c>
      <c r="X201" s="413">
        <f ca="1">IF(Z201&gt;0,INDIRECT("ТИП8!"&amp;"$P$134"),0)</f>
        <v>0</v>
      </c>
      <c r="Y201" s="414">
        <f ca="1">IFERROR(INDIRECT("ТИП8!"&amp;"$AN$134"),0)</f>
        <v>0</v>
      </c>
      <c r="Z201" s="414">
        <f ca="1">IFERROR(INDIRECT("ТИП8!"&amp;"$T$134"),0)</f>
        <v>0</v>
      </c>
      <c r="AA201" s="414">
        <f ca="1">IFERROR(INDIRECT("ТИП8!"&amp;"$R$134"),0)</f>
        <v>0</v>
      </c>
      <c r="AB201" s="414">
        <f ca="1">IFERROR(INDIRECT("ТИП8!"&amp;"$S$134"),0)</f>
        <v>0</v>
      </c>
      <c r="AC201" s="414">
        <f ca="1">IFERROR(INDIRECT("ТИП8!"&amp;"$U$134"),0)</f>
        <v>0</v>
      </c>
      <c r="AD201" s="414">
        <f ca="1">IFERROR(INDIRECT("ТИП8!"&amp;"$V$134"),0)</f>
        <v>0</v>
      </c>
      <c r="AE201" s="1517"/>
    </row>
    <row r="202" spans="2:31" s="385" customFormat="1" ht="15.75" hidden="1" customHeight="1">
      <c r="B202" s="1125" t="str">
        <f t="shared" ca="1" si="58"/>
        <v>-</v>
      </c>
      <c r="C202" s="1125"/>
      <c r="D202" s="581" t="str">
        <f t="shared" ca="1" si="59"/>
        <v>-</v>
      </c>
      <c r="E202" s="581" t="str">
        <f t="shared" ca="1" si="60"/>
        <v>-</v>
      </c>
      <c r="F202" s="581" t="str">
        <f t="shared" ca="1" si="61"/>
        <v>-</v>
      </c>
      <c r="G202" s="581" t="str">
        <f t="shared" ca="1" si="62"/>
        <v>-</v>
      </c>
      <c r="H202" s="581" t="str">
        <f t="shared" ca="1" si="63"/>
        <v>-</v>
      </c>
      <c r="I202" s="706" t="str">
        <f ca="1">IF(AND(R202&gt;0,$V$199=1),IF(OR(R202=1,R202=2),HYPERLINK($AH$83,$AM$83),IF(R202&gt;=3,HYPERLINK($AH$82,$AM$82))),IF(AND(Y202&gt;0,$AC$199=1),HYPERLINK($AH$81,$AM$81),""))</f>
        <v/>
      </c>
      <c r="N202" s="403"/>
      <c r="O202" s="405">
        <f t="shared" ca="1" si="45"/>
        <v>0</v>
      </c>
      <c r="P202" s="403"/>
      <c r="Q202" s="413">
        <f ca="1">IF(S202&gt;0,INDIRECT("ТИП8!"&amp;"$P$83"),0)</f>
        <v>0</v>
      </c>
      <c r="R202" s="414">
        <f ca="1">IFERROR(INDIRECT("ТИП8!"&amp;"$AN$83"),0)</f>
        <v>0</v>
      </c>
      <c r="S202" s="414">
        <f ca="1">IFERROR(INDIRECT("ТИП8!"&amp;"$T$83"),0)</f>
        <v>0</v>
      </c>
      <c r="T202" s="414">
        <f ca="1">IFERROR(INDIRECT("ТИП8!"&amp;"$R$83"),0)</f>
        <v>0</v>
      </c>
      <c r="U202" s="414">
        <f ca="1">IFERROR(INDIRECT("ТИП8!"&amp;"$S$83"),0)</f>
        <v>0</v>
      </c>
      <c r="V202" s="414">
        <f ca="1">IFERROR(INDIRECT("ТИП8!"&amp;"$U$83"),0)</f>
        <v>0</v>
      </c>
      <c r="W202" s="414">
        <f ca="1">IFERROR(INDIRECT("ТИП8!"&amp;"$V$83"),0)</f>
        <v>0</v>
      </c>
      <c r="X202" s="413">
        <f ca="1">IF(Z202&gt;0,INDIRECT("ТИП8!"&amp;"$P$135"),0)</f>
        <v>0</v>
      </c>
      <c r="Y202" s="414">
        <f ca="1">IFERROR(INDIRECT("ТИП8!"&amp;"$AN$135"),0)</f>
        <v>0</v>
      </c>
      <c r="Z202" s="414">
        <f ca="1">IFERROR(INDIRECT("ТИП8!"&amp;"$T$135"),0)</f>
        <v>0</v>
      </c>
      <c r="AA202" s="414">
        <f ca="1">IFERROR(INDIRECT("ТИП8!"&amp;"$R$135"),0)</f>
        <v>0</v>
      </c>
      <c r="AB202" s="414">
        <f ca="1">IFERROR(INDIRECT("ТИП8!"&amp;"$S$135"),0)</f>
        <v>0</v>
      </c>
      <c r="AC202" s="414">
        <f ca="1">IFERROR(INDIRECT("ТИП8!"&amp;"$U$135"),0)</f>
        <v>0</v>
      </c>
      <c r="AD202" s="414">
        <f ca="1">IFERROR(INDIRECT("ТИП8!"&amp;"$V$135"),0)</f>
        <v>0</v>
      </c>
      <c r="AE202" s="1517"/>
    </row>
    <row r="203" spans="2:31" s="385" customFormat="1" ht="15.75" hidden="1" customHeight="1">
      <c r="B203" s="1125" t="str">
        <f t="shared" ca="1" si="58"/>
        <v>-</v>
      </c>
      <c r="C203" s="1125"/>
      <c r="D203" s="581" t="str">
        <f t="shared" ca="1" si="59"/>
        <v>-</v>
      </c>
      <c r="E203" s="581" t="str">
        <f t="shared" ca="1" si="60"/>
        <v>-</v>
      </c>
      <c r="F203" s="581" t="str">
        <f t="shared" ca="1" si="61"/>
        <v>-</v>
      </c>
      <c r="G203" s="581" t="str">
        <f t="shared" ca="1" si="62"/>
        <v>-</v>
      </c>
      <c r="H203" s="581" t="str">
        <f t="shared" ca="1" si="63"/>
        <v>-</v>
      </c>
      <c r="I203" s="706" t="str">
        <f ca="1">IF(AND(R203&gt;0,$V$199=1),IF(OR(R203=1,R203=2),HYPERLINK($AH$83,$AM$83),IF(R203&gt;=3,HYPERLINK($AH$82,$AM$82))),IF(AND(Y203&gt;0,$AC$199=1),HYPERLINK($AH$81,$AM$81),""))</f>
        <v/>
      </c>
      <c r="N203" s="403"/>
      <c r="O203" s="405">
        <f t="shared" ca="1" si="45"/>
        <v>0</v>
      </c>
      <c r="P203" s="403"/>
      <c r="Q203" s="413">
        <f ca="1">IF(S203&gt;0,INDIRECT("ТИП8!"&amp;"$P$84"),0)</f>
        <v>0</v>
      </c>
      <c r="R203" s="414">
        <f ca="1">IFERROR(INDIRECT("ТИП8!"&amp;"$AN$84"),0)</f>
        <v>0</v>
      </c>
      <c r="S203" s="414">
        <f ca="1">IFERROR(INDIRECT("ТИП8!"&amp;"$T$84"),0)</f>
        <v>0</v>
      </c>
      <c r="T203" s="414">
        <f ca="1">IFERROR(INDIRECT("ТИП8!"&amp;"$R$84"),0)</f>
        <v>0</v>
      </c>
      <c r="U203" s="414">
        <f ca="1">IFERROR(INDIRECT("ТИП8!"&amp;"$S$84"),0)</f>
        <v>0</v>
      </c>
      <c r="V203" s="414">
        <f ca="1">IFERROR(INDIRECT("ТИП8!"&amp;"$U$84"),0)</f>
        <v>0</v>
      </c>
      <c r="W203" s="414">
        <f ca="1">IFERROR(INDIRECT("ТИП8!"&amp;"$V$84"),0)</f>
        <v>0</v>
      </c>
      <c r="X203" s="413">
        <f ca="1">IF(Z203&gt;0,INDIRECT("ТИП8!"&amp;"$P$136"),0)</f>
        <v>0</v>
      </c>
      <c r="Y203" s="414">
        <f ca="1">IFERROR(INDIRECT("ТИП8!"&amp;"$AN$136"),0)</f>
        <v>0</v>
      </c>
      <c r="Z203" s="414">
        <f ca="1">IFERROR(INDIRECT("ТИП8!"&amp;"$T$136"),0)</f>
        <v>0</v>
      </c>
      <c r="AA203" s="414">
        <f ca="1">IFERROR(INDIRECT("ТИП8!"&amp;"$R$136"),0)</f>
        <v>0</v>
      </c>
      <c r="AB203" s="414">
        <f ca="1">IFERROR(INDIRECT("ТИП8!"&amp;"$S$136"),0)</f>
        <v>0</v>
      </c>
      <c r="AC203" s="414">
        <f ca="1">IFERROR(INDIRECT("ТИП8!"&amp;"$U$136"),0)</f>
        <v>0</v>
      </c>
      <c r="AD203" s="414">
        <f ca="1">IFERROR(INDIRECT("ТИП8!"&amp;"$V$136"),0)</f>
        <v>0</v>
      </c>
      <c r="AE203" s="1517"/>
    </row>
    <row r="204" spans="2:31" s="385" customFormat="1" ht="15.75" hidden="1" customHeight="1">
      <c r="B204" s="1125" t="str">
        <f t="shared" ca="1" si="58"/>
        <v>-</v>
      </c>
      <c r="C204" s="1125"/>
      <c r="D204" s="581" t="str">
        <f t="shared" ca="1" si="59"/>
        <v>-</v>
      </c>
      <c r="E204" s="581" t="str">
        <f t="shared" ca="1" si="60"/>
        <v>-</v>
      </c>
      <c r="F204" s="581" t="str">
        <f t="shared" ca="1" si="61"/>
        <v>-</v>
      </c>
      <c r="G204" s="581" t="str">
        <f t="shared" ca="1" si="62"/>
        <v>-</v>
      </c>
      <c r="H204" s="581" t="str">
        <f t="shared" ca="1" si="63"/>
        <v>-</v>
      </c>
      <c r="I204" s="706" t="str">
        <f ca="1">IF(AND(R204&gt;0,$V$199=1),IF(OR(R204=1,R204=2),HYPERLINK($AH$83,$AM$83),IF(R204&gt;=3,HYPERLINK($AH$82,$AM$82))),IF(AND(Y204&gt;0,$AC$199=1),HYPERLINK($AH$81,$AM$81),""))</f>
        <v/>
      </c>
      <c r="N204" s="403"/>
      <c r="O204" s="405">
        <f t="shared" ca="1" si="45"/>
        <v>0</v>
      </c>
      <c r="P204" s="403"/>
      <c r="Q204" s="413">
        <f ca="1">IF(S204&gt;0,INDIRECT("ТИП8!"&amp;"$P$85"),0)</f>
        <v>0</v>
      </c>
      <c r="R204" s="414">
        <f ca="1">IFERROR(INDIRECT("ТИП8!"&amp;"$AN$85"),0)</f>
        <v>0</v>
      </c>
      <c r="S204" s="414">
        <f ca="1">IFERROR(INDIRECT("ТИП8!"&amp;"$T$85"),0)</f>
        <v>0</v>
      </c>
      <c r="T204" s="414">
        <f ca="1">IFERROR(INDIRECT("ТИП8!"&amp;"$R$85"),0)</f>
        <v>0</v>
      </c>
      <c r="U204" s="414">
        <f ca="1">IFERROR(INDIRECT("ТИП8!"&amp;"$S$85"),0)</f>
        <v>0</v>
      </c>
      <c r="V204" s="414">
        <f ca="1">IFERROR(INDIRECT("ТИП8!"&amp;"$U$85"),0)</f>
        <v>0</v>
      </c>
      <c r="W204" s="414">
        <f ca="1">IFERROR(INDIRECT("ТИП8!"&amp;"$V$85"),0)</f>
        <v>0</v>
      </c>
      <c r="X204" s="413">
        <f ca="1">IF(Z204&gt;0,INDIRECT("ТИП8!"&amp;"$P$137"),0)</f>
        <v>0</v>
      </c>
      <c r="Y204" s="414">
        <f ca="1">IFERROR(INDIRECT("ТИП8!"&amp;"$AN$137"),0)</f>
        <v>0</v>
      </c>
      <c r="Z204" s="414">
        <f ca="1">IFERROR(INDIRECT("ТИП8!"&amp;"$T$137"),0)</f>
        <v>0</v>
      </c>
      <c r="AA204" s="414">
        <f ca="1">IFERROR(INDIRECT("ТИП8!"&amp;"$R$137"),0)</f>
        <v>0</v>
      </c>
      <c r="AB204" s="414">
        <f ca="1">IFERROR(INDIRECT("ТИП8!"&amp;"$S$137"),0)</f>
        <v>0</v>
      </c>
      <c r="AC204" s="414">
        <f ca="1">IFERROR(INDIRECT("ТИП8!"&amp;"$U$137"),0)</f>
        <v>0</v>
      </c>
      <c r="AD204" s="414">
        <f ca="1">IFERROR(INDIRECT("ТИП8!"&amp;"$V$137"),0)</f>
        <v>0</v>
      </c>
      <c r="AE204" s="1517"/>
    </row>
    <row r="205" spans="2:31" s="385" customFormat="1" ht="15.75" hidden="1" customHeight="1">
      <c r="B205" s="1125" t="str">
        <f t="shared" ca="1" si="58"/>
        <v>-</v>
      </c>
      <c r="C205" s="1125"/>
      <c r="D205" s="581" t="str">
        <f t="shared" ca="1" si="59"/>
        <v>-</v>
      </c>
      <c r="E205" s="581" t="str">
        <f t="shared" ca="1" si="60"/>
        <v>-</v>
      </c>
      <c r="F205" s="581" t="str">
        <f t="shared" ca="1" si="61"/>
        <v>-</v>
      </c>
      <c r="G205" s="581" t="str">
        <f t="shared" ca="1" si="62"/>
        <v>-</v>
      </c>
      <c r="H205" s="581" t="str">
        <f t="shared" ca="1" si="63"/>
        <v>-</v>
      </c>
      <c r="I205" s="706" t="str">
        <f ca="1">IF(AND(R205&gt;0,$V$199=1),IF(OR(R205=1,R205=2),HYPERLINK($AH$85,$AM$85),IF(R205&gt;=3,HYPERLINK($AH$86,$AM$86))),IF(AND(Y205&gt;0,$AC$199=1),HYPERLINK($AH$84,$AM$84),""))</f>
        <v/>
      </c>
      <c r="N205" s="403"/>
      <c r="O205" s="405">
        <f t="shared" ca="1" si="45"/>
        <v>0</v>
      </c>
      <c r="P205" s="403"/>
      <c r="Q205" s="421">
        <f ca="1">IF(S205&gt;0,INDIRECT("ТИП8!"&amp;"$P$88"),0)</f>
        <v>0</v>
      </c>
      <c r="R205" s="422">
        <f ca="1">IFERROR(INDIRECT("ТИП8!"&amp;"$AN$88"),0)</f>
        <v>0</v>
      </c>
      <c r="S205" s="422">
        <f ca="1">IFERROR(INDIRECT("ТИП8!"&amp;"$T$88"),0)</f>
        <v>0</v>
      </c>
      <c r="T205" s="422">
        <f ca="1">IFERROR(INDIRECT("ТИП8!"&amp;"$R$88"),0)</f>
        <v>0</v>
      </c>
      <c r="U205" s="422">
        <f ca="1">IFERROR(INDIRECT("ТИП8!"&amp;"$S$88"),0)</f>
        <v>0</v>
      </c>
      <c r="V205" s="422">
        <f ca="1">IFERROR(INDIRECT("ТИП8!"&amp;"$U$88"),0)</f>
        <v>0</v>
      </c>
      <c r="W205" s="422">
        <f ca="1">IFERROR(INDIRECT("ТИП8!"&amp;"$V$88"),0)</f>
        <v>0</v>
      </c>
      <c r="X205" s="421">
        <f ca="1">IF(Z205&gt;0,INDIRECT("ТИП8!"&amp;"$P$141"),0)</f>
        <v>0</v>
      </c>
      <c r="Y205" s="422">
        <f ca="1">IFERROR(INDIRECT("ТИП8!"&amp;"$AN$141"),0)</f>
        <v>0</v>
      </c>
      <c r="Z205" s="422">
        <f ca="1">IFERROR(INDIRECT("ТИП8!"&amp;"$T$141"),0)</f>
        <v>0</v>
      </c>
      <c r="AA205" s="422">
        <f ca="1">IFERROR(INDIRECT("ТИП8!"&amp;"$R$141"),0)</f>
        <v>0</v>
      </c>
      <c r="AB205" s="422">
        <f ca="1">IFERROR(INDIRECT("ТИП8!"&amp;"$S$141"),0)</f>
        <v>0</v>
      </c>
      <c r="AC205" s="422">
        <f ca="1">IFERROR(INDIRECT("ТИП8!"&amp;"$U$141"),0)</f>
        <v>0</v>
      </c>
      <c r="AD205" s="422">
        <f ca="1">IFERROR(INDIRECT("ТИП8!"&amp;"$V$141"),0)</f>
        <v>0</v>
      </c>
      <c r="AE205" s="1515" t="s">
        <v>568</v>
      </c>
    </row>
    <row r="206" spans="2:31" s="385" customFormat="1" ht="15.75" hidden="1" customHeight="1">
      <c r="B206" s="1125" t="str">
        <f t="shared" ca="1" si="58"/>
        <v>-</v>
      </c>
      <c r="C206" s="1125"/>
      <c r="D206" s="581" t="str">
        <f t="shared" ca="1" si="59"/>
        <v>-</v>
      </c>
      <c r="E206" s="581" t="str">
        <f t="shared" ca="1" si="60"/>
        <v>-</v>
      </c>
      <c r="F206" s="581" t="str">
        <f t="shared" ca="1" si="61"/>
        <v>-</v>
      </c>
      <c r="G206" s="581" t="str">
        <f t="shared" ca="1" si="62"/>
        <v>-</v>
      </c>
      <c r="H206" s="581" t="str">
        <f t="shared" ca="1" si="63"/>
        <v>-</v>
      </c>
      <c r="I206" s="706" t="str">
        <f ca="1">IF(AND(R206&gt;0,$V$199=1),IF(OR(R206=1,R206=2),HYPERLINK($AH$85,$AM$85),IF(R206&gt;=3,HYPERLINK($AH$86,$AM$86))),IF(AND(Y206&gt;0,$AC$199=1),HYPERLINK($AH$84,$AM$84),""))</f>
        <v/>
      </c>
      <c r="N206" s="403"/>
      <c r="O206" s="405">
        <f t="shared" ca="1" si="45"/>
        <v>0</v>
      </c>
      <c r="P206" s="403"/>
      <c r="Q206" s="421">
        <f ca="1">IF(S206&gt;0,INDIRECT("ТИП8!"&amp;"$P$89"),0)</f>
        <v>0</v>
      </c>
      <c r="R206" s="422">
        <f ca="1">IFERROR(INDIRECT("ТИП8!"&amp;"$AN$89"),0)</f>
        <v>0</v>
      </c>
      <c r="S206" s="422">
        <f ca="1">IFERROR(INDIRECT("ТИП8!"&amp;"$T$89"),0)</f>
        <v>0</v>
      </c>
      <c r="T206" s="422">
        <f ca="1">IFERROR(INDIRECT("ТИП8!"&amp;"$R$89"),0)</f>
        <v>0</v>
      </c>
      <c r="U206" s="422">
        <f ca="1">IFERROR(INDIRECT("ТИП8!"&amp;"$S$89"),0)</f>
        <v>0</v>
      </c>
      <c r="V206" s="422">
        <f ca="1">IFERROR(INDIRECT("ТИП8!"&amp;"$U$89"),0)</f>
        <v>0</v>
      </c>
      <c r="W206" s="422">
        <f ca="1">IFERROR(INDIRECT("ТИП8!"&amp;"$V$89"),0)</f>
        <v>0</v>
      </c>
      <c r="X206" s="421">
        <f ca="1">IF(Z206&gt;0,INDIRECT("ТИП8!"&amp;"$P$142"),0)</f>
        <v>0</v>
      </c>
      <c r="Y206" s="422">
        <f ca="1">IFERROR(INDIRECT("ТИП8!"&amp;"$AN$142"),0)</f>
        <v>0</v>
      </c>
      <c r="Z206" s="422">
        <f ca="1">IFERROR(INDIRECT("ТИП8!"&amp;"$T$142"),0)</f>
        <v>0</v>
      </c>
      <c r="AA206" s="422">
        <f ca="1">IFERROR(INDIRECT("ТИП8!"&amp;"$R$142"),0)</f>
        <v>0</v>
      </c>
      <c r="AB206" s="422">
        <f ca="1">IFERROR(INDIRECT("ТИП8!"&amp;"$S$142"),0)</f>
        <v>0</v>
      </c>
      <c r="AC206" s="422">
        <f ca="1">IFERROR(INDIRECT("ТИП8!"&amp;"$U$142"),0)</f>
        <v>0</v>
      </c>
      <c r="AD206" s="422">
        <f ca="1">IFERROR(INDIRECT("ТИП8!"&amp;"$V$142"),0)</f>
        <v>0</v>
      </c>
      <c r="AE206" s="1515"/>
    </row>
    <row r="207" spans="2:31" s="385" customFormat="1" ht="15.75" hidden="1" customHeight="1">
      <c r="B207" s="1125" t="str">
        <f t="shared" ca="1" si="58"/>
        <v>-</v>
      </c>
      <c r="C207" s="1125"/>
      <c r="D207" s="581" t="str">
        <f t="shared" ca="1" si="59"/>
        <v>-</v>
      </c>
      <c r="E207" s="581" t="str">
        <f t="shared" ca="1" si="60"/>
        <v>-</v>
      </c>
      <c r="F207" s="581" t="str">
        <f t="shared" ca="1" si="61"/>
        <v>-</v>
      </c>
      <c r="G207" s="581" t="str">
        <f t="shared" ca="1" si="62"/>
        <v>-</v>
      </c>
      <c r="H207" s="581" t="str">
        <f t="shared" ca="1" si="63"/>
        <v>-</v>
      </c>
      <c r="I207" s="706" t="str">
        <f ca="1">IF(AND(R207&gt;0,$V$199=1),IF(OR(R207=1,R207=2),HYPERLINK($AH$85,$AM$85),IF(R207&gt;=3,HYPERLINK($AH$86,$AM$86))),IF(AND(Y207&gt;0,$AC$199=1),HYPERLINK($AH$84,$AM$84),""))</f>
        <v/>
      </c>
      <c r="N207" s="403"/>
      <c r="O207" s="405">
        <f t="shared" ca="1" si="45"/>
        <v>0</v>
      </c>
      <c r="P207" s="403"/>
      <c r="Q207" s="421">
        <f ca="1">IF(S207&gt;0,INDIRECT("ТИП8!"&amp;"$P$90"),0)</f>
        <v>0</v>
      </c>
      <c r="R207" s="422">
        <f ca="1">IFERROR(INDIRECT("ТИП8!"&amp;"$AN$90"),0)</f>
        <v>0</v>
      </c>
      <c r="S207" s="422">
        <f ca="1">IFERROR(INDIRECT("ТИП8!"&amp;"$T$90"),0)</f>
        <v>0</v>
      </c>
      <c r="T207" s="422">
        <f ca="1">IFERROR(INDIRECT("ТИП8!"&amp;"$R$90"),0)</f>
        <v>0</v>
      </c>
      <c r="U207" s="422">
        <f ca="1">IFERROR(INDIRECT("ТИП8!"&amp;"$S$90"),0)</f>
        <v>0</v>
      </c>
      <c r="V207" s="422">
        <f ca="1">IFERROR(INDIRECT("ТИП8!"&amp;"$U$90"),0)</f>
        <v>0</v>
      </c>
      <c r="W207" s="422">
        <f ca="1">IFERROR(INDIRECT("ТИП8!"&amp;"$V$90"),0)</f>
        <v>0</v>
      </c>
      <c r="X207" s="421">
        <f ca="1">IF(Z207&gt;0,INDIRECT("ТИП8!"&amp;"$P$143"),0)</f>
        <v>0</v>
      </c>
      <c r="Y207" s="422">
        <f ca="1">IFERROR(INDIRECT("ТИП8!"&amp;"$AN$143"),0)</f>
        <v>0</v>
      </c>
      <c r="Z207" s="422">
        <f ca="1">IFERROR(INDIRECT("ТИП8!"&amp;"$T$143"),0)</f>
        <v>0</v>
      </c>
      <c r="AA207" s="422">
        <f ca="1">IFERROR(INDIRECT("ТИП8!"&amp;"$R$143"),0)</f>
        <v>0</v>
      </c>
      <c r="AB207" s="422">
        <f ca="1">IFERROR(INDIRECT("ТИП8!"&amp;"$S$143"),0)</f>
        <v>0</v>
      </c>
      <c r="AC207" s="422">
        <f ca="1">IFERROR(INDIRECT("ТИП8!"&amp;"$U$143"),0)</f>
        <v>0</v>
      </c>
      <c r="AD207" s="422">
        <f ca="1">IFERROR(INDIRECT("ТИП8!"&amp;"$V$143"),0)</f>
        <v>0</v>
      </c>
      <c r="AE207" s="1515"/>
    </row>
    <row r="208" spans="2:31" s="385" customFormat="1" ht="15.75" hidden="1" customHeight="1">
      <c r="B208" s="1125" t="str">
        <f t="shared" ca="1" si="58"/>
        <v>-</v>
      </c>
      <c r="C208" s="1125"/>
      <c r="D208" s="581" t="str">
        <f t="shared" ca="1" si="59"/>
        <v>-</v>
      </c>
      <c r="E208" s="581" t="str">
        <f t="shared" ca="1" si="60"/>
        <v>-</v>
      </c>
      <c r="F208" s="581" t="str">
        <f t="shared" ca="1" si="61"/>
        <v>-</v>
      </c>
      <c r="G208" s="581" t="str">
        <f t="shared" ca="1" si="62"/>
        <v>-</v>
      </c>
      <c r="H208" s="581" t="str">
        <f t="shared" ca="1" si="63"/>
        <v>-</v>
      </c>
      <c r="I208" s="706" t="str">
        <f ca="1">IF(AND(R208&gt;0,$V$199=1),IF(OR(R208=1,R208=2),HYPERLINK($AH$85,$AM$85),IF(R208&gt;=3,HYPERLINK($AH$86,$AM$86))),IF(AND(Y208&gt;0,$AC$199=1),HYPERLINK($AH$84,$AM$84),""))</f>
        <v/>
      </c>
      <c r="N208" s="403"/>
      <c r="O208" s="405">
        <f t="shared" ca="1" si="45"/>
        <v>0</v>
      </c>
      <c r="P208" s="403"/>
      <c r="Q208" s="421">
        <f ca="1">IF(S208&gt;0,INDIRECT("ТИП8!"&amp;"$P$91"),0)</f>
        <v>0</v>
      </c>
      <c r="R208" s="422">
        <f ca="1">IFERROR(INDIRECT("ТИП8!"&amp;"$AN$91"),0)</f>
        <v>0</v>
      </c>
      <c r="S208" s="422">
        <f ca="1">IFERROR(INDIRECT("ТИП8!"&amp;"$T$91"),0)</f>
        <v>0</v>
      </c>
      <c r="T208" s="422">
        <f ca="1">IFERROR(INDIRECT("ТИП8!"&amp;"$R$91"),0)</f>
        <v>0</v>
      </c>
      <c r="U208" s="422">
        <f ca="1">IFERROR(INDIRECT("ТИП8!"&amp;"$S$91"),0)</f>
        <v>0</v>
      </c>
      <c r="V208" s="422">
        <f ca="1">IFERROR(INDIRECT("ТИП8!"&amp;"$U$91"),0)</f>
        <v>0</v>
      </c>
      <c r="W208" s="422">
        <f ca="1">IFERROR(INDIRECT("ТИП8!"&amp;"$V$91"),0)</f>
        <v>0</v>
      </c>
      <c r="X208" s="421">
        <f ca="1">IF(Z208&gt;0,INDIRECT("ТИП8!"&amp;"$P$144"),0)</f>
        <v>0</v>
      </c>
      <c r="Y208" s="422">
        <f ca="1">IFERROR(INDIRECT("ТИП8!"&amp;"$AN$144"),0)</f>
        <v>0</v>
      </c>
      <c r="Z208" s="422">
        <f ca="1">IFERROR(INDIRECT("ТИП8!"&amp;"$T$144"),0)</f>
        <v>0</v>
      </c>
      <c r="AA208" s="422">
        <f ca="1">IFERROR(INDIRECT("ТИП8!"&amp;"$R$144"),0)</f>
        <v>0</v>
      </c>
      <c r="AB208" s="422">
        <f ca="1">IFERROR(INDIRECT("ТИП8!"&amp;"$S$144"),0)</f>
        <v>0</v>
      </c>
      <c r="AC208" s="422">
        <f ca="1">IFERROR(INDIRECT("ТИП8!"&amp;"$U$144"),0)</f>
        <v>0</v>
      </c>
      <c r="AD208" s="422">
        <f ca="1">IFERROR(INDIRECT("ТИП8!"&amp;"$V$144"),0)</f>
        <v>0</v>
      </c>
      <c r="AE208" s="1515"/>
    </row>
    <row r="209" spans="2:31" s="385" customFormat="1" ht="15.75" hidden="1" customHeight="1">
      <c r="B209" s="1125" t="str">
        <f t="shared" ca="1" si="58"/>
        <v>-</v>
      </c>
      <c r="C209" s="1125"/>
      <c r="D209" s="581" t="str">
        <f t="shared" ca="1" si="59"/>
        <v>-</v>
      </c>
      <c r="E209" s="581" t="str">
        <f t="shared" ca="1" si="60"/>
        <v>-</v>
      </c>
      <c r="F209" s="581" t="str">
        <f t="shared" ca="1" si="61"/>
        <v>-</v>
      </c>
      <c r="G209" s="581" t="str">
        <f t="shared" ca="1" si="62"/>
        <v>-</v>
      </c>
      <c r="H209" s="581" t="str">
        <f t="shared" ca="1" si="63"/>
        <v>-</v>
      </c>
      <c r="I209" s="706" t="str">
        <f ca="1">IF(AND(R209&gt;0,$V$199=1),IF(OR(R209=1,R209=2),HYPERLINK($AH$85,$AM$85),IF(R209&gt;=3,HYPERLINK($AH$86,$AM$86))),IF(AND(Y209&gt;0,$AC$199=1),HYPERLINK($AH$84,$AM$84),""))</f>
        <v/>
      </c>
      <c r="N209" s="403"/>
      <c r="O209" s="405">
        <f t="shared" ca="1" si="45"/>
        <v>0</v>
      </c>
      <c r="P209" s="403"/>
      <c r="Q209" s="421">
        <f ca="1">IF(S209&gt;0,INDIRECT("ТИП8!"&amp;"$P$92"),0)</f>
        <v>0</v>
      </c>
      <c r="R209" s="422">
        <f ca="1">IFERROR(INDIRECT("ТИП8!"&amp;"$AN$92"),0)</f>
        <v>0</v>
      </c>
      <c r="S209" s="422">
        <f ca="1">IFERROR(INDIRECT("ТИП8!"&amp;"$T$92"),0)</f>
        <v>0</v>
      </c>
      <c r="T209" s="422">
        <f ca="1">IFERROR(INDIRECT("ТИП8!"&amp;"$R$92"),0)</f>
        <v>0</v>
      </c>
      <c r="U209" s="422">
        <f ca="1">IFERROR(INDIRECT("ТИП8!"&amp;"$S$92"),0)</f>
        <v>0</v>
      </c>
      <c r="V209" s="422">
        <f ca="1">IFERROR(INDIRECT("ТИП8!"&amp;"$U$92"),0)</f>
        <v>0</v>
      </c>
      <c r="W209" s="422">
        <f ca="1">IFERROR(INDIRECT("ТИП8!"&amp;"$V$92"),0)</f>
        <v>0</v>
      </c>
      <c r="X209" s="421">
        <f ca="1">IF(Z209&gt;0,INDIRECT("ТИП8!"&amp;"$P$145"),0)</f>
        <v>0</v>
      </c>
      <c r="Y209" s="422">
        <f ca="1">IFERROR(INDIRECT("ТИП8!"&amp;"$AN$145"),0)</f>
        <v>0</v>
      </c>
      <c r="Z209" s="422">
        <f ca="1">IFERROR(INDIRECT("ТИП8!"&amp;"$T$145"),0)</f>
        <v>0</v>
      </c>
      <c r="AA209" s="422">
        <f ca="1">IFERROR(INDIRECT("ТИП8!"&amp;"$R$145"),0)</f>
        <v>0</v>
      </c>
      <c r="AB209" s="422">
        <f ca="1">IFERROR(INDIRECT("ТИП8!"&amp;"$S$145"),0)</f>
        <v>0</v>
      </c>
      <c r="AC209" s="422">
        <f ca="1">IFERROR(INDIRECT("ТИП8!"&amp;"$U$145"),0)</f>
        <v>0</v>
      </c>
      <c r="AD209" s="422">
        <f ca="1">IFERROR(INDIRECT("ТИП8!"&amp;"$V$145"),0)</f>
        <v>0</v>
      </c>
      <c r="AE209" s="1515"/>
    </row>
    <row r="210" spans="2:31" s="385" customFormat="1" ht="15.75" hidden="1" customHeight="1">
      <c r="B210" s="1125" t="str">
        <f t="shared" ca="1" si="58"/>
        <v>-</v>
      </c>
      <c r="C210" s="1125"/>
      <c r="D210" s="581" t="str">
        <f t="shared" ca="1" si="59"/>
        <v>-</v>
      </c>
      <c r="E210" s="581" t="str">
        <f t="shared" ca="1" si="60"/>
        <v>-</v>
      </c>
      <c r="F210" s="581" t="str">
        <f t="shared" ca="1" si="61"/>
        <v>-</v>
      </c>
      <c r="G210" s="581" t="str">
        <f t="shared" ca="1" si="62"/>
        <v>-</v>
      </c>
      <c r="H210" s="581" t="str">
        <f t="shared" ca="1" si="63"/>
        <v>-</v>
      </c>
      <c r="I210" s="706" t="str">
        <f ca="1">IF(AND(R210&gt;0,$V$199=1),IF(OR(R210=1,R210=2),HYPERLINK($AH$88,$AM$88),IF(R210&gt;=3,HYPERLINK($AH$89,$AM$89))),IF(AND(Y210&gt;0,$AC$199=1),HYPERLINK($AH$87,$AM$87),""))</f>
        <v/>
      </c>
      <c r="N210" s="403"/>
      <c r="O210" s="405">
        <f t="shared" ca="1" si="45"/>
        <v>0</v>
      </c>
      <c r="P210" s="403"/>
      <c r="Q210" s="419">
        <f ca="1">IF(S210&gt;0,INDIRECT("ТИП8!"&amp;"$Q$95"),0)</f>
        <v>0</v>
      </c>
      <c r="R210" s="420">
        <f ca="1">IFERROR(INDIRECT("ТИП8!"&amp;"$AN$95"),0)</f>
        <v>0</v>
      </c>
      <c r="S210" s="420">
        <f ca="1">IFERROR(INDIRECT("ТИП8!"&amp;"$T$95"),0)</f>
        <v>0</v>
      </c>
      <c r="T210" s="420" t="s">
        <v>6</v>
      </c>
      <c r="U210" s="420">
        <f ca="1">IFERROR(INDIRECT("ТИП8!"&amp;"$S$95"),0)</f>
        <v>0</v>
      </c>
      <c r="V210" s="420">
        <f ca="1">IFERROR(INDIRECT("ТИП8!"&amp;"$U$95"),0)</f>
        <v>0</v>
      </c>
      <c r="W210" s="420">
        <f ca="1">IFERROR(INDIRECT("ТИП8!"&amp;"$V$95"),0)</f>
        <v>0</v>
      </c>
      <c r="X210" s="419">
        <f ca="1">IF(Z210&gt;0,INDIRECT("ТИП8!"&amp;"$Q$149"),0)</f>
        <v>0</v>
      </c>
      <c r="Y210" s="420">
        <f ca="1">IFERROR(INDIRECT("ТИП8!"&amp;"$AN$149"),0)</f>
        <v>0</v>
      </c>
      <c r="Z210" s="420">
        <f ca="1">IFERROR(INDIRECT("ТИП8!"&amp;"$T$149"),0)</f>
        <v>0</v>
      </c>
      <c r="AA210" s="425" t="s">
        <v>6</v>
      </c>
      <c r="AB210" s="420">
        <f ca="1">IFERROR(INDIRECT("ТИП8!"&amp;"$S$149"),0)</f>
        <v>0</v>
      </c>
      <c r="AC210" s="420">
        <f ca="1">IFERROR(INDIRECT("ТИП8!"&amp;"$U$149"),0)</f>
        <v>0</v>
      </c>
      <c r="AD210" s="420">
        <f ca="1">IFERROR(INDIRECT("ТИП8!"&amp;"$V$149"),0)</f>
        <v>0</v>
      </c>
      <c r="AE210" s="1516" t="s">
        <v>569</v>
      </c>
    </row>
    <row r="211" spans="2:31" s="385" customFormat="1" ht="15.75" hidden="1" customHeight="1">
      <c r="B211" s="1125" t="str">
        <f t="shared" ca="1" si="58"/>
        <v>-</v>
      </c>
      <c r="C211" s="1125"/>
      <c r="D211" s="581" t="str">
        <f t="shared" ca="1" si="59"/>
        <v>-</v>
      </c>
      <c r="E211" s="581" t="str">
        <f t="shared" ca="1" si="60"/>
        <v>-</v>
      </c>
      <c r="F211" s="581" t="str">
        <f t="shared" ca="1" si="61"/>
        <v>-</v>
      </c>
      <c r="G211" s="581" t="str">
        <f t="shared" ca="1" si="62"/>
        <v>-</v>
      </c>
      <c r="H211" s="581" t="str">
        <f t="shared" ca="1" si="63"/>
        <v>-</v>
      </c>
      <c r="I211" s="706" t="str">
        <f ca="1">IF(AND(R211&gt;0,$V$199=1),IF(OR(R211=1,R211=2),HYPERLINK($AH$88,$AM$88),IF(R211&gt;=3,HYPERLINK($AH$89,$AM$89))),IF(AND(Y211&gt;0,$AC$199=1),HYPERLINK($AH$87,$AM$87),""))</f>
        <v/>
      </c>
      <c r="N211" s="403"/>
      <c r="O211" s="405">
        <f t="shared" ca="1" si="45"/>
        <v>0</v>
      </c>
      <c r="P211" s="403"/>
      <c r="Q211" s="419">
        <f ca="1">IF(S211&gt;0,INDIRECT("ТИП8!"&amp;"$Q$96"),0)</f>
        <v>0</v>
      </c>
      <c r="R211" s="420">
        <f ca="1">IFERROR(INDIRECT("ТИП8!"&amp;"$AN$96"),0)</f>
        <v>0</v>
      </c>
      <c r="S211" s="420">
        <f ca="1">IFERROR(INDIRECT("ТИП8!"&amp;"$T$96"),0)</f>
        <v>0</v>
      </c>
      <c r="T211" s="420" t="s">
        <v>6</v>
      </c>
      <c r="U211" s="420">
        <f ca="1">IFERROR(INDIRECT("ТИП8!"&amp;"$S$96"),0)</f>
        <v>0</v>
      </c>
      <c r="V211" s="420">
        <f ca="1">IFERROR(INDIRECT("ТИП8!"&amp;"$U$96"),0)</f>
        <v>0</v>
      </c>
      <c r="W211" s="420">
        <f ca="1">IFERROR(INDIRECT("ТИП8!"&amp;"$V$96"),0)</f>
        <v>0</v>
      </c>
      <c r="X211" s="419">
        <f ca="1">IF(Z211&gt;0,INDIRECT("ТИП8!"&amp;"$Q$150"),0)</f>
        <v>0</v>
      </c>
      <c r="Y211" s="420">
        <f ca="1">IFERROR(INDIRECT("ТИП8!"&amp;"$AN$150"),0)</f>
        <v>0</v>
      </c>
      <c r="Z211" s="420">
        <f ca="1">IFERROR(INDIRECT("ТИП8!"&amp;"$T$150"),0)</f>
        <v>0</v>
      </c>
      <c r="AA211" s="425" t="s">
        <v>6</v>
      </c>
      <c r="AB211" s="420">
        <f ca="1">IFERROR(INDIRECT("ТИП8!"&amp;"$S$150"),0)</f>
        <v>0</v>
      </c>
      <c r="AC211" s="420">
        <f ca="1">IFERROR(INDIRECT("ТИП8!"&amp;"$U$150"),0)</f>
        <v>0</v>
      </c>
      <c r="AD211" s="420">
        <f ca="1">IFERROR(INDIRECT("ТИП8!"&amp;"$V$150"),0)</f>
        <v>0</v>
      </c>
      <c r="AE211" s="1516"/>
    </row>
    <row r="212" spans="2:31" s="385" customFormat="1" ht="15.75" hidden="1" customHeight="1">
      <c r="B212" s="1125" t="str">
        <f t="shared" ca="1" si="58"/>
        <v>-</v>
      </c>
      <c r="C212" s="1125"/>
      <c r="D212" s="581" t="str">
        <f t="shared" ca="1" si="59"/>
        <v>-</v>
      </c>
      <c r="E212" s="581" t="str">
        <f t="shared" ca="1" si="60"/>
        <v>-</v>
      </c>
      <c r="F212" s="581" t="str">
        <f t="shared" ca="1" si="61"/>
        <v>-</v>
      </c>
      <c r="G212" s="581" t="str">
        <f t="shared" ca="1" si="62"/>
        <v>-</v>
      </c>
      <c r="H212" s="581" t="str">
        <f t="shared" ca="1" si="63"/>
        <v>-</v>
      </c>
      <c r="I212" s="706" t="str">
        <f ca="1">IF(AND(R212&gt;0,$V$199=1),IF(OR(R212=1,R212=2),HYPERLINK($AH$88,$AM$88),IF(R212&gt;=3,HYPERLINK($AH$89,$AM$89))),IF(AND(Y212&gt;0,$AC$199=1),HYPERLINK($AH$87,$AM$87),""))</f>
        <v/>
      </c>
      <c r="N212" s="403"/>
      <c r="O212" s="405">
        <f t="shared" ca="1" si="45"/>
        <v>0</v>
      </c>
      <c r="P212" s="403"/>
      <c r="Q212" s="419">
        <f ca="1">IF(S212&gt;0,INDIRECT("ТИП8!"&amp;"$Q$97"),0)</f>
        <v>0</v>
      </c>
      <c r="R212" s="420">
        <f ca="1">IFERROR(INDIRECT("ТИП8!"&amp;"$AN$97"),0)</f>
        <v>0</v>
      </c>
      <c r="S212" s="420">
        <f ca="1">IFERROR(INDIRECT("ТИП8!"&amp;"$T$97"),0)</f>
        <v>0</v>
      </c>
      <c r="T212" s="420" t="s">
        <v>6</v>
      </c>
      <c r="U212" s="420">
        <f ca="1">IFERROR(INDIRECT("ТИП8!"&amp;"$S$97"),0)</f>
        <v>0</v>
      </c>
      <c r="V212" s="420">
        <f ca="1">IFERROR(INDIRECT("ТИП8!"&amp;"$U$97"),0)</f>
        <v>0</v>
      </c>
      <c r="W212" s="420">
        <f ca="1">IFERROR(INDIRECT("ТИП8!"&amp;"$V$97"),0)</f>
        <v>0</v>
      </c>
      <c r="X212" s="419">
        <f ca="1">IF(Z212&gt;0,INDIRECT("ТИП8!"&amp;"$Q$151"),0)</f>
        <v>0</v>
      </c>
      <c r="Y212" s="420">
        <f ca="1">IFERROR(INDIRECT("ТИП8!"&amp;"$AN$151"),0)</f>
        <v>0</v>
      </c>
      <c r="Z212" s="420">
        <f ca="1">IFERROR(INDIRECT("ТИП8!"&amp;"$T$151"),0)</f>
        <v>0</v>
      </c>
      <c r="AA212" s="425" t="s">
        <v>6</v>
      </c>
      <c r="AB212" s="420">
        <f ca="1">IFERROR(INDIRECT("ТИП8!"&amp;"$S$151"),0)</f>
        <v>0</v>
      </c>
      <c r="AC212" s="420">
        <f ca="1">IFERROR(INDIRECT("ТИП8!"&amp;"$U$151"),0)</f>
        <v>0</v>
      </c>
      <c r="AD212" s="420">
        <f ca="1">IFERROR(INDIRECT("ТИП8!"&amp;"$V$151"),0)</f>
        <v>0</v>
      </c>
      <c r="AE212" s="1516"/>
    </row>
    <row r="213" spans="2:31" s="385" customFormat="1" ht="15.75" hidden="1" customHeight="1">
      <c r="B213" s="1125" t="str">
        <f t="shared" ca="1" si="58"/>
        <v>-</v>
      </c>
      <c r="C213" s="1125"/>
      <c r="D213" s="581" t="str">
        <f t="shared" ca="1" si="59"/>
        <v>-</v>
      </c>
      <c r="E213" s="581" t="str">
        <f t="shared" ca="1" si="60"/>
        <v>-</v>
      </c>
      <c r="F213" s="581" t="str">
        <f t="shared" ca="1" si="61"/>
        <v>-</v>
      </c>
      <c r="G213" s="581" t="str">
        <f t="shared" ca="1" si="62"/>
        <v>-</v>
      </c>
      <c r="H213" s="581" t="str">
        <f t="shared" ca="1" si="63"/>
        <v>-</v>
      </c>
      <c r="I213" s="706" t="str">
        <f ca="1">IF(AND(R213&gt;0,$V$199=1),IF(OR(R213=1,R213=2),HYPERLINK($AH$88,$AM$88),IF(R213&gt;=3,HYPERLINK($AH$89,$AM$89))),IF(AND(Y213&gt;0,$AC$199=1),HYPERLINK($AH$87,$AM$87),""))</f>
        <v/>
      </c>
      <c r="N213" s="403"/>
      <c r="O213" s="405">
        <f t="shared" ca="1" si="45"/>
        <v>0</v>
      </c>
      <c r="P213" s="403"/>
      <c r="Q213" s="419">
        <f ca="1">IF(S213&gt;0,INDIRECT("ТИП8!"&amp;"$Q$98"),0)</f>
        <v>0</v>
      </c>
      <c r="R213" s="420">
        <f ca="1">IFERROR(INDIRECT("ТИП8!"&amp;"$AN$98"),0)</f>
        <v>0</v>
      </c>
      <c r="S213" s="420">
        <f ca="1">IFERROR(INDIRECT("ТИП8!"&amp;"$T$98"),0)</f>
        <v>0</v>
      </c>
      <c r="T213" s="420" t="s">
        <v>6</v>
      </c>
      <c r="U213" s="420">
        <f ca="1">IFERROR(INDIRECT("ТИП8!"&amp;"$S$98"),0)</f>
        <v>0</v>
      </c>
      <c r="V213" s="420">
        <f ca="1">IFERROR(INDIRECT("ТИП8!"&amp;"$U$98"),0)</f>
        <v>0</v>
      </c>
      <c r="W213" s="420">
        <f ca="1">IFERROR(INDIRECT("ТИП8!"&amp;"$V$98"),0)</f>
        <v>0</v>
      </c>
      <c r="X213" s="419">
        <f ca="1">IF(Z213&gt;0,INDIRECT("ТИП8!"&amp;"$Q$152"),0)</f>
        <v>0</v>
      </c>
      <c r="Y213" s="420">
        <f ca="1">IFERROR(INDIRECT("ТИП8!"&amp;"$AN$152"),0)</f>
        <v>0</v>
      </c>
      <c r="Z213" s="420">
        <f ca="1">IFERROR(INDIRECT("ТИП8!"&amp;"$T$152"),0)</f>
        <v>0</v>
      </c>
      <c r="AA213" s="425" t="s">
        <v>6</v>
      </c>
      <c r="AB213" s="420">
        <f ca="1">IFERROR(INDIRECT("ТИП8!"&amp;"$S$152"),0)</f>
        <v>0</v>
      </c>
      <c r="AC213" s="420">
        <f ca="1">IFERROR(INDIRECT("ТИП8!"&amp;"$U$152"),0)</f>
        <v>0</v>
      </c>
      <c r="AD213" s="420">
        <f ca="1">IFERROR(INDIRECT("ТИП8!"&amp;"$V$152"),0)</f>
        <v>0</v>
      </c>
      <c r="AE213" s="1516"/>
    </row>
    <row r="214" spans="2:31" s="385" customFormat="1" ht="15.75" hidden="1" customHeight="1">
      <c r="B214" s="1125" t="str">
        <f t="shared" ca="1" si="58"/>
        <v>-</v>
      </c>
      <c r="C214" s="1125"/>
      <c r="D214" s="581" t="str">
        <f t="shared" ca="1" si="59"/>
        <v>-</v>
      </c>
      <c r="E214" s="581" t="str">
        <f t="shared" ca="1" si="60"/>
        <v>-</v>
      </c>
      <c r="F214" s="581" t="str">
        <f t="shared" ca="1" si="61"/>
        <v>-</v>
      </c>
      <c r="G214" s="581" t="str">
        <f t="shared" ca="1" si="62"/>
        <v>-</v>
      </c>
      <c r="H214" s="581" t="str">
        <f t="shared" ca="1" si="63"/>
        <v>-</v>
      </c>
      <c r="I214" s="706" t="str">
        <f ca="1">IF(AND(R214&gt;0,$V$199=1),HYPERLINK($AH$91,$AM$91),IF(AND(Z214&gt;0,$AC$199=1),HYPERLINK($AH$90,$AM$90),""))</f>
        <v/>
      </c>
      <c r="N214" s="403"/>
      <c r="O214" s="405">
        <f t="shared" ca="1" si="45"/>
        <v>0</v>
      </c>
      <c r="P214" s="403"/>
      <c r="Q214" s="423">
        <f ca="1">IF(S214&gt;0,(INDIRECT("ТИП8!"&amp;"$Q$101")),0)</f>
        <v>0</v>
      </c>
      <c r="R214" s="424">
        <f ca="1">IFERROR(INDIRECT("ТИП8!"&amp;"$AN$101"),0)</f>
        <v>0</v>
      </c>
      <c r="S214" s="424">
        <f ca="1">IFERROR(INDIRECT("ТИП8!"&amp;"$S$101"),0)</f>
        <v>0</v>
      </c>
      <c r="T214" s="424" t="s">
        <v>6</v>
      </c>
      <c r="U214" s="424" t="s">
        <v>6</v>
      </c>
      <c r="V214" s="424" t="s">
        <v>6</v>
      </c>
      <c r="W214" s="424" t="s">
        <v>6</v>
      </c>
      <c r="X214" s="423">
        <f ca="1">IF(Z214&gt;0,INDIRECT("ТИП8!"&amp;"$R$156"),0)</f>
        <v>0</v>
      </c>
      <c r="Y214" s="424" t="s">
        <v>6</v>
      </c>
      <c r="Z214" s="424">
        <f ca="1">IFERROR(INDIRECT("ТИП8!"&amp;"$T$156"),0)</f>
        <v>0</v>
      </c>
      <c r="AA214" s="411" t="s">
        <v>6</v>
      </c>
      <c r="AB214" s="411" t="s">
        <v>6</v>
      </c>
      <c r="AC214" s="411" t="s">
        <v>6</v>
      </c>
      <c r="AD214" s="411" t="s">
        <v>6</v>
      </c>
      <c r="AE214" s="411" t="s">
        <v>570</v>
      </c>
    </row>
    <row r="215" spans="2:31" s="385" customFormat="1" ht="15.75" hidden="1" customHeight="1">
      <c r="B215" s="1125" t="str">
        <f t="shared" ca="1" si="58"/>
        <v>-</v>
      </c>
      <c r="C215" s="1125"/>
      <c r="D215" s="581" t="str">
        <f t="shared" ca="1" si="59"/>
        <v>-</v>
      </c>
      <c r="E215" s="581" t="str">
        <f t="shared" ca="1" si="60"/>
        <v>-</v>
      </c>
      <c r="F215" s="581" t="str">
        <f t="shared" ca="1" si="61"/>
        <v>-</v>
      </c>
      <c r="G215" s="581" t="str">
        <f t="shared" ca="1" si="62"/>
        <v>-</v>
      </c>
      <c r="H215" s="581" t="str">
        <f t="shared" ca="1" si="63"/>
        <v>-</v>
      </c>
      <c r="I215" s="581" t="s">
        <v>6</v>
      </c>
      <c r="N215" s="403"/>
      <c r="O215" s="405">
        <f t="shared" ca="1" si="45"/>
        <v>0</v>
      </c>
      <c r="P215" s="403"/>
      <c r="Q215" s="417">
        <f ca="1">IF(S215&gt;0,INDIRECT("ТИП8!"&amp;"$P$124"),0)</f>
        <v>0</v>
      </c>
      <c r="R215" s="418" t="s">
        <v>6</v>
      </c>
      <c r="S215" s="418">
        <f ca="1">IFERROR(INDIRECT("ТИП8!"&amp;"$S$125"),0)</f>
        <v>0</v>
      </c>
      <c r="T215" s="418" t="s">
        <v>6</v>
      </c>
      <c r="U215" s="418" t="s">
        <v>6</v>
      </c>
      <c r="V215" s="418" t="s">
        <v>6</v>
      </c>
      <c r="W215" s="418" t="s">
        <v>6</v>
      </c>
      <c r="X215" s="417">
        <f ca="1">IF(Z215&gt;0,INDIRECT("ТИП8!"&amp;"$P$160"),0)</f>
        <v>0</v>
      </c>
      <c r="Y215" s="418" t="s">
        <v>6</v>
      </c>
      <c r="Z215" s="418">
        <f ca="1">IFERROR(INDIRECT("ТИП8!"&amp;"$S$161"),0)</f>
        <v>0</v>
      </c>
      <c r="AA215" s="418" t="s">
        <v>6</v>
      </c>
      <c r="AB215" s="418" t="s">
        <v>6</v>
      </c>
      <c r="AC215" s="418" t="s">
        <v>6</v>
      </c>
      <c r="AD215" s="418" t="s">
        <v>6</v>
      </c>
      <c r="AE215" s="412" t="s">
        <v>571</v>
      </c>
    </row>
    <row r="216" spans="2:31" s="385" customFormat="1" ht="15.75" hidden="1" customHeight="1">
      <c r="B216" s="1518" t="s">
        <v>502</v>
      </c>
      <c r="C216" s="1518"/>
      <c r="D216" s="1518"/>
      <c r="E216" s="1518"/>
      <c r="F216" s="1518"/>
      <c r="G216" s="1518"/>
      <c r="H216" s="1518"/>
      <c r="I216" s="1518"/>
      <c r="N216" s="403"/>
      <c r="O216" s="405">
        <f ca="1">IF(SUM(O217:O232)&gt;0,1,0)</f>
        <v>0</v>
      </c>
      <c r="P216" s="403"/>
      <c r="Q216" s="1488" t="s">
        <v>527</v>
      </c>
      <c r="R216" s="1489"/>
      <c r="S216" s="1489"/>
      <c r="T216" s="1489"/>
      <c r="U216" s="1489"/>
      <c r="V216" s="432" t="str">
        <f ca="1">INDIRECT("ТИП9!"&amp;"$Z$4")</f>
        <v>-</v>
      </c>
      <c r="W216" s="431" t="str">
        <f ca="1">IF(INDIRECT("ТИП9!"&amp;"$Z$4")=1,"●","")</f>
        <v/>
      </c>
      <c r="X216" s="1490" t="s">
        <v>528</v>
      </c>
      <c r="Y216" s="1491"/>
      <c r="Z216" s="1491"/>
      <c r="AA216" s="1491"/>
      <c r="AB216" s="1491"/>
      <c r="AC216" s="433" t="str">
        <f ca="1">INDIRECT("ТИП9!"&amp;"$Z$3")</f>
        <v>-</v>
      </c>
      <c r="AD216" s="434" t="str">
        <f ca="1">IF(INDIRECT("ТИП9!"&amp;"$Z$3")=1,"●","")</f>
        <v/>
      </c>
    </row>
    <row r="217" spans="2:31" s="385" customFormat="1" ht="15.75" hidden="1" customHeight="1">
      <c r="B217" s="1125" t="str">
        <f t="shared" ref="B217:B232" ca="1" si="64">IF(AND($V$216=1,Q217&gt;0),Q217,IF(AND($AC$217=1,X217&gt;0),X217,"-"))</f>
        <v>-</v>
      </c>
      <c r="C217" s="1125"/>
      <c r="D217" s="581" t="str">
        <f t="shared" ref="D217:D232" ca="1" si="65">IF(AND($V$216=1,S217&gt;0),S217,IF(AND($AC$217=1,Z217&gt;0),Z217,"-"))</f>
        <v>-</v>
      </c>
      <c r="E217" s="581" t="str">
        <f t="shared" ref="E217:E232" ca="1" si="66">IF(AND($V$216=1,T217&gt;0),T217,IF(AND($AC$217=1,AA217&gt;0),AA217,"-"))</f>
        <v>-</v>
      </c>
      <c r="F217" s="581" t="str">
        <f t="shared" ref="F217:F232" ca="1" si="67">IF(AND($V$216=1,U217&gt;0),U217,IF(AND($AC$217=1,AB217&gt;0),AB217,"-"))</f>
        <v>-</v>
      </c>
      <c r="G217" s="581" t="str">
        <f t="shared" ref="G217:G232" ca="1" si="68">IF(AND($V$216=1,V217&gt;0),V217,IF(AND($AC$217=1,AC217&gt;0),AC217,"-"))</f>
        <v>-</v>
      </c>
      <c r="H217" s="581" t="str">
        <f t="shared" ref="H217:H232" ca="1" si="69">IF(AND($V$216=1,W217&gt;0),W217,IF(AND($AC$217=1,AD217&gt;0),AD217,"-"))</f>
        <v>-</v>
      </c>
      <c r="I217" s="706" t="str">
        <f ca="1">IF(AND(R217&gt;0,$V$216=1),IF(OR(R217=1,R217=2),HYPERLINK($AH$83,$AM$83),IF(R217&gt;=3,HYPERLINK($AH$82,$AM$82))),IF(AND(Y217&gt;0,$AC$216=1),HYPERLINK($AH$81,$AM$81),""))</f>
        <v/>
      </c>
      <c r="N217" s="403"/>
      <c r="O217" s="405">
        <f t="shared" ca="1" si="45"/>
        <v>0</v>
      </c>
      <c r="P217" s="403"/>
      <c r="Q217" s="413">
        <f ca="1">IF(S217&gt;0,INDIRECT("ТИП9!"&amp;"$P$81"),0)</f>
        <v>0</v>
      </c>
      <c r="R217" s="414">
        <f ca="1">IFERROR(INDIRECT("ТИП9!"&amp;"$AN$81"),0)</f>
        <v>0</v>
      </c>
      <c r="S217" s="414">
        <f ca="1">IFERROR(INDIRECT("ТИП9!"&amp;"$T$81"),0)</f>
        <v>0</v>
      </c>
      <c r="T217" s="414">
        <f ca="1">IFERROR(INDIRECT("ТИП9!"&amp;"$R$81"),0)</f>
        <v>0</v>
      </c>
      <c r="U217" s="414">
        <f ca="1">IFERROR(INDIRECT("ТИП9!"&amp;"$S$81"),0)</f>
        <v>0</v>
      </c>
      <c r="V217" s="414">
        <f ca="1">IFERROR(INDIRECT("ТИП9!"&amp;"$U$81"),0)</f>
        <v>0</v>
      </c>
      <c r="W217" s="414">
        <f ca="1">IFERROR(INDIRECT("ТИП9!"&amp;"$V$81"),0)</f>
        <v>0</v>
      </c>
      <c r="X217" s="415">
        <f ca="1">IF(Z217&gt;0,INDIRECT("ТИП9!"&amp;"$P$133"),0)</f>
        <v>0</v>
      </c>
      <c r="Y217" s="414">
        <f ca="1">IFERROR(INDIRECT("ТИП9!"&amp;"$AN$133"),0)</f>
        <v>0</v>
      </c>
      <c r="Z217" s="416">
        <f ca="1">IFERROR(INDIRECT("ТИП9!"&amp;"$T$133"),0)</f>
        <v>0</v>
      </c>
      <c r="AA217" s="414">
        <f ca="1">IFERROR(INDIRECT("ТИП9!"&amp;"$R$133"),0)</f>
        <v>0</v>
      </c>
      <c r="AB217" s="414">
        <f ca="1">IFERROR(INDIRECT("ТИП9!"&amp;"$S$133"),0)</f>
        <v>0</v>
      </c>
      <c r="AC217" s="414">
        <f ca="1">IFERROR(INDIRECT("ТИП9!"&amp;"$U$133"),0)</f>
        <v>0</v>
      </c>
      <c r="AD217" s="414">
        <f ca="1">IFERROR(INDIRECT("ТИП9!"&amp;"$V$133"),0)</f>
        <v>0</v>
      </c>
      <c r="AE217" s="1517" t="s">
        <v>567</v>
      </c>
    </row>
    <row r="218" spans="2:31" s="385" customFormat="1" ht="15.75" hidden="1" customHeight="1">
      <c r="B218" s="1125" t="str">
        <f t="shared" ca="1" si="64"/>
        <v>-</v>
      </c>
      <c r="C218" s="1125"/>
      <c r="D218" s="581" t="str">
        <f t="shared" ca="1" si="65"/>
        <v>-</v>
      </c>
      <c r="E218" s="581" t="str">
        <f t="shared" ca="1" si="66"/>
        <v>-</v>
      </c>
      <c r="F218" s="581" t="str">
        <f t="shared" ca="1" si="67"/>
        <v>-</v>
      </c>
      <c r="G218" s="581" t="str">
        <f t="shared" ca="1" si="68"/>
        <v>-</v>
      </c>
      <c r="H218" s="581" t="str">
        <f t="shared" ca="1" si="69"/>
        <v>-</v>
      </c>
      <c r="I218" s="706" t="str">
        <f ca="1">IF(AND(R218&gt;0,$V$216=1),IF(OR(R218=1,R218=2),HYPERLINK($AH$83,$AM$83),IF(R218&gt;=3,HYPERLINK($AH$82,$AM$82))),IF(AND(Y218&gt;0,$AC$216=1),HYPERLINK($AH$81,$AM$81),""))</f>
        <v/>
      </c>
      <c r="N218" s="403"/>
      <c r="O218" s="405">
        <f t="shared" ca="1" si="45"/>
        <v>0</v>
      </c>
      <c r="P218" s="403"/>
      <c r="Q218" s="413">
        <f ca="1">IF(S218&gt;0,INDIRECT("ТИП9!"&amp;"$P$82"),0)</f>
        <v>0</v>
      </c>
      <c r="R218" s="414">
        <f ca="1">IFERROR(INDIRECT("ТИП9!"&amp;"$AN$82"),0)</f>
        <v>0</v>
      </c>
      <c r="S218" s="414">
        <f ca="1">IFERROR(INDIRECT("ТИП9!"&amp;"$T$82"),0)</f>
        <v>0</v>
      </c>
      <c r="T218" s="414">
        <f ca="1">IFERROR(INDIRECT("ТИП9!"&amp;"$R$82"),0)</f>
        <v>0</v>
      </c>
      <c r="U218" s="414">
        <f ca="1">IFERROR(INDIRECT("ТИП9!"&amp;"$S$82"),0)</f>
        <v>0</v>
      </c>
      <c r="V218" s="414">
        <f ca="1">IFERROR(INDIRECT("ТИП9!"&amp;"$U$82"),0)</f>
        <v>0</v>
      </c>
      <c r="W218" s="414">
        <f ca="1">IFERROR(INDIRECT("ТИП9!"&amp;"$V$82"),0)</f>
        <v>0</v>
      </c>
      <c r="X218" s="413">
        <f ca="1">IF(Z218&gt;0,INDIRECT("ТИП9!"&amp;"$P$134"),0)</f>
        <v>0</v>
      </c>
      <c r="Y218" s="414">
        <f ca="1">IFERROR(INDIRECT("ТИП9!"&amp;"$AN$134"),0)</f>
        <v>0</v>
      </c>
      <c r="Z218" s="414">
        <f ca="1">IFERROR(INDIRECT("ТИП9!"&amp;"$T$134"),0)</f>
        <v>0</v>
      </c>
      <c r="AA218" s="414">
        <f ca="1">IFERROR(INDIRECT("ТИП9!"&amp;"$R$134"),0)</f>
        <v>0</v>
      </c>
      <c r="AB218" s="414">
        <f ca="1">IFERROR(INDIRECT("ТИП9!"&amp;"$S$134"),0)</f>
        <v>0</v>
      </c>
      <c r="AC218" s="414">
        <f ca="1">IFERROR(INDIRECT("ТИП9!"&amp;"$U$134"),0)</f>
        <v>0</v>
      </c>
      <c r="AD218" s="414">
        <f ca="1">IFERROR(INDIRECT("ТИП9!"&amp;"$V$134"),0)</f>
        <v>0</v>
      </c>
      <c r="AE218" s="1517"/>
    </row>
    <row r="219" spans="2:31" s="385" customFormat="1" ht="15.75" hidden="1" customHeight="1">
      <c r="B219" s="1125" t="str">
        <f t="shared" ca="1" si="64"/>
        <v>-</v>
      </c>
      <c r="C219" s="1125"/>
      <c r="D219" s="581" t="str">
        <f t="shared" ca="1" si="65"/>
        <v>-</v>
      </c>
      <c r="E219" s="581" t="str">
        <f t="shared" ca="1" si="66"/>
        <v>-</v>
      </c>
      <c r="F219" s="581" t="str">
        <f t="shared" ca="1" si="67"/>
        <v>-</v>
      </c>
      <c r="G219" s="581" t="str">
        <f t="shared" ca="1" si="68"/>
        <v>-</v>
      </c>
      <c r="H219" s="581" t="str">
        <f t="shared" ca="1" si="69"/>
        <v>-</v>
      </c>
      <c r="I219" s="706" t="str">
        <f ca="1">IF(AND(R219&gt;0,$V$216=1),IF(OR(R219=1,R219=2),HYPERLINK($AH$83,$AM$83),IF(R219&gt;=3,HYPERLINK($AH$82,$AM$82))),IF(AND(Y219&gt;0,$AC$216=1),HYPERLINK($AH$81,$AM$81),""))</f>
        <v/>
      </c>
      <c r="N219" s="403"/>
      <c r="O219" s="405">
        <f t="shared" ca="1" si="45"/>
        <v>0</v>
      </c>
      <c r="P219" s="403"/>
      <c r="Q219" s="413">
        <f ca="1">IF(S219&gt;0,INDIRECT("ТИП9!"&amp;"$P$83"),0)</f>
        <v>0</v>
      </c>
      <c r="R219" s="414">
        <f ca="1">IFERROR(INDIRECT("ТИП9!"&amp;"$AN$83"),0)</f>
        <v>0</v>
      </c>
      <c r="S219" s="414">
        <f ca="1">IFERROR(INDIRECT("ТИП9!"&amp;"$T$83"),0)</f>
        <v>0</v>
      </c>
      <c r="T219" s="414">
        <f ca="1">IFERROR(INDIRECT("ТИП9!"&amp;"$R$83"),0)</f>
        <v>0</v>
      </c>
      <c r="U219" s="414">
        <f ca="1">IFERROR(INDIRECT("ТИП9!"&amp;"$S$83"),0)</f>
        <v>0</v>
      </c>
      <c r="V219" s="414">
        <f ca="1">IFERROR(INDIRECT("ТИП9!"&amp;"$U$83"),0)</f>
        <v>0</v>
      </c>
      <c r="W219" s="414">
        <f ca="1">IFERROR(INDIRECT("ТИП9!"&amp;"$V$83"),0)</f>
        <v>0</v>
      </c>
      <c r="X219" s="413">
        <f ca="1">IF(Z219&gt;0,INDIRECT("ТИП9!"&amp;"$P$135"),0)</f>
        <v>0</v>
      </c>
      <c r="Y219" s="414">
        <f ca="1">IFERROR(INDIRECT("ТИП9!"&amp;"$AN$135"),0)</f>
        <v>0</v>
      </c>
      <c r="Z219" s="414">
        <f ca="1">IFERROR(INDIRECT("ТИП9!"&amp;"$T$135"),0)</f>
        <v>0</v>
      </c>
      <c r="AA219" s="414">
        <f ca="1">IFERROR(INDIRECT("ТИП9!"&amp;"$R$135"),0)</f>
        <v>0</v>
      </c>
      <c r="AB219" s="414">
        <f ca="1">IFERROR(INDIRECT("ТИП9!"&amp;"$S$135"),0)</f>
        <v>0</v>
      </c>
      <c r="AC219" s="414">
        <f ca="1">IFERROR(INDIRECT("ТИП9!"&amp;"$U$135"),0)</f>
        <v>0</v>
      </c>
      <c r="AD219" s="414">
        <f ca="1">IFERROR(INDIRECT("ТИП9!"&amp;"$V$135"),0)</f>
        <v>0</v>
      </c>
      <c r="AE219" s="1517"/>
    </row>
    <row r="220" spans="2:31" s="385" customFormat="1" ht="15.75" hidden="1" customHeight="1">
      <c r="B220" s="1125" t="str">
        <f t="shared" ca="1" si="64"/>
        <v>-</v>
      </c>
      <c r="C220" s="1125"/>
      <c r="D220" s="581" t="str">
        <f t="shared" ca="1" si="65"/>
        <v>-</v>
      </c>
      <c r="E220" s="581" t="str">
        <f t="shared" ca="1" si="66"/>
        <v>-</v>
      </c>
      <c r="F220" s="581" t="str">
        <f t="shared" ca="1" si="67"/>
        <v>-</v>
      </c>
      <c r="G220" s="581" t="str">
        <f t="shared" ca="1" si="68"/>
        <v>-</v>
      </c>
      <c r="H220" s="581" t="str">
        <f t="shared" ca="1" si="69"/>
        <v>-</v>
      </c>
      <c r="I220" s="706" t="str">
        <f ca="1">IF(AND(R220&gt;0,$V$216=1),IF(OR(R220=1,R220=2),HYPERLINK($AH$83,$AM$83),IF(R220&gt;=3,HYPERLINK($AH$82,$AM$82))),IF(AND(Y220&gt;0,$AC$216=1),HYPERLINK($AH$81,$AM$81),""))</f>
        <v/>
      </c>
      <c r="N220" s="403"/>
      <c r="O220" s="405">
        <f t="shared" ca="1" si="45"/>
        <v>0</v>
      </c>
      <c r="P220" s="403"/>
      <c r="Q220" s="413">
        <f ca="1">IF(S220&gt;0,INDIRECT("ТИП9!"&amp;"$P$84"),0)</f>
        <v>0</v>
      </c>
      <c r="R220" s="414">
        <f ca="1">IFERROR(INDIRECT("ТИП9!"&amp;"$AN$84"),0)</f>
        <v>0</v>
      </c>
      <c r="S220" s="414">
        <f ca="1">IFERROR(INDIRECT("ТИП9!"&amp;"$T$84"),0)</f>
        <v>0</v>
      </c>
      <c r="T220" s="414">
        <f ca="1">IFERROR(INDIRECT("ТИП9!"&amp;"$R$84"),0)</f>
        <v>0</v>
      </c>
      <c r="U220" s="414">
        <f ca="1">IFERROR(INDIRECT("ТИП9!"&amp;"$S$84"),0)</f>
        <v>0</v>
      </c>
      <c r="V220" s="414">
        <f ca="1">IFERROR(INDIRECT("ТИП9!"&amp;"$U$84"),0)</f>
        <v>0</v>
      </c>
      <c r="W220" s="414">
        <f ca="1">IFERROR(INDIRECT("ТИП9!"&amp;"$V$84"),0)</f>
        <v>0</v>
      </c>
      <c r="X220" s="413">
        <f ca="1">IF(Z220&gt;0,INDIRECT("ТИП9!"&amp;"$P$136"),0)</f>
        <v>0</v>
      </c>
      <c r="Y220" s="414">
        <f ca="1">IFERROR(INDIRECT("ТИП9!"&amp;"$AN$136"),0)</f>
        <v>0</v>
      </c>
      <c r="Z220" s="414">
        <f ca="1">IFERROR(INDIRECT("ТИП9!"&amp;"$T$136"),0)</f>
        <v>0</v>
      </c>
      <c r="AA220" s="414">
        <f ca="1">IFERROR(INDIRECT("ТИП9!"&amp;"$R$136"),0)</f>
        <v>0</v>
      </c>
      <c r="AB220" s="414">
        <f ca="1">IFERROR(INDIRECT("ТИП9!"&amp;"$S$136"),0)</f>
        <v>0</v>
      </c>
      <c r="AC220" s="414">
        <f ca="1">IFERROR(INDIRECT("ТИП9!"&amp;"$U$136"),0)</f>
        <v>0</v>
      </c>
      <c r="AD220" s="414">
        <f ca="1">IFERROR(INDIRECT("ТИП9!"&amp;"$V$136"),0)</f>
        <v>0</v>
      </c>
      <c r="AE220" s="1517"/>
    </row>
    <row r="221" spans="2:31" s="385" customFormat="1" ht="15.75" hidden="1" customHeight="1">
      <c r="B221" s="1125" t="str">
        <f t="shared" ca="1" si="64"/>
        <v>-</v>
      </c>
      <c r="C221" s="1125"/>
      <c r="D221" s="581" t="str">
        <f t="shared" ca="1" si="65"/>
        <v>-</v>
      </c>
      <c r="E221" s="581" t="str">
        <f t="shared" ca="1" si="66"/>
        <v>-</v>
      </c>
      <c r="F221" s="581" t="str">
        <f t="shared" ca="1" si="67"/>
        <v>-</v>
      </c>
      <c r="G221" s="581" t="str">
        <f t="shared" ca="1" si="68"/>
        <v>-</v>
      </c>
      <c r="H221" s="581" t="str">
        <f t="shared" ca="1" si="69"/>
        <v>-</v>
      </c>
      <c r="I221" s="706" t="str">
        <f ca="1">IF(AND(R221&gt;0,$V$216=1),IF(OR(R221=1,R221=2),HYPERLINK($AH$83,$AM$83),IF(R221&gt;=3,HYPERLINK($AH$82,$AM$82))),IF(AND(Y221&gt;0,$AC$216=1),HYPERLINK($AH$81,$AM$81),""))</f>
        <v/>
      </c>
      <c r="N221" s="403"/>
      <c r="O221" s="405">
        <f t="shared" ca="1" si="45"/>
        <v>0</v>
      </c>
      <c r="P221" s="403"/>
      <c r="Q221" s="413">
        <f ca="1">IF(S221&gt;0,INDIRECT("ТИП9!"&amp;"$P$85"),0)</f>
        <v>0</v>
      </c>
      <c r="R221" s="414">
        <f ca="1">IFERROR(INDIRECT("ТИП9!"&amp;"$AN$85"),0)</f>
        <v>0</v>
      </c>
      <c r="S221" s="414">
        <f ca="1">IFERROR(INDIRECT("ТИП9!"&amp;"$T$85"),0)</f>
        <v>0</v>
      </c>
      <c r="T221" s="414">
        <f ca="1">IFERROR(INDIRECT("ТИП9!"&amp;"$R$85"),0)</f>
        <v>0</v>
      </c>
      <c r="U221" s="414">
        <f ca="1">IFERROR(INDIRECT("ТИП9!"&amp;"$S$85"),0)</f>
        <v>0</v>
      </c>
      <c r="V221" s="414">
        <f ca="1">IFERROR(INDIRECT("ТИП9!"&amp;"$U$85"),0)</f>
        <v>0</v>
      </c>
      <c r="W221" s="414">
        <f ca="1">IFERROR(INDIRECT("ТИП9!"&amp;"$V$85"),0)</f>
        <v>0</v>
      </c>
      <c r="X221" s="413">
        <f ca="1">IF(Z221&gt;0,INDIRECT("ТИП9!"&amp;"$P$137"),0)</f>
        <v>0</v>
      </c>
      <c r="Y221" s="414">
        <f ca="1">IFERROR(INDIRECT("ТИП9!"&amp;"$AN$137"),0)</f>
        <v>0</v>
      </c>
      <c r="Z221" s="414">
        <f ca="1">IFERROR(INDIRECT("ТИП9!"&amp;"$T$137"),0)</f>
        <v>0</v>
      </c>
      <c r="AA221" s="414">
        <f ca="1">IFERROR(INDIRECT("ТИП9!"&amp;"$R$137"),0)</f>
        <v>0</v>
      </c>
      <c r="AB221" s="414">
        <f ca="1">IFERROR(INDIRECT("ТИП9!"&amp;"$S$137"),0)</f>
        <v>0</v>
      </c>
      <c r="AC221" s="414">
        <f ca="1">IFERROR(INDIRECT("ТИП9!"&amp;"$U$137"),0)</f>
        <v>0</v>
      </c>
      <c r="AD221" s="414">
        <f ca="1">IFERROR(INDIRECT("ТИП9!"&amp;"$V$137"),0)</f>
        <v>0</v>
      </c>
      <c r="AE221" s="1517"/>
    </row>
    <row r="222" spans="2:31" s="385" customFormat="1" ht="15.75" hidden="1" customHeight="1">
      <c r="B222" s="1125" t="str">
        <f t="shared" ca="1" si="64"/>
        <v>-</v>
      </c>
      <c r="C222" s="1125"/>
      <c r="D222" s="581" t="str">
        <f t="shared" ca="1" si="65"/>
        <v>-</v>
      </c>
      <c r="E222" s="581" t="str">
        <f t="shared" ca="1" si="66"/>
        <v>-</v>
      </c>
      <c r="F222" s="581" t="str">
        <f t="shared" ca="1" si="67"/>
        <v>-</v>
      </c>
      <c r="G222" s="581" t="str">
        <f t="shared" ca="1" si="68"/>
        <v>-</v>
      </c>
      <c r="H222" s="581" t="str">
        <f t="shared" ca="1" si="69"/>
        <v>-</v>
      </c>
      <c r="I222" s="706" t="str">
        <f ca="1">IF(AND(R222&gt;0,$V$216=1),IF(OR(R222=1,R222=2),HYPERLINK($AH$85,$AM$85),IF(R222&gt;=3,HYPERLINK($AH$86,$AM$86))),IF(AND(Y222&gt;0,$AC$216=1),HYPERLINK($AH$84,$AM$84),""))</f>
        <v/>
      </c>
      <c r="N222" s="403"/>
      <c r="O222" s="405">
        <f t="shared" ca="1" si="45"/>
        <v>0</v>
      </c>
      <c r="P222" s="403"/>
      <c r="Q222" s="421">
        <f ca="1">IF(S222&gt;0,INDIRECT("ТИП9!"&amp;"$P$88"),0)</f>
        <v>0</v>
      </c>
      <c r="R222" s="422">
        <f ca="1">IFERROR(INDIRECT("ТИП9!"&amp;"$AN$88"),0)</f>
        <v>0</v>
      </c>
      <c r="S222" s="422">
        <f ca="1">IFERROR(INDIRECT("ТИП9!"&amp;"$T$88"),0)</f>
        <v>0</v>
      </c>
      <c r="T222" s="422">
        <f ca="1">IFERROR(INDIRECT("ТИП9!"&amp;"$R$88"),0)</f>
        <v>0</v>
      </c>
      <c r="U222" s="422">
        <f ca="1">IFERROR(INDIRECT("ТИП9!"&amp;"$S$88"),0)</f>
        <v>0</v>
      </c>
      <c r="V222" s="422">
        <f ca="1">IFERROR(INDIRECT("ТИП9!"&amp;"$U$88"),0)</f>
        <v>0</v>
      </c>
      <c r="W222" s="422">
        <f ca="1">IFERROR(INDIRECT("ТИП9!"&amp;"$V$88"),0)</f>
        <v>0</v>
      </c>
      <c r="X222" s="421">
        <f ca="1">IF(Z222&gt;0,INDIRECT("ТИП9!"&amp;"$P$141"),0)</f>
        <v>0</v>
      </c>
      <c r="Y222" s="422">
        <f ca="1">IFERROR(INDIRECT("ТИП9!"&amp;"$AN$141"),0)</f>
        <v>0</v>
      </c>
      <c r="Z222" s="422">
        <f ca="1">IFERROR(INDIRECT("ТИП9!"&amp;"$T$141"),0)</f>
        <v>0</v>
      </c>
      <c r="AA222" s="422">
        <f ca="1">IFERROR(INDIRECT("ТИП9!"&amp;"$R$141"),0)</f>
        <v>0</v>
      </c>
      <c r="AB222" s="422">
        <f ca="1">IFERROR(INDIRECT("ТИП9!"&amp;"$S$141"),0)</f>
        <v>0</v>
      </c>
      <c r="AC222" s="422">
        <f ca="1">IFERROR(INDIRECT("ТИП9!"&amp;"$U$141"),0)</f>
        <v>0</v>
      </c>
      <c r="AD222" s="422">
        <f ca="1">IFERROR(INDIRECT("ТИП9!"&amp;"$V$141"),0)</f>
        <v>0</v>
      </c>
      <c r="AE222" s="1515" t="s">
        <v>568</v>
      </c>
    </row>
    <row r="223" spans="2:31" s="385" customFormat="1" ht="15.75" hidden="1" customHeight="1">
      <c r="B223" s="1125" t="str">
        <f t="shared" ca="1" si="64"/>
        <v>-</v>
      </c>
      <c r="C223" s="1125"/>
      <c r="D223" s="581" t="str">
        <f t="shared" ca="1" si="65"/>
        <v>-</v>
      </c>
      <c r="E223" s="581" t="str">
        <f t="shared" ca="1" si="66"/>
        <v>-</v>
      </c>
      <c r="F223" s="581" t="str">
        <f t="shared" ca="1" si="67"/>
        <v>-</v>
      </c>
      <c r="G223" s="581" t="str">
        <f t="shared" ca="1" si="68"/>
        <v>-</v>
      </c>
      <c r="H223" s="581" t="str">
        <f t="shared" ca="1" si="69"/>
        <v>-</v>
      </c>
      <c r="I223" s="706" t="str">
        <f ca="1">IF(AND(R223&gt;0,$V$216=1),IF(OR(R223=1,R223=2),HYPERLINK($AH$85,$AM$85),IF(R223&gt;=3,HYPERLINK($AH$86,$AM$86))),IF(AND(Y223&gt;0,$AC$216=1),HYPERLINK($AH$84,$AM$84),""))</f>
        <v/>
      </c>
      <c r="N223" s="403"/>
      <c r="O223" s="405">
        <f t="shared" ca="1" si="45"/>
        <v>0</v>
      </c>
      <c r="P223" s="403"/>
      <c r="Q223" s="421">
        <f ca="1">IF(S223&gt;0,INDIRECT("ТИП9!"&amp;"$P$89"),0)</f>
        <v>0</v>
      </c>
      <c r="R223" s="422">
        <f ca="1">IFERROR(INDIRECT("ТИП9!"&amp;"$AN$89"),0)</f>
        <v>0</v>
      </c>
      <c r="S223" s="422">
        <f ca="1">IFERROR(INDIRECT("ТИП9!"&amp;"$T$89"),0)</f>
        <v>0</v>
      </c>
      <c r="T223" s="422">
        <f ca="1">IFERROR(INDIRECT("ТИП9!"&amp;"$R$89"),0)</f>
        <v>0</v>
      </c>
      <c r="U223" s="422">
        <f ca="1">IFERROR(INDIRECT("ТИП9!"&amp;"$S$89"),0)</f>
        <v>0</v>
      </c>
      <c r="V223" s="422">
        <f ca="1">IFERROR(INDIRECT("ТИП9!"&amp;"$U$89"),0)</f>
        <v>0</v>
      </c>
      <c r="W223" s="422">
        <f ca="1">IFERROR(INDIRECT("ТИП9!"&amp;"$V$89"),0)</f>
        <v>0</v>
      </c>
      <c r="X223" s="421">
        <f ca="1">IF(Z223&gt;0,INDIRECT("ТИП9!"&amp;"$P$142"),0)</f>
        <v>0</v>
      </c>
      <c r="Y223" s="422">
        <f ca="1">IFERROR(INDIRECT("ТИП9!"&amp;"$AN$142"),0)</f>
        <v>0</v>
      </c>
      <c r="Z223" s="422">
        <f ca="1">IFERROR(INDIRECT("ТИП9!"&amp;"$T$142"),0)</f>
        <v>0</v>
      </c>
      <c r="AA223" s="422">
        <f ca="1">IFERROR(INDIRECT("ТИП9!"&amp;"$R$142"),0)</f>
        <v>0</v>
      </c>
      <c r="AB223" s="422">
        <f ca="1">IFERROR(INDIRECT("ТИП9!"&amp;"$S$142"),0)</f>
        <v>0</v>
      </c>
      <c r="AC223" s="422">
        <f ca="1">IFERROR(INDIRECT("ТИП9!"&amp;"$U$142"),0)</f>
        <v>0</v>
      </c>
      <c r="AD223" s="422">
        <f ca="1">IFERROR(INDIRECT("ТИП9!"&amp;"$V$142"),0)</f>
        <v>0</v>
      </c>
      <c r="AE223" s="1515"/>
    </row>
    <row r="224" spans="2:31" s="385" customFormat="1" ht="15.75" hidden="1" customHeight="1">
      <c r="B224" s="1125" t="str">
        <f t="shared" ca="1" si="64"/>
        <v>-</v>
      </c>
      <c r="C224" s="1125"/>
      <c r="D224" s="581" t="str">
        <f t="shared" ca="1" si="65"/>
        <v>-</v>
      </c>
      <c r="E224" s="581" t="str">
        <f t="shared" ca="1" si="66"/>
        <v>-</v>
      </c>
      <c r="F224" s="581" t="str">
        <f t="shared" ca="1" si="67"/>
        <v>-</v>
      </c>
      <c r="G224" s="581" t="str">
        <f t="shared" ca="1" si="68"/>
        <v>-</v>
      </c>
      <c r="H224" s="581" t="str">
        <f t="shared" ca="1" si="69"/>
        <v>-</v>
      </c>
      <c r="I224" s="706" t="str">
        <f ca="1">IF(AND(R224&gt;0,$V$216=1),IF(OR(R224=1,R224=2),HYPERLINK($AH$85,$AM$85),IF(R224&gt;=3,HYPERLINK($AH$86,$AM$86))),IF(AND(Y224&gt;0,$AC$216=1),HYPERLINK($AH$84,$AM$84),""))</f>
        <v/>
      </c>
      <c r="N224" s="403"/>
      <c r="O224" s="405">
        <f t="shared" ca="1" si="45"/>
        <v>0</v>
      </c>
      <c r="P224" s="403"/>
      <c r="Q224" s="421">
        <f ca="1">IF(S224&gt;0,INDIRECT("ТИП9!"&amp;"$P$90"),0)</f>
        <v>0</v>
      </c>
      <c r="R224" s="422">
        <f ca="1">IFERROR(INDIRECT("ТИП9!"&amp;"$AN$90"),0)</f>
        <v>0</v>
      </c>
      <c r="S224" s="422">
        <f ca="1">IFERROR(INDIRECT("ТИП9!"&amp;"$T$90"),0)</f>
        <v>0</v>
      </c>
      <c r="T224" s="422">
        <f ca="1">IFERROR(INDIRECT("ТИП9!"&amp;"$R$90"),0)</f>
        <v>0</v>
      </c>
      <c r="U224" s="422">
        <f ca="1">IFERROR(INDIRECT("ТИП9!"&amp;"$S$90"),0)</f>
        <v>0</v>
      </c>
      <c r="V224" s="422">
        <f ca="1">IFERROR(INDIRECT("ТИП9!"&amp;"$U$90"),0)</f>
        <v>0</v>
      </c>
      <c r="W224" s="422">
        <f ca="1">IFERROR(INDIRECT("ТИП9!"&amp;"$V$90"),0)</f>
        <v>0</v>
      </c>
      <c r="X224" s="421">
        <f ca="1">IF(Z224&gt;0,INDIRECT("ТИП9!"&amp;"$P$143"),0)</f>
        <v>0</v>
      </c>
      <c r="Y224" s="422">
        <f ca="1">IFERROR(INDIRECT("ТИП9!"&amp;"$AN$143"),0)</f>
        <v>0</v>
      </c>
      <c r="Z224" s="422">
        <f ca="1">IFERROR(INDIRECT("ТИП9!"&amp;"$T$143"),0)</f>
        <v>0</v>
      </c>
      <c r="AA224" s="422">
        <f ca="1">IFERROR(INDIRECT("ТИП9!"&amp;"$R$143"),0)</f>
        <v>0</v>
      </c>
      <c r="AB224" s="422">
        <f ca="1">IFERROR(INDIRECT("ТИП9!"&amp;"$S$143"),0)</f>
        <v>0</v>
      </c>
      <c r="AC224" s="422">
        <f ca="1">IFERROR(INDIRECT("ТИП9!"&amp;"$U$143"),0)</f>
        <v>0</v>
      </c>
      <c r="AD224" s="422">
        <f ca="1">IFERROR(INDIRECT("ТИП9!"&amp;"$V$143"),0)</f>
        <v>0</v>
      </c>
      <c r="AE224" s="1515"/>
    </row>
    <row r="225" spans="2:31" s="385" customFormat="1" ht="15.75" hidden="1" customHeight="1">
      <c r="B225" s="1125" t="str">
        <f t="shared" ca="1" si="64"/>
        <v>-</v>
      </c>
      <c r="C225" s="1125"/>
      <c r="D225" s="581" t="str">
        <f t="shared" ca="1" si="65"/>
        <v>-</v>
      </c>
      <c r="E225" s="581" t="str">
        <f t="shared" ca="1" si="66"/>
        <v>-</v>
      </c>
      <c r="F225" s="581" t="str">
        <f t="shared" ca="1" si="67"/>
        <v>-</v>
      </c>
      <c r="G225" s="581" t="str">
        <f t="shared" ca="1" si="68"/>
        <v>-</v>
      </c>
      <c r="H225" s="581" t="str">
        <f t="shared" ca="1" si="69"/>
        <v>-</v>
      </c>
      <c r="I225" s="706" t="str">
        <f ca="1">IF(AND(R225&gt;0,$V$216=1),IF(OR(R225=1,R225=2),HYPERLINK($AH$85,$AM$85),IF(R225&gt;=3,HYPERLINK($AH$86,$AM$86))),IF(AND(Y225&gt;0,$AC$216=1),HYPERLINK($AH$84,$AM$84),""))</f>
        <v/>
      </c>
      <c r="N225" s="403"/>
      <c r="O225" s="405">
        <f t="shared" ca="1" si="45"/>
        <v>0</v>
      </c>
      <c r="P225" s="403"/>
      <c r="Q225" s="421">
        <f ca="1">IF(S225&gt;0,INDIRECT("ТИП9!"&amp;"$P$91"),0)</f>
        <v>0</v>
      </c>
      <c r="R225" s="422">
        <f ca="1">IFERROR(INDIRECT("ТИП9!"&amp;"$AN$91"),0)</f>
        <v>0</v>
      </c>
      <c r="S225" s="422">
        <f ca="1">IFERROR(INDIRECT("ТИП9!"&amp;"$T$91"),0)</f>
        <v>0</v>
      </c>
      <c r="T225" s="422">
        <f ca="1">IFERROR(INDIRECT("ТИП9!"&amp;"$R$91"),0)</f>
        <v>0</v>
      </c>
      <c r="U225" s="422">
        <f ca="1">IFERROR(INDIRECT("ТИП9!"&amp;"$S$91"),0)</f>
        <v>0</v>
      </c>
      <c r="V225" s="422">
        <f ca="1">IFERROR(INDIRECT("ТИП9!"&amp;"$U$91"),0)</f>
        <v>0</v>
      </c>
      <c r="W225" s="422">
        <f ca="1">IFERROR(INDIRECT("ТИП9!"&amp;"$V$91"),0)</f>
        <v>0</v>
      </c>
      <c r="X225" s="421">
        <f ca="1">IF(Z225&gt;0,INDIRECT("ТИП9!"&amp;"$P$144"),0)</f>
        <v>0</v>
      </c>
      <c r="Y225" s="422">
        <f ca="1">IFERROR(INDIRECT("ТИП9!"&amp;"$AN$144"),0)</f>
        <v>0</v>
      </c>
      <c r="Z225" s="422">
        <f ca="1">IFERROR(INDIRECT("ТИП9!"&amp;"$T$144"),0)</f>
        <v>0</v>
      </c>
      <c r="AA225" s="422">
        <f ca="1">IFERROR(INDIRECT("ТИП9!"&amp;"$R$144"),0)</f>
        <v>0</v>
      </c>
      <c r="AB225" s="422">
        <f ca="1">IFERROR(INDIRECT("ТИП9!"&amp;"$S$144"),0)</f>
        <v>0</v>
      </c>
      <c r="AC225" s="422">
        <f ca="1">IFERROR(INDIRECT("ТИП9!"&amp;"$U$144"),0)</f>
        <v>0</v>
      </c>
      <c r="AD225" s="422">
        <f ca="1">IFERROR(INDIRECT("ТИП9!"&amp;"$V$144"),0)</f>
        <v>0</v>
      </c>
      <c r="AE225" s="1515"/>
    </row>
    <row r="226" spans="2:31" s="385" customFormat="1" ht="15.75" hidden="1" customHeight="1">
      <c r="B226" s="1125" t="str">
        <f t="shared" ca="1" si="64"/>
        <v>-</v>
      </c>
      <c r="C226" s="1125"/>
      <c r="D226" s="581" t="str">
        <f t="shared" ca="1" si="65"/>
        <v>-</v>
      </c>
      <c r="E226" s="581" t="str">
        <f t="shared" ca="1" si="66"/>
        <v>-</v>
      </c>
      <c r="F226" s="581" t="str">
        <f t="shared" ca="1" si="67"/>
        <v>-</v>
      </c>
      <c r="G226" s="581" t="str">
        <f t="shared" ca="1" si="68"/>
        <v>-</v>
      </c>
      <c r="H226" s="581" t="str">
        <f t="shared" ca="1" si="69"/>
        <v>-</v>
      </c>
      <c r="I226" s="706" t="str">
        <f ca="1">IF(AND(R226&gt;0,$V$216=1),IF(OR(R226=1,R226=2),HYPERLINK($AH$85,$AM$85),IF(R226&gt;=3,HYPERLINK($AH$86,$AM$86))),IF(AND(Y226&gt;0,$AC$216=1),HYPERLINK($AH$84,$AM$84),""))</f>
        <v/>
      </c>
      <c r="N226" s="403"/>
      <c r="O226" s="405">
        <f t="shared" ca="1" si="45"/>
        <v>0</v>
      </c>
      <c r="P226" s="403"/>
      <c r="Q226" s="421">
        <f ca="1">IF(S226&gt;0,INDIRECT("ТИП9!"&amp;"$P$92"),0)</f>
        <v>0</v>
      </c>
      <c r="R226" s="422">
        <f ca="1">IFERROR(INDIRECT("ТИП9!"&amp;"$AN$92"),0)</f>
        <v>0</v>
      </c>
      <c r="S226" s="422">
        <f ca="1">IFERROR(INDIRECT("ТИП9!"&amp;"$T$92"),0)</f>
        <v>0</v>
      </c>
      <c r="T226" s="422">
        <f ca="1">IFERROR(INDIRECT("ТИП9!"&amp;"$R$92"),0)</f>
        <v>0</v>
      </c>
      <c r="U226" s="422">
        <f ca="1">IFERROR(INDIRECT("ТИП9!"&amp;"$S$92"),0)</f>
        <v>0</v>
      </c>
      <c r="V226" s="422">
        <f ca="1">IFERROR(INDIRECT("ТИП9!"&amp;"$U$92"),0)</f>
        <v>0</v>
      </c>
      <c r="W226" s="422">
        <f ca="1">IFERROR(INDIRECT("ТИП9!"&amp;"$V$92"),0)</f>
        <v>0</v>
      </c>
      <c r="X226" s="421">
        <f ca="1">IF(Z226&gt;0,INDIRECT("ТИП9!"&amp;"$P$145"),0)</f>
        <v>0</v>
      </c>
      <c r="Y226" s="422">
        <f ca="1">IFERROR(INDIRECT("ТИП9!"&amp;"$AN$145"),0)</f>
        <v>0</v>
      </c>
      <c r="Z226" s="422">
        <f ca="1">IFERROR(INDIRECT("ТИП9!"&amp;"$T$145"),0)</f>
        <v>0</v>
      </c>
      <c r="AA226" s="422">
        <f ca="1">IFERROR(INDIRECT("ТИП9!"&amp;"$R$145"),0)</f>
        <v>0</v>
      </c>
      <c r="AB226" s="422">
        <f ca="1">IFERROR(INDIRECT("ТИП9!"&amp;"$S$145"),0)</f>
        <v>0</v>
      </c>
      <c r="AC226" s="422">
        <f ca="1">IFERROR(INDIRECT("ТИП9!"&amp;"$U$145"),0)</f>
        <v>0</v>
      </c>
      <c r="AD226" s="422">
        <f ca="1">IFERROR(INDIRECT("ТИП9!"&amp;"$V$145"),0)</f>
        <v>0</v>
      </c>
      <c r="AE226" s="1515"/>
    </row>
    <row r="227" spans="2:31" s="385" customFormat="1" ht="15.75" hidden="1" customHeight="1">
      <c r="B227" s="1125" t="str">
        <f t="shared" ca="1" si="64"/>
        <v>-</v>
      </c>
      <c r="C227" s="1125"/>
      <c r="D227" s="581" t="str">
        <f t="shared" ca="1" si="65"/>
        <v>-</v>
      </c>
      <c r="E227" s="581" t="str">
        <f t="shared" ca="1" si="66"/>
        <v>-</v>
      </c>
      <c r="F227" s="581" t="str">
        <f t="shared" ca="1" si="67"/>
        <v>-</v>
      </c>
      <c r="G227" s="581" t="str">
        <f t="shared" ca="1" si="68"/>
        <v>-</v>
      </c>
      <c r="H227" s="581" t="str">
        <f t="shared" ca="1" si="69"/>
        <v>-</v>
      </c>
      <c r="I227" s="706" t="str">
        <f ca="1">IF(AND(R227&gt;0,$V$216=1),IF(OR(R227=1,R227=2),HYPERLINK($AH$88,$AM$88),IF(R227&gt;=3,HYPERLINK($AH$89,$AM$89))),IF(AND(Y227&gt;0,$AC$216=1),HYPERLINK($AH$87,$AM$87),""))</f>
        <v/>
      </c>
      <c r="N227" s="403"/>
      <c r="O227" s="405">
        <f t="shared" ref="O227:O249" ca="1" si="70">IF(D227="-",0,1)</f>
        <v>0</v>
      </c>
      <c r="P227" s="403"/>
      <c r="Q227" s="419">
        <f ca="1">IF(S227&gt;0,INDIRECT("ТИП9!"&amp;"$Q$95"),0)</f>
        <v>0</v>
      </c>
      <c r="R227" s="420">
        <f ca="1">IFERROR(INDIRECT("ТИП9!"&amp;"$AN$95"),0)</f>
        <v>0</v>
      </c>
      <c r="S227" s="420">
        <f ca="1">IFERROR(INDIRECT("ТИП9!"&amp;"$T$95"),0)</f>
        <v>0</v>
      </c>
      <c r="T227" s="420" t="s">
        <v>6</v>
      </c>
      <c r="U227" s="420">
        <f ca="1">IFERROR(INDIRECT("ТИП9!"&amp;"$S$95"),0)</f>
        <v>0</v>
      </c>
      <c r="V227" s="420">
        <f ca="1">IFERROR(INDIRECT("ТИП9!"&amp;"$U$95"),0)</f>
        <v>0</v>
      </c>
      <c r="W227" s="420">
        <f ca="1">IFERROR(INDIRECT("ТИП9!"&amp;"$V$95"),0)</f>
        <v>0</v>
      </c>
      <c r="X227" s="419">
        <f ca="1">IF(Z227&gt;0,INDIRECT("ТИП9!"&amp;"$Q$149"),0)</f>
        <v>0</v>
      </c>
      <c r="Y227" s="420">
        <f ca="1">IFERROR(INDIRECT("ТИП9!"&amp;"$AN$149"),0)</f>
        <v>0</v>
      </c>
      <c r="Z227" s="420">
        <f ca="1">IFERROR(INDIRECT("ТИП9!"&amp;"$T$149"),0)</f>
        <v>0</v>
      </c>
      <c r="AA227" s="425" t="s">
        <v>6</v>
      </c>
      <c r="AB227" s="420">
        <f ca="1">IFERROR(INDIRECT("ТИП9!"&amp;"$S$149"),0)</f>
        <v>0</v>
      </c>
      <c r="AC227" s="420">
        <f ca="1">IFERROR(INDIRECT("ТИП9!"&amp;"$U$149"),0)</f>
        <v>0</v>
      </c>
      <c r="AD227" s="420">
        <f ca="1">IFERROR(INDIRECT("ТИП9!"&amp;"$V$149"),0)</f>
        <v>0</v>
      </c>
      <c r="AE227" s="1516" t="s">
        <v>569</v>
      </c>
    </row>
    <row r="228" spans="2:31" s="385" customFormat="1" ht="15.75" hidden="1" customHeight="1">
      <c r="B228" s="1125" t="str">
        <f t="shared" ca="1" si="64"/>
        <v>-</v>
      </c>
      <c r="C228" s="1125"/>
      <c r="D228" s="581" t="str">
        <f t="shared" ca="1" si="65"/>
        <v>-</v>
      </c>
      <c r="E228" s="581" t="str">
        <f t="shared" ca="1" si="66"/>
        <v>-</v>
      </c>
      <c r="F228" s="581" t="str">
        <f t="shared" ca="1" si="67"/>
        <v>-</v>
      </c>
      <c r="G228" s="581" t="str">
        <f t="shared" ca="1" si="68"/>
        <v>-</v>
      </c>
      <c r="H228" s="581" t="str">
        <f t="shared" ca="1" si="69"/>
        <v>-</v>
      </c>
      <c r="I228" s="706" t="str">
        <f ca="1">IF(AND(R228&gt;0,$V$216=1),IF(OR(R228=1,R228=2),HYPERLINK($AH$88,$AM$88),IF(R228&gt;=3,HYPERLINK($AH$89,$AM$89))),IF(AND(Y228&gt;0,$AC$216=1),HYPERLINK($AH$87,$AM$87),""))</f>
        <v/>
      </c>
      <c r="N228" s="403"/>
      <c r="O228" s="405">
        <f t="shared" ca="1" si="70"/>
        <v>0</v>
      </c>
      <c r="P228" s="403"/>
      <c r="Q228" s="419">
        <f ca="1">IF(S228&gt;0,INDIRECT("ТИП9!"&amp;"$Q$96"),0)</f>
        <v>0</v>
      </c>
      <c r="R228" s="420">
        <f ca="1">IFERROR(INDIRECT("ТИП9!"&amp;"$AN$96"),0)</f>
        <v>0</v>
      </c>
      <c r="S228" s="420">
        <f ca="1">IFERROR(INDIRECT("ТИП9!"&amp;"$T$96"),0)</f>
        <v>0</v>
      </c>
      <c r="T228" s="420" t="s">
        <v>6</v>
      </c>
      <c r="U228" s="420">
        <f ca="1">IFERROR(INDIRECT("ТИП9!"&amp;"$S$96"),0)</f>
        <v>0</v>
      </c>
      <c r="V228" s="420">
        <f ca="1">IFERROR(INDIRECT("ТИП9!"&amp;"$U$96"),0)</f>
        <v>0</v>
      </c>
      <c r="W228" s="420">
        <f ca="1">IFERROR(INDIRECT("ТИП9!"&amp;"$V$96"),0)</f>
        <v>0</v>
      </c>
      <c r="X228" s="419">
        <f ca="1">IF(Z228&gt;0,INDIRECT("ТИП9!"&amp;"$Q$150"),0)</f>
        <v>0</v>
      </c>
      <c r="Y228" s="420">
        <f ca="1">IFERROR(INDIRECT("ТИП9!"&amp;"$AN$150"),0)</f>
        <v>0</v>
      </c>
      <c r="Z228" s="420">
        <f ca="1">IFERROR(INDIRECT("ТИП9!"&amp;"$T$150"),0)</f>
        <v>0</v>
      </c>
      <c r="AA228" s="425" t="s">
        <v>6</v>
      </c>
      <c r="AB228" s="420">
        <f ca="1">IFERROR(INDIRECT("ТИП9!"&amp;"$S$150"),0)</f>
        <v>0</v>
      </c>
      <c r="AC228" s="420">
        <f ca="1">IFERROR(INDIRECT("ТИП9!"&amp;"$U$150"),0)</f>
        <v>0</v>
      </c>
      <c r="AD228" s="420">
        <f ca="1">IFERROR(INDIRECT("ТИП9!"&amp;"$V$150"),0)</f>
        <v>0</v>
      </c>
      <c r="AE228" s="1516"/>
    </row>
    <row r="229" spans="2:31" s="385" customFormat="1" ht="15.75" hidden="1" customHeight="1">
      <c r="B229" s="1125" t="str">
        <f t="shared" ca="1" si="64"/>
        <v>-</v>
      </c>
      <c r="C229" s="1125"/>
      <c r="D229" s="581" t="str">
        <f t="shared" ca="1" si="65"/>
        <v>-</v>
      </c>
      <c r="E229" s="581" t="str">
        <f t="shared" ca="1" si="66"/>
        <v>-</v>
      </c>
      <c r="F229" s="581" t="str">
        <f t="shared" ca="1" si="67"/>
        <v>-</v>
      </c>
      <c r="G229" s="581" t="str">
        <f t="shared" ca="1" si="68"/>
        <v>-</v>
      </c>
      <c r="H229" s="581" t="str">
        <f t="shared" ca="1" si="69"/>
        <v>-</v>
      </c>
      <c r="I229" s="706" t="str">
        <f ca="1">IF(AND(R229&gt;0,$V$216=1),IF(OR(R229=1,R229=2),HYPERLINK($AH$88,$AM$88),IF(R229&gt;=3,HYPERLINK($AH$89,$AM$89))),IF(AND(Y229&gt;0,$AC$216=1),HYPERLINK($AH$87,$AM$87),""))</f>
        <v/>
      </c>
      <c r="N229" s="403"/>
      <c r="O229" s="405">
        <f t="shared" ca="1" si="70"/>
        <v>0</v>
      </c>
      <c r="P229" s="403"/>
      <c r="Q229" s="419">
        <f ca="1">IF(S229&gt;0,INDIRECT("ТИП9!"&amp;"$Q$97"),0)</f>
        <v>0</v>
      </c>
      <c r="R229" s="420">
        <f ca="1">IFERROR(INDIRECT("ТИП9!"&amp;"$AN$97"),0)</f>
        <v>0</v>
      </c>
      <c r="S229" s="420">
        <f ca="1">IFERROR(INDIRECT("ТИП9!"&amp;"$T$97"),0)</f>
        <v>0</v>
      </c>
      <c r="T229" s="420" t="s">
        <v>6</v>
      </c>
      <c r="U229" s="420">
        <f ca="1">IFERROR(INDIRECT("ТИП9!"&amp;"$S$97"),0)</f>
        <v>0</v>
      </c>
      <c r="V229" s="420">
        <f ca="1">IFERROR(INDIRECT("ТИП9!"&amp;"$U$97"),0)</f>
        <v>0</v>
      </c>
      <c r="W229" s="420">
        <f ca="1">IFERROR(INDIRECT("ТИП9!"&amp;"$V$97"),0)</f>
        <v>0</v>
      </c>
      <c r="X229" s="419">
        <f ca="1">IF(Z229&gt;0,INDIRECT("ТИП9!"&amp;"$Q$151"),0)</f>
        <v>0</v>
      </c>
      <c r="Y229" s="420">
        <f ca="1">IFERROR(INDIRECT("ТИП9!"&amp;"$AN$151"),0)</f>
        <v>0</v>
      </c>
      <c r="Z229" s="420">
        <f ca="1">IFERROR(INDIRECT("ТИП9!"&amp;"$T$151"),0)</f>
        <v>0</v>
      </c>
      <c r="AA229" s="425" t="s">
        <v>6</v>
      </c>
      <c r="AB229" s="420">
        <f ca="1">IFERROR(INDIRECT("ТИП9!"&amp;"$S$151"),0)</f>
        <v>0</v>
      </c>
      <c r="AC229" s="420">
        <f ca="1">IFERROR(INDIRECT("ТИП9!"&amp;"$U$151"),0)</f>
        <v>0</v>
      </c>
      <c r="AD229" s="420">
        <f ca="1">IFERROR(INDIRECT("ТИП9!"&amp;"$V$151"),0)</f>
        <v>0</v>
      </c>
      <c r="AE229" s="1516"/>
    </row>
    <row r="230" spans="2:31" s="385" customFormat="1" ht="15.75" hidden="1" customHeight="1">
      <c r="B230" s="1125" t="str">
        <f t="shared" ca="1" si="64"/>
        <v>-</v>
      </c>
      <c r="C230" s="1125"/>
      <c r="D230" s="581" t="str">
        <f t="shared" ca="1" si="65"/>
        <v>-</v>
      </c>
      <c r="E230" s="581" t="str">
        <f t="shared" ca="1" si="66"/>
        <v>-</v>
      </c>
      <c r="F230" s="581" t="str">
        <f t="shared" ca="1" si="67"/>
        <v>-</v>
      </c>
      <c r="G230" s="581" t="str">
        <f t="shared" ca="1" si="68"/>
        <v>-</v>
      </c>
      <c r="H230" s="581" t="str">
        <f t="shared" ca="1" si="69"/>
        <v>-</v>
      </c>
      <c r="I230" s="706" t="str">
        <f ca="1">IF(AND(R230&gt;0,$V$216=1),IF(OR(R230=1,R230=2),HYPERLINK($AH$88,$AM$88),IF(R230&gt;=3,HYPERLINK($AH$89,$AM$89))),IF(AND(Y230&gt;0,$AC$216=1),HYPERLINK($AH$87,$AM$87),""))</f>
        <v/>
      </c>
      <c r="N230" s="403"/>
      <c r="O230" s="405">
        <f t="shared" ca="1" si="70"/>
        <v>0</v>
      </c>
      <c r="P230" s="403"/>
      <c r="Q230" s="419">
        <f ca="1">IF(S230&gt;0,INDIRECT("ТИП9!"&amp;"$Q$98"),0)</f>
        <v>0</v>
      </c>
      <c r="R230" s="420">
        <f ca="1">IFERROR(INDIRECT("ТИП9!"&amp;"$AN$98"),0)</f>
        <v>0</v>
      </c>
      <c r="S230" s="420">
        <f ca="1">IFERROR(INDIRECT("ТИП9!"&amp;"$T$98"),0)</f>
        <v>0</v>
      </c>
      <c r="T230" s="420" t="s">
        <v>6</v>
      </c>
      <c r="U230" s="420">
        <f ca="1">IFERROR(INDIRECT("ТИП9!"&amp;"$S$98"),0)</f>
        <v>0</v>
      </c>
      <c r="V230" s="420">
        <f ca="1">IFERROR(INDIRECT("ТИП9!"&amp;"$U$98"),0)</f>
        <v>0</v>
      </c>
      <c r="W230" s="420">
        <f ca="1">IFERROR(INDIRECT("ТИП9!"&amp;"$V$98"),0)</f>
        <v>0</v>
      </c>
      <c r="X230" s="419">
        <f ca="1">IF(Z230&gt;0,INDIRECT("ТИП9!"&amp;"$Q$152"),0)</f>
        <v>0</v>
      </c>
      <c r="Y230" s="420">
        <f ca="1">IFERROR(INDIRECT("ТИП9!"&amp;"$AN$152"),0)</f>
        <v>0</v>
      </c>
      <c r="Z230" s="420">
        <f ca="1">IFERROR(INDIRECT("ТИП9!"&amp;"$T$152"),0)</f>
        <v>0</v>
      </c>
      <c r="AA230" s="425" t="s">
        <v>6</v>
      </c>
      <c r="AB230" s="420">
        <f ca="1">IFERROR(INDIRECT("ТИП9!"&amp;"$S$152"),0)</f>
        <v>0</v>
      </c>
      <c r="AC230" s="420">
        <f ca="1">IFERROR(INDIRECT("ТИП9!"&amp;"$U$152"),0)</f>
        <v>0</v>
      </c>
      <c r="AD230" s="420">
        <f ca="1">IFERROR(INDIRECT("ТИП9!"&amp;"$V$152"),0)</f>
        <v>0</v>
      </c>
      <c r="AE230" s="1516"/>
    </row>
    <row r="231" spans="2:31" s="385" customFormat="1" ht="15.75" hidden="1" customHeight="1">
      <c r="B231" s="1125" t="str">
        <f t="shared" ca="1" si="64"/>
        <v>-</v>
      </c>
      <c r="C231" s="1125"/>
      <c r="D231" s="581" t="str">
        <f t="shared" ca="1" si="65"/>
        <v>-</v>
      </c>
      <c r="E231" s="581" t="str">
        <f t="shared" ca="1" si="66"/>
        <v>-</v>
      </c>
      <c r="F231" s="581" t="str">
        <f t="shared" ca="1" si="67"/>
        <v>-</v>
      </c>
      <c r="G231" s="581" t="str">
        <f t="shared" ca="1" si="68"/>
        <v>-</v>
      </c>
      <c r="H231" s="581" t="str">
        <f t="shared" ca="1" si="69"/>
        <v>-</v>
      </c>
      <c r="I231" s="706" t="str">
        <f ca="1">IF(AND(R231&gt;0,$V$216=1),HYPERLINK($AH$91,$AM$91),IF(AND(Z231&gt;0,$AC$216=1),HYPERLINK($AH$90,$AM$90),""))</f>
        <v/>
      </c>
      <c r="N231" s="403"/>
      <c r="O231" s="405">
        <f t="shared" ca="1" si="70"/>
        <v>0</v>
      </c>
      <c r="P231" s="403"/>
      <c r="Q231" s="423">
        <f ca="1">IF(S231&gt;0,(INDIRECT("ТИП9!"&amp;"$Q$101")),0)</f>
        <v>0</v>
      </c>
      <c r="R231" s="424">
        <f ca="1">IFERROR(INDIRECT("ТИП9!"&amp;"$AN$101"),0)</f>
        <v>0</v>
      </c>
      <c r="S231" s="424">
        <f ca="1">IFERROR(INDIRECT("ТИП9!"&amp;"$S$101"),0)</f>
        <v>0</v>
      </c>
      <c r="T231" s="424" t="s">
        <v>6</v>
      </c>
      <c r="U231" s="424" t="s">
        <v>6</v>
      </c>
      <c r="V231" s="424" t="s">
        <v>6</v>
      </c>
      <c r="W231" s="424" t="s">
        <v>6</v>
      </c>
      <c r="X231" s="423">
        <f ca="1">IF(Z231&gt;0,INDIRECT("ТИП9!"&amp;"$R$156"),0)</f>
        <v>0</v>
      </c>
      <c r="Y231" s="424" t="s">
        <v>6</v>
      </c>
      <c r="Z231" s="424">
        <f ca="1">IFERROR(INDIRECT("ТИП9!"&amp;"$T$156"),0)</f>
        <v>0</v>
      </c>
      <c r="AA231" s="411" t="s">
        <v>6</v>
      </c>
      <c r="AB231" s="411" t="s">
        <v>6</v>
      </c>
      <c r="AC231" s="411" t="s">
        <v>6</v>
      </c>
      <c r="AD231" s="411" t="s">
        <v>6</v>
      </c>
      <c r="AE231" s="411" t="s">
        <v>570</v>
      </c>
    </row>
    <row r="232" spans="2:31" s="385" customFormat="1" ht="15.75" hidden="1" customHeight="1">
      <c r="B232" s="1125" t="str">
        <f t="shared" ca="1" si="64"/>
        <v>-</v>
      </c>
      <c r="C232" s="1125"/>
      <c r="D232" s="581" t="str">
        <f t="shared" ca="1" si="65"/>
        <v>-</v>
      </c>
      <c r="E232" s="581" t="str">
        <f t="shared" ca="1" si="66"/>
        <v>-</v>
      </c>
      <c r="F232" s="581" t="str">
        <f t="shared" ca="1" si="67"/>
        <v>-</v>
      </c>
      <c r="G232" s="581" t="str">
        <f t="shared" ca="1" si="68"/>
        <v>-</v>
      </c>
      <c r="H232" s="581" t="str">
        <f t="shared" ca="1" si="69"/>
        <v>-</v>
      </c>
      <c r="I232" s="581" t="s">
        <v>6</v>
      </c>
      <c r="N232" s="403"/>
      <c r="O232" s="405">
        <f t="shared" ca="1" si="70"/>
        <v>0</v>
      </c>
      <c r="P232" s="403"/>
      <c r="Q232" s="417">
        <f ca="1">IF(S232&gt;0,INDIRECT("ТИП9!"&amp;"$P$124"),0)</f>
        <v>0</v>
      </c>
      <c r="R232" s="418" t="s">
        <v>6</v>
      </c>
      <c r="S232" s="418">
        <f ca="1">IFERROR(INDIRECT("ТИП9!"&amp;"$S$125"),0)</f>
        <v>0</v>
      </c>
      <c r="T232" s="418" t="s">
        <v>6</v>
      </c>
      <c r="U232" s="418" t="s">
        <v>6</v>
      </c>
      <c r="V232" s="418" t="s">
        <v>6</v>
      </c>
      <c r="W232" s="418" t="s">
        <v>6</v>
      </c>
      <c r="X232" s="417">
        <f ca="1">IF(Z232&gt;0,INDIRECT("ТИП9!"&amp;"$P$160"),0)</f>
        <v>0</v>
      </c>
      <c r="Y232" s="418" t="s">
        <v>6</v>
      </c>
      <c r="Z232" s="418">
        <f ca="1">IFERROR(INDIRECT("ТИП9!"&amp;"$S$161"),0)</f>
        <v>0</v>
      </c>
      <c r="AA232" s="418" t="s">
        <v>6</v>
      </c>
      <c r="AB232" s="418" t="s">
        <v>6</v>
      </c>
      <c r="AC232" s="418" t="s">
        <v>6</v>
      </c>
      <c r="AD232" s="418" t="s">
        <v>6</v>
      </c>
      <c r="AE232" s="412" t="s">
        <v>571</v>
      </c>
    </row>
    <row r="233" spans="2:31" s="385" customFormat="1" ht="15.75" hidden="1" customHeight="1">
      <c r="B233" s="1518" t="s">
        <v>503</v>
      </c>
      <c r="C233" s="1518"/>
      <c r="D233" s="1518"/>
      <c r="E233" s="1518"/>
      <c r="F233" s="1518"/>
      <c r="G233" s="1518"/>
      <c r="H233" s="1518"/>
      <c r="I233" s="1518"/>
      <c r="N233" s="403"/>
      <c r="O233" s="405">
        <f ca="1">IF(SUM(O234:O249)&gt;0,1,0)</f>
        <v>0</v>
      </c>
      <c r="P233" s="403"/>
      <c r="Q233" s="1488" t="s">
        <v>527</v>
      </c>
      <c r="R233" s="1489"/>
      <c r="S233" s="1489"/>
      <c r="T233" s="1489"/>
      <c r="U233" s="1489"/>
      <c r="V233" s="432" t="str">
        <f ca="1">INDIRECT("ТИП10!"&amp;"$Z$4")</f>
        <v>-</v>
      </c>
      <c r="W233" s="431" t="str">
        <f ca="1">IF(INDIRECT("ТИП10!"&amp;"$Z$4")=1,"●","")</f>
        <v/>
      </c>
      <c r="X233" s="1490" t="s">
        <v>528</v>
      </c>
      <c r="Y233" s="1491"/>
      <c r="Z233" s="1491"/>
      <c r="AA233" s="1491"/>
      <c r="AB233" s="1491"/>
      <c r="AC233" s="433" t="str">
        <f ca="1">INDIRECT("ТИП10!"&amp;"$Z$3")</f>
        <v>-</v>
      </c>
      <c r="AD233" s="434" t="str">
        <f ca="1">IF(INDIRECT("ТИП10!"&amp;"$Z$3")=1,"●","")</f>
        <v/>
      </c>
    </row>
    <row r="234" spans="2:31" s="385" customFormat="1" ht="15.75" hidden="1" customHeight="1">
      <c r="B234" s="1125" t="str">
        <f t="shared" ref="B234:B249" ca="1" si="71">IF(AND($V$233=1,Q234&gt;0),Q234,IF(AND($AC$233=1,X234&gt;0),X234,"-"))</f>
        <v>-</v>
      </c>
      <c r="C234" s="1125"/>
      <c r="D234" s="581" t="str">
        <f t="shared" ref="D234:D249" ca="1" si="72">IF(AND($V$233=1,S234&gt;0),S234,IF(AND($AC$233=1,Z234&gt;0),Z234,"-"))</f>
        <v>-</v>
      </c>
      <c r="E234" s="581" t="str">
        <f t="shared" ref="E234:E249" ca="1" si="73">IF(AND($V$233=1,T234&gt;0),T234,IF(AND($AC$233=1,AA234&gt;0),AA234,"-"))</f>
        <v>-</v>
      </c>
      <c r="F234" s="581" t="str">
        <f t="shared" ref="F234:F249" ca="1" si="74">IF(AND($V$233=1,U234&gt;0),U234,IF(AND($AC$233=1,AB234&gt;0),AB234,"-"))</f>
        <v>-</v>
      </c>
      <c r="G234" s="581" t="str">
        <f t="shared" ref="G234:G249" ca="1" si="75">IF(AND($V$233=1,V234&gt;0),V234,IF(AND($AC$233=1,AC234&gt;0),AC234,"-"))</f>
        <v>-</v>
      </c>
      <c r="H234" s="581" t="str">
        <f t="shared" ref="H234:H249" ca="1" si="76">IF(AND($V$233=1,W234&gt;0),W234,IF(AND($AC$233=1,AD234&gt;0),AD234,"-"))</f>
        <v>-</v>
      </c>
      <c r="I234" s="706" t="str">
        <f ca="1">IF(AND(R234&gt;0,$V$233=1),IF(OR(R234=1,R234=2),HYPERLINK($AH$83,$AM$83),IF(R234&gt;=3,HYPERLINK($AH$82,$AM$82))),IF(AND(Y234&gt;0,$AC$233=1),HYPERLINK($AH$81,$AM$81),""))</f>
        <v/>
      </c>
      <c r="N234" s="403"/>
      <c r="O234" s="405">
        <f t="shared" ca="1" si="70"/>
        <v>0</v>
      </c>
      <c r="P234" s="403"/>
      <c r="Q234" s="413">
        <f ca="1">IF(S234&gt;0,INDIRECT("ТИП10!"&amp;"$P$81"),0)</f>
        <v>0</v>
      </c>
      <c r="R234" s="414">
        <f ca="1">IFERROR(INDIRECT("ТИП10!"&amp;"$AN$81"),0)</f>
        <v>0</v>
      </c>
      <c r="S234" s="414">
        <f ca="1">IFERROR(INDIRECT("ТИП10!"&amp;"$T$81"),0)</f>
        <v>0</v>
      </c>
      <c r="T234" s="414">
        <f ca="1">IFERROR(INDIRECT("ТИП10!"&amp;"$R$81"),0)</f>
        <v>0</v>
      </c>
      <c r="U234" s="414">
        <f ca="1">IFERROR(INDIRECT("ТИП10!"&amp;"$S$81"),0)</f>
        <v>0</v>
      </c>
      <c r="V234" s="414">
        <f ca="1">IFERROR(INDIRECT("ТИП10!"&amp;"$U$81"),0)</f>
        <v>0</v>
      </c>
      <c r="W234" s="414">
        <f ca="1">IFERROR(INDIRECT("ТИП10!"&amp;"$V$81"),0)</f>
        <v>0</v>
      </c>
      <c r="X234" s="415">
        <f ca="1">IF(Z234&gt;0,INDIRECT("ТИП10!"&amp;"$P$133"),0)</f>
        <v>0</v>
      </c>
      <c r="Y234" s="414">
        <f ca="1">IFERROR(INDIRECT("ТИП10!"&amp;"$AN$133"),0)</f>
        <v>0</v>
      </c>
      <c r="Z234" s="416">
        <f ca="1">IFERROR(INDIRECT("ТИП10!"&amp;"$T$133"),0)</f>
        <v>0</v>
      </c>
      <c r="AA234" s="414">
        <f ca="1">IFERROR(INDIRECT("ТИП10!"&amp;"$R$133"),0)</f>
        <v>0</v>
      </c>
      <c r="AB234" s="414">
        <f ca="1">IFERROR(INDIRECT("ТИП10!"&amp;"$S$133"),0)</f>
        <v>0</v>
      </c>
      <c r="AC234" s="414">
        <f ca="1">IFERROR(INDIRECT("ТИП10!"&amp;"$U$133"),0)</f>
        <v>0</v>
      </c>
      <c r="AD234" s="414">
        <f ca="1">IFERROR(INDIRECT("ТИП10!"&amp;"$V$133"),0)</f>
        <v>0</v>
      </c>
      <c r="AE234" s="1517" t="s">
        <v>567</v>
      </c>
    </row>
    <row r="235" spans="2:31" s="385" customFormat="1" ht="15.75" hidden="1" customHeight="1">
      <c r="B235" s="1125" t="str">
        <f t="shared" ca="1" si="71"/>
        <v>-</v>
      </c>
      <c r="C235" s="1125"/>
      <c r="D235" s="581" t="str">
        <f t="shared" ca="1" si="72"/>
        <v>-</v>
      </c>
      <c r="E235" s="581" t="str">
        <f t="shared" ca="1" si="73"/>
        <v>-</v>
      </c>
      <c r="F235" s="581" t="str">
        <f t="shared" ca="1" si="74"/>
        <v>-</v>
      </c>
      <c r="G235" s="581" t="str">
        <f t="shared" ca="1" si="75"/>
        <v>-</v>
      </c>
      <c r="H235" s="581" t="str">
        <f t="shared" ca="1" si="76"/>
        <v>-</v>
      </c>
      <c r="I235" s="706" t="str">
        <f ca="1">IF(AND(R235&gt;0,$V$233=1),IF(OR(R235=1,R235=2),HYPERLINK($AH$83,$AM$83),IF(R235&gt;=3,HYPERLINK($AH$82,$AM$82))),IF(AND(Y235&gt;0,$AC$233=1),HYPERLINK($AH$81,$AM$81),""))</f>
        <v/>
      </c>
      <c r="N235" s="403"/>
      <c r="O235" s="405">
        <f t="shared" ca="1" si="70"/>
        <v>0</v>
      </c>
      <c r="P235" s="403"/>
      <c r="Q235" s="413">
        <f ca="1">IF(S235&gt;0,INDIRECT("ТИП10!"&amp;"$P$82"),0)</f>
        <v>0</v>
      </c>
      <c r="R235" s="414">
        <f ca="1">IFERROR(INDIRECT("ТИП10!"&amp;"$AN$82"),0)</f>
        <v>0</v>
      </c>
      <c r="S235" s="414">
        <f ca="1">IFERROR(INDIRECT("ТИП10!"&amp;"$T$82"),0)</f>
        <v>0</v>
      </c>
      <c r="T235" s="414">
        <f ca="1">IFERROR(INDIRECT("ТИП10!"&amp;"$R$82"),0)</f>
        <v>0</v>
      </c>
      <c r="U235" s="414">
        <f ca="1">IFERROR(INDIRECT("ТИП10!"&amp;"$S$82"),0)</f>
        <v>0</v>
      </c>
      <c r="V235" s="414">
        <f ca="1">IFERROR(INDIRECT("ТИП10!"&amp;"$U$82"),0)</f>
        <v>0</v>
      </c>
      <c r="W235" s="414">
        <f ca="1">IFERROR(INDIRECT("ТИП10!"&amp;"$V$82"),0)</f>
        <v>0</v>
      </c>
      <c r="X235" s="413">
        <f ca="1">IF(Z235&gt;0,INDIRECT("ТИП10!"&amp;"$P$134"),0)</f>
        <v>0</v>
      </c>
      <c r="Y235" s="414">
        <f ca="1">IFERROR(INDIRECT("ТИП10!"&amp;"$AN$134"),0)</f>
        <v>0</v>
      </c>
      <c r="Z235" s="414">
        <f ca="1">IFERROR(INDIRECT("ТИП10!"&amp;"$T$134"),0)</f>
        <v>0</v>
      </c>
      <c r="AA235" s="414">
        <f ca="1">IFERROR(INDIRECT("ТИП10!"&amp;"$R$134"),0)</f>
        <v>0</v>
      </c>
      <c r="AB235" s="414">
        <f ca="1">IFERROR(INDIRECT("ТИП10!"&amp;"$S$134"),0)</f>
        <v>0</v>
      </c>
      <c r="AC235" s="414">
        <f ca="1">IFERROR(INDIRECT("ТИП10!"&amp;"$U$134"),0)</f>
        <v>0</v>
      </c>
      <c r="AD235" s="414">
        <f ca="1">IFERROR(INDIRECT("ТИП10!"&amp;"$V$134"),0)</f>
        <v>0</v>
      </c>
      <c r="AE235" s="1517"/>
    </row>
    <row r="236" spans="2:31" s="385" customFormat="1" ht="15.75" hidden="1" customHeight="1">
      <c r="B236" s="1125" t="str">
        <f t="shared" ca="1" si="71"/>
        <v>-</v>
      </c>
      <c r="C236" s="1125"/>
      <c r="D236" s="581" t="str">
        <f t="shared" ca="1" si="72"/>
        <v>-</v>
      </c>
      <c r="E236" s="581" t="str">
        <f t="shared" ca="1" si="73"/>
        <v>-</v>
      </c>
      <c r="F236" s="581" t="str">
        <f t="shared" ca="1" si="74"/>
        <v>-</v>
      </c>
      <c r="G236" s="581" t="str">
        <f t="shared" ca="1" si="75"/>
        <v>-</v>
      </c>
      <c r="H236" s="581" t="str">
        <f t="shared" ca="1" si="76"/>
        <v>-</v>
      </c>
      <c r="I236" s="706" t="str">
        <f ca="1">IF(AND(R236&gt;0,$V$233=1),IF(OR(R236=1,R236=2),HYPERLINK($AH$83,$AM$83),IF(R236&gt;=3,HYPERLINK($AH$82,$AM$82))),IF(AND(Y236&gt;0,$AC$233=1),HYPERLINK($AH$81,$AM$81),""))</f>
        <v/>
      </c>
      <c r="N236" s="403"/>
      <c r="O236" s="405">
        <f t="shared" ca="1" si="70"/>
        <v>0</v>
      </c>
      <c r="P236" s="403"/>
      <c r="Q236" s="413">
        <f ca="1">IF(S236&gt;0,INDIRECT("ТИП10!"&amp;"$P$83"),0)</f>
        <v>0</v>
      </c>
      <c r="R236" s="414">
        <f ca="1">IFERROR(INDIRECT("ТИП10!"&amp;"$AN$83"),0)</f>
        <v>0</v>
      </c>
      <c r="S236" s="414">
        <f ca="1">IFERROR(INDIRECT("ТИП10!"&amp;"$T$83"),0)</f>
        <v>0</v>
      </c>
      <c r="T236" s="414">
        <f ca="1">IFERROR(INDIRECT("ТИП10!"&amp;"$R$83"),0)</f>
        <v>0</v>
      </c>
      <c r="U236" s="414">
        <f ca="1">IFERROR(INDIRECT("ТИП10!"&amp;"$S$83"),0)</f>
        <v>0</v>
      </c>
      <c r="V236" s="414">
        <f ca="1">IFERROR(INDIRECT("ТИП10!"&amp;"$U$83"),0)</f>
        <v>0</v>
      </c>
      <c r="W236" s="414">
        <f ca="1">IFERROR(INDIRECT("ТИП10!"&amp;"$V$83"),0)</f>
        <v>0</v>
      </c>
      <c r="X236" s="413">
        <f ca="1">IF(Z236&gt;0,INDIRECT("ТИП10!"&amp;"$P$135"),0)</f>
        <v>0</v>
      </c>
      <c r="Y236" s="414">
        <f ca="1">IFERROR(INDIRECT("ТИП10!"&amp;"$AN$135"),0)</f>
        <v>0</v>
      </c>
      <c r="Z236" s="414">
        <f ca="1">IFERROR(INDIRECT("ТИП10!"&amp;"$T$135"),0)</f>
        <v>0</v>
      </c>
      <c r="AA236" s="414">
        <f ca="1">IFERROR(INDIRECT("ТИП10!"&amp;"$R$135"),0)</f>
        <v>0</v>
      </c>
      <c r="AB236" s="414">
        <f ca="1">IFERROR(INDIRECT("ТИП10!"&amp;"$S$135"),0)</f>
        <v>0</v>
      </c>
      <c r="AC236" s="414">
        <f ca="1">IFERROR(INDIRECT("ТИП10!"&amp;"$U$135"),0)</f>
        <v>0</v>
      </c>
      <c r="AD236" s="414">
        <f ca="1">IFERROR(INDIRECT("ТИП10!"&amp;"$V$135"),0)</f>
        <v>0</v>
      </c>
      <c r="AE236" s="1517"/>
    </row>
    <row r="237" spans="2:31" s="385" customFormat="1" ht="15.75" hidden="1" customHeight="1">
      <c r="B237" s="1125" t="str">
        <f t="shared" ca="1" si="71"/>
        <v>-</v>
      </c>
      <c r="C237" s="1125"/>
      <c r="D237" s="581" t="str">
        <f t="shared" ca="1" si="72"/>
        <v>-</v>
      </c>
      <c r="E237" s="581" t="str">
        <f t="shared" ca="1" si="73"/>
        <v>-</v>
      </c>
      <c r="F237" s="581" t="str">
        <f t="shared" ca="1" si="74"/>
        <v>-</v>
      </c>
      <c r="G237" s="581" t="str">
        <f t="shared" ca="1" si="75"/>
        <v>-</v>
      </c>
      <c r="H237" s="581" t="str">
        <f t="shared" ca="1" si="76"/>
        <v>-</v>
      </c>
      <c r="I237" s="706" t="str">
        <f ca="1">IF(AND(R237&gt;0,$V$233=1),IF(OR(R237=1,R237=2),HYPERLINK($AH$83,$AM$83),IF(R237&gt;=3,HYPERLINK($AH$82,$AM$82))),IF(AND(Y237&gt;0,$AC$233=1),HYPERLINK($AH$81,$AM$81),""))</f>
        <v/>
      </c>
      <c r="N237" s="403"/>
      <c r="O237" s="405">
        <f t="shared" ca="1" si="70"/>
        <v>0</v>
      </c>
      <c r="P237" s="403"/>
      <c r="Q237" s="413">
        <f ca="1">IF(S237&gt;0,INDIRECT("ТИП10!"&amp;"$P$84"),0)</f>
        <v>0</v>
      </c>
      <c r="R237" s="414">
        <f ca="1">IFERROR(INDIRECT("ТИП10!"&amp;"$AN$84"),0)</f>
        <v>0</v>
      </c>
      <c r="S237" s="414">
        <f ca="1">IFERROR(INDIRECT("ТИП10!"&amp;"$T$84"),0)</f>
        <v>0</v>
      </c>
      <c r="T237" s="414">
        <f ca="1">IFERROR(INDIRECT("ТИП10!"&amp;"$R$84"),0)</f>
        <v>0</v>
      </c>
      <c r="U237" s="414">
        <f ca="1">IFERROR(INDIRECT("ТИП10!"&amp;"$S$84"),0)</f>
        <v>0</v>
      </c>
      <c r="V237" s="414">
        <f ca="1">IFERROR(INDIRECT("ТИП10!"&amp;"$U$84"),0)</f>
        <v>0</v>
      </c>
      <c r="W237" s="414">
        <f ca="1">IFERROR(INDIRECT("ТИП10!"&amp;"$V$84"),0)</f>
        <v>0</v>
      </c>
      <c r="X237" s="413">
        <f ca="1">IF(Z237&gt;0,INDIRECT("ТИП10!"&amp;"$P$136"),0)</f>
        <v>0</v>
      </c>
      <c r="Y237" s="414">
        <f ca="1">IFERROR(INDIRECT("ТИП10!"&amp;"$AN$136"),0)</f>
        <v>0</v>
      </c>
      <c r="Z237" s="414">
        <f ca="1">IFERROR(INDIRECT("ТИП10!"&amp;"$T$136"),0)</f>
        <v>0</v>
      </c>
      <c r="AA237" s="414">
        <f ca="1">IFERROR(INDIRECT("ТИП10!"&amp;"$R$136"),0)</f>
        <v>0</v>
      </c>
      <c r="AB237" s="414">
        <f ca="1">IFERROR(INDIRECT("ТИП10!"&amp;"$S$136"),0)</f>
        <v>0</v>
      </c>
      <c r="AC237" s="414">
        <f ca="1">IFERROR(INDIRECT("ТИП10!"&amp;"$U$136"),0)</f>
        <v>0</v>
      </c>
      <c r="AD237" s="414">
        <f ca="1">IFERROR(INDIRECT("ТИП10!"&amp;"$V$136"),0)</f>
        <v>0</v>
      </c>
      <c r="AE237" s="1517"/>
    </row>
    <row r="238" spans="2:31" s="385" customFormat="1" ht="15.75" hidden="1" customHeight="1">
      <c r="B238" s="1125" t="str">
        <f t="shared" ca="1" si="71"/>
        <v>-</v>
      </c>
      <c r="C238" s="1125"/>
      <c r="D238" s="581" t="str">
        <f t="shared" ca="1" si="72"/>
        <v>-</v>
      </c>
      <c r="E238" s="581" t="str">
        <f t="shared" ca="1" si="73"/>
        <v>-</v>
      </c>
      <c r="F238" s="581" t="str">
        <f t="shared" ca="1" si="74"/>
        <v>-</v>
      </c>
      <c r="G238" s="581" t="str">
        <f t="shared" ca="1" si="75"/>
        <v>-</v>
      </c>
      <c r="H238" s="581" t="str">
        <f t="shared" ca="1" si="76"/>
        <v>-</v>
      </c>
      <c r="I238" s="706" t="str">
        <f ca="1">IF(AND(R238&gt;0,$V$233=1),IF(OR(R238=1,R238=2),HYPERLINK($AH$83,$AM$83),IF(R238&gt;=3,HYPERLINK($AH$82,$AM$82))),IF(AND(Y238&gt;0,$AC$233=1),HYPERLINK($AH$81,$AM$81),""))</f>
        <v/>
      </c>
      <c r="N238" s="403"/>
      <c r="O238" s="405">
        <f t="shared" ca="1" si="70"/>
        <v>0</v>
      </c>
      <c r="P238" s="403"/>
      <c r="Q238" s="413">
        <f ca="1">IF(S238&gt;0,INDIRECT("ТИП10!"&amp;"$P$85"),0)</f>
        <v>0</v>
      </c>
      <c r="R238" s="414">
        <f ca="1">IFERROR(INDIRECT("ТИП10!"&amp;"$AN$85"),0)</f>
        <v>0</v>
      </c>
      <c r="S238" s="414">
        <f ca="1">IFERROR(INDIRECT("ТИП10!"&amp;"$T$85"),0)</f>
        <v>0</v>
      </c>
      <c r="T238" s="414">
        <f ca="1">IFERROR(INDIRECT("ТИП10!"&amp;"$R$85"),0)</f>
        <v>0</v>
      </c>
      <c r="U238" s="414">
        <f ca="1">IFERROR(INDIRECT("ТИП10!"&amp;"$S$85"),0)</f>
        <v>0</v>
      </c>
      <c r="V238" s="414">
        <f ca="1">IFERROR(INDIRECT("ТИП10!"&amp;"$U$85"),0)</f>
        <v>0</v>
      </c>
      <c r="W238" s="414">
        <f ca="1">IFERROR(INDIRECT("ТИП10!"&amp;"$V$85"),0)</f>
        <v>0</v>
      </c>
      <c r="X238" s="413">
        <f ca="1">IF(Z238&gt;0,INDIRECT("ТИП10!"&amp;"$P$137"),0)</f>
        <v>0</v>
      </c>
      <c r="Y238" s="414">
        <f ca="1">IFERROR(INDIRECT("ТИП10!"&amp;"$AN$137"),0)</f>
        <v>0</v>
      </c>
      <c r="Z238" s="414">
        <f ca="1">IFERROR(INDIRECT("ТИП10!"&amp;"$T$137"),0)</f>
        <v>0</v>
      </c>
      <c r="AA238" s="414">
        <f ca="1">IFERROR(INDIRECT("ТИП10!"&amp;"$R$137"),0)</f>
        <v>0</v>
      </c>
      <c r="AB238" s="414">
        <f ca="1">IFERROR(INDIRECT("ТИП10!"&amp;"$S$137"),0)</f>
        <v>0</v>
      </c>
      <c r="AC238" s="414">
        <f ca="1">IFERROR(INDIRECT("ТИП10!"&amp;"$U$137"),0)</f>
        <v>0</v>
      </c>
      <c r="AD238" s="414">
        <f ca="1">IFERROR(INDIRECT("ТИП10!"&amp;"$V$137"),0)</f>
        <v>0</v>
      </c>
      <c r="AE238" s="1517"/>
    </row>
    <row r="239" spans="2:31" s="385" customFormat="1" ht="15.75" hidden="1" customHeight="1">
      <c r="B239" s="1125" t="str">
        <f t="shared" ca="1" si="71"/>
        <v>-</v>
      </c>
      <c r="C239" s="1125"/>
      <c r="D239" s="581" t="str">
        <f t="shared" ca="1" si="72"/>
        <v>-</v>
      </c>
      <c r="E239" s="581" t="str">
        <f t="shared" ca="1" si="73"/>
        <v>-</v>
      </c>
      <c r="F239" s="581" t="str">
        <f t="shared" ca="1" si="74"/>
        <v>-</v>
      </c>
      <c r="G239" s="581" t="str">
        <f t="shared" ca="1" si="75"/>
        <v>-</v>
      </c>
      <c r="H239" s="581" t="str">
        <f t="shared" ca="1" si="76"/>
        <v>-</v>
      </c>
      <c r="I239" s="706" t="str">
        <f ca="1">IF(AND(R239&gt;0,$V$233=1),IF(OR(R239=1,R239=2),HYPERLINK($AH$85,$AM$85),IF(R239&gt;=3,HYPERLINK($AH$86,$AM$86))),IF(AND(Y239&gt;0,$AC$233=1),HYPERLINK($AH$84,$AM$84),""))</f>
        <v/>
      </c>
      <c r="N239" s="403"/>
      <c r="O239" s="405">
        <f t="shared" ca="1" si="70"/>
        <v>0</v>
      </c>
      <c r="P239" s="403"/>
      <c r="Q239" s="421">
        <f ca="1">IF(S239&gt;0,INDIRECT("ТИП10!"&amp;"$P$88"),0)</f>
        <v>0</v>
      </c>
      <c r="R239" s="422">
        <f ca="1">IFERROR(INDIRECT("ТИП10!"&amp;"$AN$88"),0)</f>
        <v>0</v>
      </c>
      <c r="S239" s="422">
        <f ca="1">IFERROR(INDIRECT("ТИП10!"&amp;"$T$88"),0)</f>
        <v>0</v>
      </c>
      <c r="T239" s="422">
        <f ca="1">IFERROR(INDIRECT("ТИП10!"&amp;"$R$88"),0)</f>
        <v>0</v>
      </c>
      <c r="U239" s="422">
        <f ca="1">IFERROR(INDIRECT("ТИП10!"&amp;"$S$88"),0)</f>
        <v>0</v>
      </c>
      <c r="V239" s="422">
        <f ca="1">IFERROR(INDIRECT("ТИП10!"&amp;"$U$88"),0)</f>
        <v>0</v>
      </c>
      <c r="W239" s="422">
        <f ca="1">IFERROR(INDIRECT("ТИП10!"&amp;"$V$88"),0)</f>
        <v>0</v>
      </c>
      <c r="X239" s="421">
        <f ca="1">IF(Z239&gt;0,INDIRECT("ТИП10!"&amp;"$P$141"),0)</f>
        <v>0</v>
      </c>
      <c r="Y239" s="422">
        <f ca="1">IFERROR(INDIRECT("ТИП10!"&amp;"$AN$141"),0)</f>
        <v>0</v>
      </c>
      <c r="Z239" s="422">
        <f ca="1">IFERROR(INDIRECT("ТИП10!"&amp;"$T$141"),0)</f>
        <v>0</v>
      </c>
      <c r="AA239" s="422">
        <f ca="1">IFERROR(INDIRECT("ТИП10!"&amp;"$R$141"),0)</f>
        <v>0</v>
      </c>
      <c r="AB239" s="422">
        <f ca="1">IFERROR(INDIRECT("ТИП10!"&amp;"$S$141"),0)</f>
        <v>0</v>
      </c>
      <c r="AC239" s="422">
        <f ca="1">IFERROR(INDIRECT("ТИП10!"&amp;"$U$141"),0)</f>
        <v>0</v>
      </c>
      <c r="AD239" s="422">
        <f ca="1">IFERROR(INDIRECT("ТИП10!"&amp;"$V$141"),0)</f>
        <v>0</v>
      </c>
      <c r="AE239" s="1515" t="s">
        <v>568</v>
      </c>
    </row>
    <row r="240" spans="2:31" s="385" customFormat="1" ht="15.75" hidden="1" customHeight="1">
      <c r="B240" s="1125" t="str">
        <f t="shared" ca="1" si="71"/>
        <v>-</v>
      </c>
      <c r="C240" s="1125"/>
      <c r="D240" s="581" t="str">
        <f t="shared" ca="1" si="72"/>
        <v>-</v>
      </c>
      <c r="E240" s="581" t="str">
        <f t="shared" ca="1" si="73"/>
        <v>-</v>
      </c>
      <c r="F240" s="581" t="str">
        <f t="shared" ca="1" si="74"/>
        <v>-</v>
      </c>
      <c r="G240" s="581" t="str">
        <f t="shared" ca="1" si="75"/>
        <v>-</v>
      </c>
      <c r="H240" s="581" t="str">
        <f t="shared" ca="1" si="76"/>
        <v>-</v>
      </c>
      <c r="I240" s="706" t="str">
        <f ca="1">IF(AND(R240&gt;0,$V$233=1),IF(OR(R240=1,R240=2),HYPERLINK($AH$85,$AM$85),IF(R240&gt;=3,HYPERLINK($AH$86,$AM$86))),IF(AND(Y240&gt;0,$AC$233=1),HYPERLINK($AH$84,$AM$84),""))</f>
        <v/>
      </c>
      <c r="N240" s="403"/>
      <c r="O240" s="405">
        <f t="shared" ca="1" si="70"/>
        <v>0</v>
      </c>
      <c r="P240" s="403"/>
      <c r="Q240" s="421">
        <f ca="1">IF(S240&gt;0,INDIRECT("ТИП10!"&amp;"$P$89"),0)</f>
        <v>0</v>
      </c>
      <c r="R240" s="422">
        <f ca="1">IFERROR(INDIRECT("ТИП10!"&amp;"$AN$89"),0)</f>
        <v>0</v>
      </c>
      <c r="S240" s="422">
        <f ca="1">IFERROR(INDIRECT("ТИП10!"&amp;"$T$89"),0)</f>
        <v>0</v>
      </c>
      <c r="T240" s="422">
        <f ca="1">IFERROR(INDIRECT("ТИП10!"&amp;"$R$89"),0)</f>
        <v>0</v>
      </c>
      <c r="U240" s="422">
        <f ca="1">IFERROR(INDIRECT("ТИП10!"&amp;"$S$89"),0)</f>
        <v>0</v>
      </c>
      <c r="V240" s="422">
        <f ca="1">IFERROR(INDIRECT("ТИП10!"&amp;"$U$89"),0)</f>
        <v>0</v>
      </c>
      <c r="W240" s="422">
        <f ca="1">IFERROR(INDIRECT("ТИП10!"&amp;"$V$89"),0)</f>
        <v>0</v>
      </c>
      <c r="X240" s="421">
        <f ca="1">IF(Z240&gt;0,INDIRECT("ТИП10!"&amp;"$P$142"),0)</f>
        <v>0</v>
      </c>
      <c r="Y240" s="422">
        <f ca="1">IFERROR(INDIRECT("ТИП10!"&amp;"$AN$142"),0)</f>
        <v>0</v>
      </c>
      <c r="Z240" s="422">
        <f ca="1">IFERROR(INDIRECT("ТИП10!"&amp;"$T$142"),0)</f>
        <v>0</v>
      </c>
      <c r="AA240" s="422">
        <f ca="1">IFERROR(INDIRECT("ТИП10!"&amp;"$R$142"),0)</f>
        <v>0</v>
      </c>
      <c r="AB240" s="422">
        <f ca="1">IFERROR(INDIRECT("ТИП10!"&amp;"$S$142"),0)</f>
        <v>0</v>
      </c>
      <c r="AC240" s="422">
        <f ca="1">IFERROR(INDIRECT("ТИП10!"&amp;"$U$142"),0)</f>
        <v>0</v>
      </c>
      <c r="AD240" s="422">
        <f ca="1">IFERROR(INDIRECT("ТИП10!"&amp;"$V$142"),0)</f>
        <v>0</v>
      </c>
      <c r="AE240" s="1515"/>
    </row>
    <row r="241" spans="2:31" s="385" customFormat="1" ht="15.75" hidden="1" customHeight="1">
      <c r="B241" s="1125" t="str">
        <f t="shared" ca="1" si="71"/>
        <v>-</v>
      </c>
      <c r="C241" s="1125"/>
      <c r="D241" s="581" t="str">
        <f t="shared" ca="1" si="72"/>
        <v>-</v>
      </c>
      <c r="E241" s="581" t="str">
        <f t="shared" ca="1" si="73"/>
        <v>-</v>
      </c>
      <c r="F241" s="581" t="str">
        <f t="shared" ca="1" si="74"/>
        <v>-</v>
      </c>
      <c r="G241" s="581" t="str">
        <f t="shared" ca="1" si="75"/>
        <v>-</v>
      </c>
      <c r="H241" s="581" t="str">
        <f t="shared" ca="1" si="76"/>
        <v>-</v>
      </c>
      <c r="I241" s="706" t="str">
        <f ca="1">IF(AND(R241&gt;0,$V$233=1),IF(OR(R241=1,R241=2),HYPERLINK($AH$85,$AM$85),IF(R241&gt;=3,HYPERLINK($AH$86,$AM$86))),IF(AND(Y241&gt;0,$AC$233=1),HYPERLINK($AH$84,$AM$84),""))</f>
        <v/>
      </c>
      <c r="N241" s="403"/>
      <c r="O241" s="405">
        <f t="shared" ca="1" si="70"/>
        <v>0</v>
      </c>
      <c r="P241" s="403"/>
      <c r="Q241" s="421">
        <f ca="1">IF(S241&gt;0,INDIRECT("ТИП10!"&amp;"$P$90"),0)</f>
        <v>0</v>
      </c>
      <c r="R241" s="422">
        <f ca="1">IFERROR(INDIRECT("ТИП10!"&amp;"$AN$90"),0)</f>
        <v>0</v>
      </c>
      <c r="S241" s="422">
        <f ca="1">IFERROR(INDIRECT("ТИП10!"&amp;"$T$90"),0)</f>
        <v>0</v>
      </c>
      <c r="T241" s="422">
        <f ca="1">IFERROR(INDIRECT("ТИП10!"&amp;"$R$90"),0)</f>
        <v>0</v>
      </c>
      <c r="U241" s="422">
        <f ca="1">IFERROR(INDIRECT("ТИП10!"&amp;"$S$90"),0)</f>
        <v>0</v>
      </c>
      <c r="V241" s="422">
        <f ca="1">IFERROR(INDIRECT("ТИП10!"&amp;"$U$90"),0)</f>
        <v>0</v>
      </c>
      <c r="W241" s="422">
        <f ca="1">IFERROR(INDIRECT("ТИП10!"&amp;"$V$90"),0)</f>
        <v>0</v>
      </c>
      <c r="X241" s="421">
        <f ca="1">IF(Z241&gt;0,INDIRECT("ТИП10!"&amp;"$P$143"),0)</f>
        <v>0</v>
      </c>
      <c r="Y241" s="422">
        <f ca="1">IFERROR(INDIRECT("ТИП10!"&amp;"$AN$143"),0)</f>
        <v>0</v>
      </c>
      <c r="Z241" s="422">
        <f ca="1">IFERROR(INDIRECT("ТИП10!"&amp;"$T$143"),0)</f>
        <v>0</v>
      </c>
      <c r="AA241" s="422">
        <f ca="1">IFERROR(INDIRECT("ТИП10!"&amp;"$R$143"),0)</f>
        <v>0</v>
      </c>
      <c r="AB241" s="422">
        <f ca="1">IFERROR(INDIRECT("ТИП10!"&amp;"$S$143"),0)</f>
        <v>0</v>
      </c>
      <c r="AC241" s="422">
        <f ca="1">IFERROR(INDIRECT("ТИП10!"&amp;"$U$143"),0)</f>
        <v>0</v>
      </c>
      <c r="AD241" s="422">
        <f ca="1">IFERROR(INDIRECT("ТИП10!"&amp;"$V$143"),0)</f>
        <v>0</v>
      </c>
      <c r="AE241" s="1515"/>
    </row>
    <row r="242" spans="2:31" s="385" customFormat="1" ht="15.75" hidden="1" customHeight="1">
      <c r="B242" s="1125" t="str">
        <f t="shared" ca="1" si="71"/>
        <v>-</v>
      </c>
      <c r="C242" s="1125"/>
      <c r="D242" s="581" t="str">
        <f t="shared" ca="1" si="72"/>
        <v>-</v>
      </c>
      <c r="E242" s="581" t="str">
        <f t="shared" ca="1" si="73"/>
        <v>-</v>
      </c>
      <c r="F242" s="581" t="str">
        <f t="shared" ca="1" si="74"/>
        <v>-</v>
      </c>
      <c r="G242" s="581" t="str">
        <f t="shared" ca="1" si="75"/>
        <v>-</v>
      </c>
      <c r="H242" s="581" t="str">
        <f t="shared" ca="1" si="76"/>
        <v>-</v>
      </c>
      <c r="I242" s="706" t="str">
        <f ca="1">IF(AND(R242&gt;0,$V$233=1),IF(OR(R242=1,R242=2),HYPERLINK($AH$85,$AM$85),IF(R242&gt;=3,HYPERLINK($AH$86,$AM$86))),IF(AND(Y242&gt;0,$AC$233=1),HYPERLINK($AH$84,$AM$84),""))</f>
        <v/>
      </c>
      <c r="N242" s="403"/>
      <c r="O242" s="405">
        <f t="shared" ca="1" si="70"/>
        <v>0</v>
      </c>
      <c r="P242" s="403"/>
      <c r="Q242" s="421">
        <f ca="1">IF(S242&gt;0,INDIRECT("ТИП10!"&amp;"$P$91"),0)</f>
        <v>0</v>
      </c>
      <c r="R242" s="422">
        <f ca="1">IFERROR(INDIRECT("ТИП10!"&amp;"$AN$91"),0)</f>
        <v>0</v>
      </c>
      <c r="S242" s="422">
        <f ca="1">IFERROR(INDIRECT("ТИП10!"&amp;"$T$91"),0)</f>
        <v>0</v>
      </c>
      <c r="T242" s="422">
        <f ca="1">IFERROR(INDIRECT("ТИП10!"&amp;"$R$91"),0)</f>
        <v>0</v>
      </c>
      <c r="U242" s="422">
        <f ca="1">IFERROR(INDIRECT("ТИП10!"&amp;"$S$91"),0)</f>
        <v>0</v>
      </c>
      <c r="V242" s="422">
        <f ca="1">IFERROR(INDIRECT("ТИП10!"&amp;"$U$91"),0)</f>
        <v>0</v>
      </c>
      <c r="W242" s="422">
        <f ca="1">IFERROR(INDIRECT("ТИП10!"&amp;"$V$91"),0)</f>
        <v>0</v>
      </c>
      <c r="X242" s="421">
        <f ca="1">IF(Z242&gt;0,INDIRECT("ТИП10!"&amp;"$P$144"),0)</f>
        <v>0</v>
      </c>
      <c r="Y242" s="422">
        <f ca="1">IFERROR(INDIRECT("ТИП10!"&amp;"$AN$144"),0)</f>
        <v>0</v>
      </c>
      <c r="Z242" s="422">
        <f ca="1">IFERROR(INDIRECT("ТИП10!"&amp;"$T$144"),0)</f>
        <v>0</v>
      </c>
      <c r="AA242" s="422">
        <f ca="1">IFERROR(INDIRECT("ТИП10!"&amp;"$R$144"),0)</f>
        <v>0</v>
      </c>
      <c r="AB242" s="422">
        <f ca="1">IFERROR(INDIRECT("ТИП10!"&amp;"$S$144"),0)</f>
        <v>0</v>
      </c>
      <c r="AC242" s="422">
        <f ca="1">IFERROR(INDIRECT("ТИП10!"&amp;"$U$144"),0)</f>
        <v>0</v>
      </c>
      <c r="AD242" s="422">
        <f ca="1">IFERROR(INDIRECT("ТИП10!"&amp;"$V$144"),0)</f>
        <v>0</v>
      </c>
      <c r="AE242" s="1515"/>
    </row>
    <row r="243" spans="2:31" s="385" customFormat="1" ht="15.75" hidden="1" customHeight="1">
      <c r="B243" s="1125" t="str">
        <f t="shared" ca="1" si="71"/>
        <v>-</v>
      </c>
      <c r="C243" s="1125"/>
      <c r="D243" s="581" t="str">
        <f t="shared" ca="1" si="72"/>
        <v>-</v>
      </c>
      <c r="E243" s="581" t="str">
        <f t="shared" ca="1" si="73"/>
        <v>-</v>
      </c>
      <c r="F243" s="581" t="str">
        <f t="shared" ca="1" si="74"/>
        <v>-</v>
      </c>
      <c r="G243" s="581" t="str">
        <f t="shared" ca="1" si="75"/>
        <v>-</v>
      </c>
      <c r="H243" s="581" t="str">
        <f t="shared" ca="1" si="76"/>
        <v>-</v>
      </c>
      <c r="I243" s="706" t="str">
        <f ca="1">IF(AND(R243&gt;0,$V$233=1),IF(OR(R243=1,R243=2),HYPERLINK($AH$85,$AM$85),IF(R243&gt;=3,HYPERLINK($AH$86,$AM$86))),IF(AND(Y243&gt;0,$AC$233=1),HYPERLINK($AH$84,$AM$84),""))</f>
        <v/>
      </c>
      <c r="N243" s="403"/>
      <c r="O243" s="405">
        <f t="shared" ca="1" si="70"/>
        <v>0</v>
      </c>
      <c r="P243" s="403"/>
      <c r="Q243" s="421">
        <f ca="1">IF(S243&gt;0,INDIRECT("ТИП10!"&amp;"$P$92"),0)</f>
        <v>0</v>
      </c>
      <c r="R243" s="422">
        <f ca="1">IFERROR(INDIRECT("ТИП10!"&amp;"$AN$92"),0)</f>
        <v>0</v>
      </c>
      <c r="S243" s="422">
        <f ca="1">IFERROR(INDIRECT("ТИП10!"&amp;"$T$92"),0)</f>
        <v>0</v>
      </c>
      <c r="T243" s="422">
        <f ca="1">IFERROR(INDIRECT("ТИП10!"&amp;"$R$92"),0)</f>
        <v>0</v>
      </c>
      <c r="U243" s="422">
        <f ca="1">IFERROR(INDIRECT("ТИП10!"&amp;"$S$92"),0)</f>
        <v>0</v>
      </c>
      <c r="V243" s="422">
        <f ca="1">IFERROR(INDIRECT("ТИП10!"&amp;"$U$92"),0)</f>
        <v>0</v>
      </c>
      <c r="W243" s="422">
        <f ca="1">IFERROR(INDIRECT("ТИП10!"&amp;"$V$92"),0)</f>
        <v>0</v>
      </c>
      <c r="X243" s="421">
        <f ca="1">IF(Z243&gt;0,INDIRECT("ТИП10!"&amp;"$P$145"),0)</f>
        <v>0</v>
      </c>
      <c r="Y243" s="422">
        <f ca="1">IFERROR(INDIRECT("ТИП10!"&amp;"$AN$145"),0)</f>
        <v>0</v>
      </c>
      <c r="Z243" s="422">
        <f ca="1">IFERROR(INDIRECT("ТИП10!"&amp;"$T$145"),0)</f>
        <v>0</v>
      </c>
      <c r="AA243" s="422">
        <f ca="1">IFERROR(INDIRECT("ТИП10!"&amp;"$R$145"),0)</f>
        <v>0</v>
      </c>
      <c r="AB243" s="422">
        <f ca="1">IFERROR(INDIRECT("ТИП10!"&amp;"$S$145"),0)</f>
        <v>0</v>
      </c>
      <c r="AC243" s="422">
        <f ca="1">IFERROR(INDIRECT("ТИП10!"&amp;"$U$145"),0)</f>
        <v>0</v>
      </c>
      <c r="AD243" s="422">
        <f ca="1">IFERROR(INDIRECT("ТИП10!"&amp;"$V$145"),0)</f>
        <v>0</v>
      </c>
      <c r="AE243" s="1515"/>
    </row>
    <row r="244" spans="2:31" s="385" customFormat="1" ht="15.75" hidden="1" customHeight="1">
      <c r="B244" s="1125" t="str">
        <f t="shared" ca="1" si="71"/>
        <v>-</v>
      </c>
      <c r="C244" s="1125"/>
      <c r="D244" s="581" t="str">
        <f t="shared" ca="1" si="72"/>
        <v>-</v>
      </c>
      <c r="E244" s="581" t="str">
        <f t="shared" ca="1" si="73"/>
        <v>-</v>
      </c>
      <c r="F244" s="581" t="str">
        <f t="shared" ca="1" si="74"/>
        <v>-</v>
      </c>
      <c r="G244" s="581" t="str">
        <f t="shared" ca="1" si="75"/>
        <v>-</v>
      </c>
      <c r="H244" s="581" t="str">
        <f t="shared" ca="1" si="76"/>
        <v>-</v>
      </c>
      <c r="I244" s="706" t="str">
        <f ca="1">IF(AND(R244&gt;0,$V$233=1),IF(OR(R244=1,R244=2),HYPERLINK($AH$88,$AM$88),IF(R244&gt;=3,HYPERLINK($AH$89,$AM$89))),IF(AND(Y244&gt;0,$AC$233=1),HYPERLINK($AH$87,$AM$87),""))</f>
        <v/>
      </c>
      <c r="N244" s="403"/>
      <c r="O244" s="405">
        <f t="shared" ca="1" si="70"/>
        <v>0</v>
      </c>
      <c r="P244" s="403"/>
      <c r="Q244" s="419">
        <f ca="1">IF(S244&gt;0,INDIRECT("ТИП10!"&amp;"$Q$95"),0)</f>
        <v>0</v>
      </c>
      <c r="R244" s="420">
        <f ca="1">IFERROR(INDIRECT("ТИП10!"&amp;"$AN$95"),0)</f>
        <v>0</v>
      </c>
      <c r="S244" s="420">
        <f ca="1">IFERROR(INDIRECT("ТИП10!"&amp;"$T$95"),0)</f>
        <v>0</v>
      </c>
      <c r="T244" s="420" t="s">
        <v>6</v>
      </c>
      <c r="U244" s="420">
        <f ca="1">IFERROR(INDIRECT("ТИП10!"&amp;"$S$95"),0)</f>
        <v>0</v>
      </c>
      <c r="V244" s="420">
        <f ca="1">IFERROR(INDIRECT("ТИП10!"&amp;"$U$95"),0)</f>
        <v>0</v>
      </c>
      <c r="W244" s="420">
        <f ca="1">IFERROR(INDIRECT("ТИП10!"&amp;"$V$95"),0)</f>
        <v>0</v>
      </c>
      <c r="X244" s="419">
        <f ca="1">IF(Z244&gt;0,INDIRECT("ТИП10!"&amp;"$Q$149"),0)</f>
        <v>0</v>
      </c>
      <c r="Y244" s="420">
        <f ca="1">IFERROR(INDIRECT("ТИП10!"&amp;"$AN$149"),0)</f>
        <v>0</v>
      </c>
      <c r="Z244" s="420">
        <f ca="1">IFERROR(INDIRECT("ТИП10!"&amp;"$T$149"),0)</f>
        <v>0</v>
      </c>
      <c r="AA244" s="425" t="s">
        <v>6</v>
      </c>
      <c r="AB244" s="420">
        <f ca="1">IFERROR(INDIRECT("ТИП10!"&amp;"$S$149"),0)</f>
        <v>0</v>
      </c>
      <c r="AC244" s="420">
        <f ca="1">IFERROR(INDIRECT("ТИП10!"&amp;"$U$149"),0)</f>
        <v>0</v>
      </c>
      <c r="AD244" s="420">
        <f ca="1">IFERROR(INDIRECT("ТИП10!"&amp;"$V$149"),0)</f>
        <v>0</v>
      </c>
      <c r="AE244" s="1516" t="s">
        <v>569</v>
      </c>
    </row>
    <row r="245" spans="2:31" s="385" customFormat="1" ht="15.75" hidden="1" customHeight="1">
      <c r="B245" s="1125" t="str">
        <f t="shared" ca="1" si="71"/>
        <v>-</v>
      </c>
      <c r="C245" s="1125"/>
      <c r="D245" s="581" t="str">
        <f t="shared" ca="1" si="72"/>
        <v>-</v>
      </c>
      <c r="E245" s="581" t="str">
        <f t="shared" ca="1" si="73"/>
        <v>-</v>
      </c>
      <c r="F245" s="581" t="str">
        <f t="shared" ca="1" si="74"/>
        <v>-</v>
      </c>
      <c r="G245" s="581" t="str">
        <f t="shared" ca="1" si="75"/>
        <v>-</v>
      </c>
      <c r="H245" s="581" t="str">
        <f t="shared" ca="1" si="76"/>
        <v>-</v>
      </c>
      <c r="I245" s="706" t="str">
        <f ca="1">IF(AND(R245&gt;0,$V$233=1),IF(OR(R245=1,R245=2),HYPERLINK($AH$88,$AM$88),IF(R245&gt;=3,HYPERLINK($AH$89,$AM$89))),IF(AND(Y245&gt;0,$AC$233=1),HYPERLINK($AH$87,$AM$87),""))</f>
        <v/>
      </c>
      <c r="N245" s="403"/>
      <c r="O245" s="405">
        <f t="shared" ca="1" si="70"/>
        <v>0</v>
      </c>
      <c r="P245" s="403"/>
      <c r="Q245" s="419">
        <f ca="1">IF(S245&gt;0,INDIRECT("ТИП10!"&amp;"$Q$96"),0)</f>
        <v>0</v>
      </c>
      <c r="R245" s="420">
        <f ca="1">IFERROR(INDIRECT("ТИП10!"&amp;"$AN$96"),0)</f>
        <v>0</v>
      </c>
      <c r="S245" s="420">
        <f ca="1">IFERROR(INDIRECT("ТИП10!"&amp;"$T$96"),0)</f>
        <v>0</v>
      </c>
      <c r="T245" s="420" t="s">
        <v>6</v>
      </c>
      <c r="U245" s="420">
        <f ca="1">IFERROR(INDIRECT("ТИП10!"&amp;"$S$96"),0)</f>
        <v>0</v>
      </c>
      <c r="V245" s="420">
        <f ca="1">IFERROR(INDIRECT("ТИП10!"&amp;"$U$96"),0)</f>
        <v>0</v>
      </c>
      <c r="W245" s="420">
        <f ca="1">IFERROR(INDIRECT("ТИП10!"&amp;"$V$96"),0)</f>
        <v>0</v>
      </c>
      <c r="X245" s="419">
        <f ca="1">IF(Z245&gt;0,INDIRECT("ТИП10!"&amp;"$Q$150"),0)</f>
        <v>0</v>
      </c>
      <c r="Y245" s="420">
        <f ca="1">IFERROR(INDIRECT("ТИП10!"&amp;"$AN$150"),0)</f>
        <v>0</v>
      </c>
      <c r="Z245" s="420">
        <f ca="1">IFERROR(INDIRECT("ТИП10!"&amp;"$T$150"),0)</f>
        <v>0</v>
      </c>
      <c r="AA245" s="425" t="s">
        <v>6</v>
      </c>
      <c r="AB245" s="420">
        <f ca="1">IFERROR(INDIRECT("ТИП10!"&amp;"$S$150"),0)</f>
        <v>0</v>
      </c>
      <c r="AC245" s="420">
        <f ca="1">IFERROR(INDIRECT("ТИП10!"&amp;"$U$150"),0)</f>
        <v>0</v>
      </c>
      <c r="AD245" s="420">
        <f ca="1">IFERROR(INDIRECT("ТИП10!"&amp;"$V$150"),0)</f>
        <v>0</v>
      </c>
      <c r="AE245" s="1516"/>
    </row>
    <row r="246" spans="2:31" s="385" customFormat="1" ht="15.75" hidden="1" customHeight="1">
      <c r="B246" s="1125" t="str">
        <f t="shared" ca="1" si="71"/>
        <v>-</v>
      </c>
      <c r="C246" s="1125"/>
      <c r="D246" s="581" t="str">
        <f t="shared" ca="1" si="72"/>
        <v>-</v>
      </c>
      <c r="E246" s="581" t="str">
        <f t="shared" ca="1" si="73"/>
        <v>-</v>
      </c>
      <c r="F246" s="581" t="str">
        <f t="shared" ca="1" si="74"/>
        <v>-</v>
      </c>
      <c r="G246" s="581" t="str">
        <f t="shared" ca="1" si="75"/>
        <v>-</v>
      </c>
      <c r="H246" s="581" t="str">
        <f t="shared" ca="1" si="76"/>
        <v>-</v>
      </c>
      <c r="I246" s="706" t="str">
        <f ca="1">IF(AND(R246&gt;0,$V$233=1),IF(OR(R246=1,R246=2),HYPERLINK($AH$88,$AM$88),IF(R246&gt;=3,HYPERLINK($AH$89,$AM$89))),IF(AND(Y246&gt;0,$AC$233=1),HYPERLINK($AH$87,$AM$87),""))</f>
        <v/>
      </c>
      <c r="N246" s="403"/>
      <c r="O246" s="405">
        <f t="shared" ca="1" si="70"/>
        <v>0</v>
      </c>
      <c r="P246" s="403"/>
      <c r="Q246" s="419">
        <f ca="1">IF(S246&gt;0,INDIRECT("ТИП10!"&amp;"$Q$97"),0)</f>
        <v>0</v>
      </c>
      <c r="R246" s="420">
        <f ca="1">IFERROR(INDIRECT("ТИП10!"&amp;"$AN$97"),0)</f>
        <v>0</v>
      </c>
      <c r="S246" s="420">
        <f ca="1">IFERROR(INDIRECT("ТИП10!"&amp;"$T$97"),0)</f>
        <v>0</v>
      </c>
      <c r="T246" s="420" t="s">
        <v>6</v>
      </c>
      <c r="U246" s="420">
        <f ca="1">IFERROR(INDIRECT("ТИП10!"&amp;"$S$97"),0)</f>
        <v>0</v>
      </c>
      <c r="V246" s="420">
        <f ca="1">IFERROR(INDIRECT("ТИП10!"&amp;"$U$97"),0)</f>
        <v>0</v>
      </c>
      <c r="W246" s="420">
        <f ca="1">IFERROR(INDIRECT("ТИП10!"&amp;"$V$97"),0)</f>
        <v>0</v>
      </c>
      <c r="X246" s="419">
        <f ca="1">IF(Z246&gt;0,INDIRECT("ТИП10!"&amp;"$Q$151"),0)</f>
        <v>0</v>
      </c>
      <c r="Y246" s="420">
        <f ca="1">IFERROR(INDIRECT("ТИП10!"&amp;"$AN$151"),0)</f>
        <v>0</v>
      </c>
      <c r="Z246" s="420">
        <f ca="1">IFERROR(INDIRECT("ТИП10!"&amp;"$T$151"),0)</f>
        <v>0</v>
      </c>
      <c r="AA246" s="425" t="s">
        <v>6</v>
      </c>
      <c r="AB246" s="420">
        <f ca="1">IFERROR(INDIRECT("ТИП10!"&amp;"$S$151"),0)</f>
        <v>0</v>
      </c>
      <c r="AC246" s="420">
        <f ca="1">IFERROR(INDIRECT("ТИП10!"&amp;"$U$151"),0)</f>
        <v>0</v>
      </c>
      <c r="AD246" s="420">
        <f ca="1">IFERROR(INDIRECT("ТИП10!"&amp;"$V$151"),0)</f>
        <v>0</v>
      </c>
      <c r="AE246" s="1516"/>
    </row>
    <row r="247" spans="2:31" s="385" customFormat="1" ht="15.75" hidden="1" customHeight="1">
      <c r="B247" s="1125" t="str">
        <f t="shared" ca="1" si="71"/>
        <v>-</v>
      </c>
      <c r="C247" s="1125"/>
      <c r="D247" s="581" t="str">
        <f t="shared" ca="1" si="72"/>
        <v>-</v>
      </c>
      <c r="E247" s="581" t="str">
        <f t="shared" ca="1" si="73"/>
        <v>-</v>
      </c>
      <c r="F247" s="581" t="str">
        <f t="shared" ca="1" si="74"/>
        <v>-</v>
      </c>
      <c r="G247" s="581" t="str">
        <f t="shared" ca="1" si="75"/>
        <v>-</v>
      </c>
      <c r="H247" s="581" t="str">
        <f t="shared" ca="1" si="76"/>
        <v>-</v>
      </c>
      <c r="I247" s="706" t="str">
        <f ca="1">IF(AND(R247&gt;0,$V$233=1),IF(OR(R247=1,R247=2),HYPERLINK($AH$88,$AM$88),IF(R247&gt;=3,HYPERLINK($AH$89,$AM$89))),IF(AND(Y247&gt;0,$AC$233=1),HYPERLINK($AH$87,$AM$87),""))</f>
        <v/>
      </c>
      <c r="N247" s="403"/>
      <c r="O247" s="405">
        <f t="shared" ca="1" si="70"/>
        <v>0</v>
      </c>
      <c r="P247" s="403"/>
      <c r="Q247" s="419">
        <f ca="1">IF(S247&gt;0,INDIRECT("ТИП10!"&amp;"$Q$98"),0)</f>
        <v>0</v>
      </c>
      <c r="R247" s="420">
        <f ca="1">IFERROR(INDIRECT("ТИП10!"&amp;"$AN$98"),0)</f>
        <v>0</v>
      </c>
      <c r="S247" s="420">
        <f ca="1">IFERROR(INDIRECT("ТИП10!"&amp;"$T$98"),0)</f>
        <v>0</v>
      </c>
      <c r="T247" s="420" t="s">
        <v>6</v>
      </c>
      <c r="U247" s="420">
        <f ca="1">IFERROR(INDIRECT("ТИП10!"&amp;"$S$98"),0)</f>
        <v>0</v>
      </c>
      <c r="V247" s="420">
        <f ca="1">IFERROR(INDIRECT("ТИП10!"&amp;"$U$98"),0)</f>
        <v>0</v>
      </c>
      <c r="W247" s="420">
        <f ca="1">IFERROR(INDIRECT("ТИП10!"&amp;"$V$98"),0)</f>
        <v>0</v>
      </c>
      <c r="X247" s="419">
        <f ca="1">IF(Z247&gt;0,INDIRECT("ТИП10!"&amp;"$Q$152"),0)</f>
        <v>0</v>
      </c>
      <c r="Y247" s="420">
        <f ca="1">IFERROR(INDIRECT("ТИП10!"&amp;"$AN$152"),0)</f>
        <v>0</v>
      </c>
      <c r="Z247" s="420">
        <f ca="1">IFERROR(INDIRECT("ТИП10!"&amp;"$T$152"),0)</f>
        <v>0</v>
      </c>
      <c r="AA247" s="425" t="s">
        <v>6</v>
      </c>
      <c r="AB247" s="420">
        <f ca="1">IFERROR(INDIRECT("ТИП10!"&amp;"$S$152"),0)</f>
        <v>0</v>
      </c>
      <c r="AC247" s="420">
        <f ca="1">IFERROR(INDIRECT("ТИП10!"&amp;"$U$152"),0)</f>
        <v>0</v>
      </c>
      <c r="AD247" s="420">
        <f ca="1">IFERROR(INDIRECT("ТИП10!"&amp;"$V$152"),0)</f>
        <v>0</v>
      </c>
      <c r="AE247" s="1516"/>
    </row>
    <row r="248" spans="2:31" s="385" customFormat="1" ht="15.75" hidden="1" customHeight="1">
      <c r="B248" s="1125" t="str">
        <f t="shared" ca="1" si="71"/>
        <v>-</v>
      </c>
      <c r="C248" s="1125"/>
      <c r="D248" s="581" t="str">
        <f t="shared" ca="1" si="72"/>
        <v>-</v>
      </c>
      <c r="E248" s="581" t="str">
        <f t="shared" ca="1" si="73"/>
        <v>-</v>
      </c>
      <c r="F248" s="581" t="str">
        <f t="shared" ca="1" si="74"/>
        <v>-</v>
      </c>
      <c r="G248" s="581" t="str">
        <f t="shared" ca="1" si="75"/>
        <v>-</v>
      </c>
      <c r="H248" s="581" t="str">
        <f t="shared" ca="1" si="76"/>
        <v>-</v>
      </c>
      <c r="I248" s="706" t="str">
        <f ca="1">IF(AND(R248&gt;0,$V$233=1),HYPERLINK($AH$91,$AM$91),IF(AND(Z248&gt;0,$AC$233=1),HYPERLINK($AH$90,$AM$90),""))</f>
        <v/>
      </c>
      <c r="N248" s="403"/>
      <c r="O248" s="405">
        <f t="shared" ca="1" si="70"/>
        <v>0</v>
      </c>
      <c r="P248" s="403"/>
      <c r="Q248" s="423">
        <f ca="1">IF(S248&gt;0,(INDIRECT("ТИП10!"&amp;"$Q$101")),0)</f>
        <v>0</v>
      </c>
      <c r="R248" s="424">
        <f ca="1">IFERROR(INDIRECT("ТИП10!"&amp;"$AN$101"),0)</f>
        <v>0</v>
      </c>
      <c r="S248" s="424">
        <f ca="1">IFERROR(INDIRECT("ТИП10!"&amp;"$S$101"),0)</f>
        <v>0</v>
      </c>
      <c r="T248" s="424" t="s">
        <v>6</v>
      </c>
      <c r="U248" s="424" t="s">
        <v>6</v>
      </c>
      <c r="V248" s="424" t="s">
        <v>6</v>
      </c>
      <c r="W248" s="424" t="s">
        <v>6</v>
      </c>
      <c r="X248" s="423">
        <f ca="1">IF(Z248&gt;0,INDIRECT("ТИП10!"&amp;"$R$156"),0)</f>
        <v>0</v>
      </c>
      <c r="Y248" s="424" t="s">
        <v>6</v>
      </c>
      <c r="Z248" s="424">
        <f ca="1">IFERROR(INDIRECT("ТИП10!"&amp;"$T$156"),0)</f>
        <v>0</v>
      </c>
      <c r="AA248" s="411" t="s">
        <v>6</v>
      </c>
      <c r="AB248" s="411" t="s">
        <v>6</v>
      </c>
      <c r="AC248" s="411" t="s">
        <v>6</v>
      </c>
      <c r="AD248" s="411" t="s">
        <v>6</v>
      </c>
      <c r="AE248" s="411" t="s">
        <v>570</v>
      </c>
    </row>
    <row r="249" spans="2:31" s="385" customFormat="1" ht="15.75" hidden="1" customHeight="1">
      <c r="B249" s="1125" t="str">
        <f t="shared" ca="1" si="71"/>
        <v>-</v>
      </c>
      <c r="C249" s="1125"/>
      <c r="D249" s="581" t="str">
        <f t="shared" ca="1" si="72"/>
        <v>-</v>
      </c>
      <c r="E249" s="581" t="str">
        <f t="shared" ca="1" si="73"/>
        <v>-</v>
      </c>
      <c r="F249" s="581" t="str">
        <f t="shared" ca="1" si="74"/>
        <v>-</v>
      </c>
      <c r="G249" s="581" t="str">
        <f t="shared" ca="1" si="75"/>
        <v>-</v>
      </c>
      <c r="H249" s="581" t="str">
        <f t="shared" ca="1" si="76"/>
        <v>-</v>
      </c>
      <c r="I249" s="581" t="s">
        <v>6</v>
      </c>
      <c r="N249" s="403"/>
      <c r="O249" s="405">
        <f t="shared" ca="1" si="70"/>
        <v>0</v>
      </c>
      <c r="P249" s="403"/>
      <c r="Q249" s="417">
        <f ca="1">IF(S249&gt;0,INDIRECT("ТИП10!"&amp;"$P$124"),0)</f>
        <v>0</v>
      </c>
      <c r="R249" s="418" t="s">
        <v>6</v>
      </c>
      <c r="S249" s="418">
        <f ca="1">IFERROR(INDIRECT("ТИП10!"&amp;"$S$125"),0)</f>
        <v>0</v>
      </c>
      <c r="T249" s="418" t="s">
        <v>6</v>
      </c>
      <c r="U249" s="418" t="s">
        <v>6</v>
      </c>
      <c r="V249" s="418" t="s">
        <v>6</v>
      </c>
      <c r="W249" s="418" t="s">
        <v>6</v>
      </c>
      <c r="X249" s="417">
        <f ca="1">IF(Z249&gt;0,INDIRECT("ТИП10!"&amp;"$P$160"),0)</f>
        <v>0</v>
      </c>
      <c r="Y249" s="418" t="s">
        <v>6</v>
      </c>
      <c r="Z249" s="418">
        <f ca="1">IFERROR(INDIRECT("ТИП10!"&amp;"$S$161"),0)</f>
        <v>0</v>
      </c>
      <c r="AA249" s="418" t="s">
        <v>6</v>
      </c>
      <c r="AB249" s="418" t="s">
        <v>6</v>
      </c>
      <c r="AC249" s="418" t="s">
        <v>6</v>
      </c>
      <c r="AD249" s="418" t="s">
        <v>6</v>
      </c>
      <c r="AE249" s="412" t="s">
        <v>571</v>
      </c>
    </row>
    <row r="250" spans="2:31" ht="15.75" customHeight="1">
      <c r="F250"/>
      <c r="G250"/>
    </row>
    <row r="251" spans="2:31" ht="15.75" customHeight="1">
      <c r="B251" s="392" t="s">
        <v>668</v>
      </c>
      <c r="C251" s="391" t="s">
        <v>546</v>
      </c>
    </row>
    <row r="252" spans="2:31" ht="15.75" customHeight="1"/>
    <row r="253" spans="2:31" ht="15.75" customHeight="1">
      <c r="B253" s="1125" t="s">
        <v>548</v>
      </c>
      <c r="C253" s="1125"/>
      <c r="D253" s="1125"/>
      <c r="E253" s="647" t="s">
        <v>549</v>
      </c>
    </row>
    <row r="254" spans="2:31" ht="15.75" customHeight="1">
      <c r="B254" s="1125" t="s">
        <v>453</v>
      </c>
      <c r="C254" s="1125"/>
      <c r="D254" s="1125"/>
      <c r="E254" s="647" t="s">
        <v>547</v>
      </c>
    </row>
    <row r="255" spans="2:31" ht="15.75" customHeight="1">
      <c r="B255" s="1125" t="s">
        <v>550</v>
      </c>
      <c r="C255" s="1125"/>
      <c r="D255" s="1125"/>
      <c r="E255" s="647" t="s">
        <v>547</v>
      </c>
    </row>
    <row r="256" spans="2:31" ht="15.75" customHeight="1">
      <c r="B256" s="1125" t="s">
        <v>551</v>
      </c>
      <c r="C256" s="1125"/>
      <c r="D256" s="1125"/>
      <c r="E256" s="647" t="s">
        <v>553</v>
      </c>
    </row>
    <row r="257" spans="2:5" ht="15.75" customHeight="1">
      <c r="B257" s="1125" t="s">
        <v>552</v>
      </c>
      <c r="C257" s="1125"/>
      <c r="D257" s="1125"/>
      <c r="E257" s="800" t="s">
        <v>553</v>
      </c>
    </row>
    <row r="258" spans="2:5" ht="15.75" customHeight="1">
      <c r="B258" s="1125" t="s">
        <v>867</v>
      </c>
      <c r="C258" s="1125"/>
      <c r="D258" s="1125"/>
      <c r="E258" s="647" t="s">
        <v>866</v>
      </c>
    </row>
    <row r="259" spans="2:5" ht="15.75" customHeight="1">
      <c r="B259" s="1125" t="s">
        <v>318</v>
      </c>
      <c r="C259" s="1125"/>
      <c r="D259" s="1125"/>
      <c r="E259" s="647" t="s">
        <v>549</v>
      </c>
    </row>
    <row r="260" spans="2:5" ht="15.75" customHeight="1">
      <c r="B260" s="1125" t="s">
        <v>555</v>
      </c>
      <c r="C260" s="1125"/>
      <c r="D260" s="1125"/>
      <c r="E260" s="582" t="s">
        <v>554</v>
      </c>
    </row>
    <row r="261" spans="2:5" ht="15.75" customHeight="1">
      <c r="B261" s="1125" t="s">
        <v>556</v>
      </c>
      <c r="C261" s="1125"/>
      <c r="D261" s="1125"/>
      <c r="E261" s="582" t="s">
        <v>554</v>
      </c>
    </row>
    <row r="262" spans="2:5" ht="15.75" customHeight="1">
      <c r="B262" s="1125" t="s">
        <v>557</v>
      </c>
      <c r="C262" s="1125"/>
      <c r="D262" s="1125"/>
      <c r="E262" s="647" t="s">
        <v>558</v>
      </c>
    </row>
    <row r="263" spans="2:5" ht="15.75" customHeight="1"/>
    <row r="264" spans="2:5" ht="15.75" customHeight="1">
      <c r="B264" s="392" t="s">
        <v>893</v>
      </c>
      <c r="C264" s="391" t="s">
        <v>894</v>
      </c>
    </row>
    <row r="265" spans="2:5" ht="15.75" customHeight="1">
      <c r="C265" s="1" t="s">
        <v>939</v>
      </c>
      <c r="D265" s="1"/>
    </row>
    <row r="266" spans="2:5" ht="15.75" customHeight="1">
      <c r="C266" s="1" t="s">
        <v>1528</v>
      </c>
      <c r="D266" s="1"/>
    </row>
    <row r="267" spans="2:5" ht="15.75" customHeight="1">
      <c r="C267" s="1" t="s">
        <v>1529</v>
      </c>
      <c r="D267" s="1" t="s">
        <v>1530</v>
      </c>
    </row>
    <row r="268" spans="2:5" ht="15.75" customHeight="1">
      <c r="C268" s="1"/>
      <c r="D268" s="1"/>
    </row>
    <row r="269" spans="2:5" ht="15.75" customHeight="1">
      <c r="C269" s="1" t="s">
        <v>940</v>
      </c>
      <c r="D269" s="1" t="s">
        <v>1531</v>
      </c>
    </row>
    <row r="270" spans="2:5" ht="15.75" customHeight="1">
      <c r="C270" s="1"/>
      <c r="D270" s="1"/>
    </row>
    <row r="271" spans="2:5" ht="15.75" customHeight="1">
      <c r="C271" s="1"/>
      <c r="D271" s="1"/>
    </row>
    <row r="272" spans="2:5" ht="15.75" customHeight="1">
      <c r="C272" s="1"/>
      <c r="D272" s="1"/>
    </row>
    <row r="273" spans="3:4" ht="15.75" customHeight="1">
      <c r="C273" s="1"/>
      <c r="D273" s="1"/>
    </row>
    <row r="274" spans="3:4" ht="15.75" customHeight="1">
      <c r="C274" s="1"/>
      <c r="D274" s="1"/>
    </row>
    <row r="275" spans="3:4" ht="15.75" customHeight="1"/>
    <row r="276" spans="3:4" ht="15.75" customHeight="1"/>
    <row r="277" spans="3:4" ht="15.75" customHeight="1"/>
    <row r="278" spans="3:4" ht="15.75" customHeight="1"/>
    <row r="279" spans="3:4" ht="15.75" customHeight="1"/>
    <row r="280" spans="3:4" ht="15.75" customHeight="1"/>
    <row r="281" spans="3:4" ht="15.75" customHeight="1"/>
    <row r="282" spans="3:4" ht="15.75" customHeight="1"/>
    <row r="283" spans="3:4" ht="15.75" customHeight="1"/>
  </sheetData>
  <autoFilter ref="O1:O249">
    <filterColumn colId="0">
      <customFilters>
        <customFilter operator="greaterThan" val="0"/>
      </customFilters>
    </filterColumn>
  </autoFilter>
  <mergeCells count="297">
    <mergeCell ref="B210:C210"/>
    <mergeCell ref="B211:C211"/>
    <mergeCell ref="B212:C212"/>
    <mergeCell ref="B213:C213"/>
    <mergeCell ref="B214:C214"/>
    <mergeCell ref="B162:C162"/>
    <mergeCell ref="B163:C163"/>
    <mergeCell ref="B128:C128"/>
    <mergeCell ref="B227:C227"/>
    <mergeCell ref="B222:C222"/>
    <mergeCell ref="B223:C223"/>
    <mergeCell ref="B224:C224"/>
    <mergeCell ref="B225:C225"/>
    <mergeCell ref="B226:C226"/>
    <mergeCell ref="B217:C217"/>
    <mergeCell ref="B218:C218"/>
    <mergeCell ref="B219:C219"/>
    <mergeCell ref="B220:C220"/>
    <mergeCell ref="B221:C221"/>
    <mergeCell ref="B142:C142"/>
    <mergeCell ref="B143:C143"/>
    <mergeCell ref="B144:C144"/>
    <mergeCell ref="B145:C145"/>
    <mergeCell ref="B146:C146"/>
    <mergeCell ref="B7:G7"/>
    <mergeCell ref="A1:I6"/>
    <mergeCell ref="B205:C205"/>
    <mergeCell ref="B206:C206"/>
    <mergeCell ref="B207:C207"/>
    <mergeCell ref="B208:C208"/>
    <mergeCell ref="B209:C209"/>
    <mergeCell ref="B193:C193"/>
    <mergeCell ref="B194:C194"/>
    <mergeCell ref="B195:C195"/>
    <mergeCell ref="B196:C196"/>
    <mergeCell ref="B197:C197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0:C160"/>
    <mergeCell ref="B161:C161"/>
    <mergeCell ref="B228:C228"/>
    <mergeCell ref="B229:C229"/>
    <mergeCell ref="B230:C230"/>
    <mergeCell ref="B231:C231"/>
    <mergeCell ref="B176:C176"/>
    <mergeCell ref="B246:C246"/>
    <mergeCell ref="B247:C247"/>
    <mergeCell ref="B248:C248"/>
    <mergeCell ref="B239:C239"/>
    <mergeCell ref="B240:C240"/>
    <mergeCell ref="B241:C241"/>
    <mergeCell ref="B242:C242"/>
    <mergeCell ref="B243:C243"/>
    <mergeCell ref="B234:C234"/>
    <mergeCell ref="B235:C235"/>
    <mergeCell ref="B236:C236"/>
    <mergeCell ref="B237:C237"/>
    <mergeCell ref="B238:C238"/>
    <mergeCell ref="B245:C245"/>
    <mergeCell ref="B244:C244"/>
    <mergeCell ref="B177:C177"/>
    <mergeCell ref="B178:C178"/>
    <mergeCell ref="B179:C179"/>
    <mergeCell ref="B180:C180"/>
    <mergeCell ref="B137:C137"/>
    <mergeCell ref="B138:C138"/>
    <mergeCell ref="B139:C139"/>
    <mergeCell ref="B140:C140"/>
    <mergeCell ref="B141:C141"/>
    <mergeCell ref="D60:E60"/>
    <mergeCell ref="D61:E61"/>
    <mergeCell ref="B79:C79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D71:E71"/>
    <mergeCell ref="D72:E72"/>
    <mergeCell ref="D73:E73"/>
    <mergeCell ref="D74:E74"/>
    <mergeCell ref="D75:E75"/>
    <mergeCell ref="B121:C121"/>
    <mergeCell ref="B80:I80"/>
    <mergeCell ref="B109:C109"/>
    <mergeCell ref="B110:C110"/>
    <mergeCell ref="B111:C111"/>
    <mergeCell ref="B112:C112"/>
    <mergeCell ref="B11:G12"/>
    <mergeCell ref="D52:E52"/>
    <mergeCell ref="D53:E53"/>
    <mergeCell ref="D54:E54"/>
    <mergeCell ref="D55:E55"/>
    <mergeCell ref="D56:E56"/>
    <mergeCell ref="D57:E57"/>
    <mergeCell ref="D58:E58"/>
    <mergeCell ref="B15:G15"/>
    <mergeCell ref="D65:E65"/>
    <mergeCell ref="B13:G13"/>
    <mergeCell ref="B31:H31"/>
    <mergeCell ref="B115:C115"/>
    <mergeCell ref="B104:C104"/>
    <mergeCell ref="B81:C81"/>
    <mergeCell ref="B82:C82"/>
    <mergeCell ref="B120:C120"/>
    <mergeCell ref="B87:C87"/>
    <mergeCell ref="B99:C99"/>
    <mergeCell ref="B100:C100"/>
    <mergeCell ref="B101:C101"/>
    <mergeCell ref="B102:C102"/>
    <mergeCell ref="B103:C103"/>
    <mergeCell ref="B105:C105"/>
    <mergeCell ref="B106:C106"/>
    <mergeCell ref="B107:C107"/>
    <mergeCell ref="B108:C108"/>
    <mergeCell ref="B119:C119"/>
    <mergeCell ref="B97:I97"/>
    <mergeCell ref="B114:I114"/>
    <mergeCell ref="B96:C96"/>
    <mergeCell ref="B113:C113"/>
    <mergeCell ref="B93:C93"/>
    <mergeCell ref="B94:C94"/>
    <mergeCell ref="B95:C95"/>
    <mergeCell ref="B98:C98"/>
    <mergeCell ref="B215:C215"/>
    <mergeCell ref="B232:C232"/>
    <mergeCell ref="D59:E59"/>
    <mergeCell ref="B157:C157"/>
    <mergeCell ref="B158:C158"/>
    <mergeCell ref="B132:C132"/>
    <mergeCell ref="B133:C133"/>
    <mergeCell ref="B134:C134"/>
    <mergeCell ref="B135:C135"/>
    <mergeCell ref="B136:C136"/>
    <mergeCell ref="B159:C159"/>
    <mergeCell ref="B131:I131"/>
    <mergeCell ref="B148:I148"/>
    <mergeCell ref="B147:C147"/>
    <mergeCell ref="B151:C151"/>
    <mergeCell ref="B152:C152"/>
    <mergeCell ref="B153:C153"/>
    <mergeCell ref="B165:I165"/>
    <mergeCell ref="B182:I182"/>
    <mergeCell ref="B116:C116"/>
    <mergeCell ref="B117:C117"/>
    <mergeCell ref="B118:C118"/>
    <mergeCell ref="B199:I199"/>
    <mergeCell ref="B216:I216"/>
    <mergeCell ref="B233:I233"/>
    <mergeCell ref="B260:D260"/>
    <mergeCell ref="B261:D261"/>
    <mergeCell ref="B262:D262"/>
    <mergeCell ref="B253:D253"/>
    <mergeCell ref="B254:D254"/>
    <mergeCell ref="B255:D255"/>
    <mergeCell ref="B256:D256"/>
    <mergeCell ref="B257:D257"/>
    <mergeCell ref="B258:D258"/>
    <mergeCell ref="B259:D259"/>
    <mergeCell ref="B249:C249"/>
    <mergeCell ref="B200:C200"/>
    <mergeCell ref="B201:C201"/>
    <mergeCell ref="B202:C202"/>
    <mergeCell ref="B203:C203"/>
    <mergeCell ref="B204:C204"/>
    <mergeCell ref="B198:C198"/>
    <mergeCell ref="B122:C122"/>
    <mergeCell ref="B123:C123"/>
    <mergeCell ref="B124:C124"/>
    <mergeCell ref="B125:C125"/>
    <mergeCell ref="B154:C154"/>
    <mergeCell ref="B155:C155"/>
    <mergeCell ref="B156:C156"/>
    <mergeCell ref="B190:C190"/>
    <mergeCell ref="B191:C191"/>
    <mergeCell ref="B192:C192"/>
    <mergeCell ref="B183:C183"/>
    <mergeCell ref="B184:C184"/>
    <mergeCell ref="B185:C185"/>
    <mergeCell ref="B186:C186"/>
    <mergeCell ref="B187:C187"/>
    <mergeCell ref="B130:C130"/>
    <mergeCell ref="B181:C181"/>
    <mergeCell ref="B188:C188"/>
    <mergeCell ref="B189:C189"/>
    <mergeCell ref="B126:C126"/>
    <mergeCell ref="B127:C127"/>
    <mergeCell ref="B149:C149"/>
    <mergeCell ref="B150:C150"/>
    <mergeCell ref="B164:C164"/>
    <mergeCell ref="B129:C129"/>
    <mergeCell ref="AE81:AE85"/>
    <mergeCell ref="AE86:AE90"/>
    <mergeCell ref="AE91:AE94"/>
    <mergeCell ref="AE98:AE102"/>
    <mergeCell ref="AE103:AE107"/>
    <mergeCell ref="AE108:AE111"/>
    <mergeCell ref="AE115:AE119"/>
    <mergeCell ref="Q97:U97"/>
    <mergeCell ref="X97:AB97"/>
    <mergeCell ref="Q114:U114"/>
    <mergeCell ref="X114:AB114"/>
    <mergeCell ref="AE120:AE124"/>
    <mergeCell ref="AE125:AE128"/>
    <mergeCell ref="AE132:AE136"/>
    <mergeCell ref="AE137:AE141"/>
    <mergeCell ref="AE142:AE145"/>
    <mergeCell ref="AE149:AE153"/>
    <mergeCell ref="AE154:AE158"/>
    <mergeCell ref="AE159:AE162"/>
    <mergeCell ref="AE166:AE170"/>
    <mergeCell ref="AE171:AE175"/>
    <mergeCell ref="AE176:AE179"/>
    <mergeCell ref="AE183:AE187"/>
    <mergeCell ref="AE188:AE192"/>
    <mergeCell ref="AE193:AE196"/>
    <mergeCell ref="AE200:AE204"/>
    <mergeCell ref="AE205:AE209"/>
    <mergeCell ref="AE210:AE213"/>
    <mergeCell ref="AE217:AE221"/>
    <mergeCell ref="AE222:AE226"/>
    <mergeCell ref="AE227:AE230"/>
    <mergeCell ref="AE234:AE238"/>
    <mergeCell ref="AE239:AE243"/>
    <mergeCell ref="AE244:AE247"/>
    <mergeCell ref="Q216:U216"/>
    <mergeCell ref="X216:AB216"/>
    <mergeCell ref="Q233:U233"/>
    <mergeCell ref="X233:AB233"/>
    <mergeCell ref="Q131:U131"/>
    <mergeCell ref="X131:AB131"/>
    <mergeCell ref="Q148:U148"/>
    <mergeCell ref="X148:AB148"/>
    <mergeCell ref="Q165:U165"/>
    <mergeCell ref="X165:AB165"/>
    <mergeCell ref="Q182:U182"/>
    <mergeCell ref="X182:AB182"/>
    <mergeCell ref="Q199:U199"/>
    <mergeCell ref="X199:AB199"/>
    <mergeCell ref="AH80:AO80"/>
    <mergeCell ref="AH90:AL90"/>
    <mergeCell ref="AH91:AL91"/>
    <mergeCell ref="AM81:AO81"/>
    <mergeCell ref="AM82:AO82"/>
    <mergeCell ref="AM83:AO83"/>
    <mergeCell ref="AM87:AO87"/>
    <mergeCell ref="AM88:AO88"/>
    <mergeCell ref="AM89:AO89"/>
    <mergeCell ref="AM90:AO90"/>
    <mergeCell ref="AM91:AO91"/>
    <mergeCell ref="AM84:AO84"/>
    <mergeCell ref="AM85:AO85"/>
    <mergeCell ref="AM86:AO86"/>
    <mergeCell ref="AH84:AL84"/>
    <mergeCell ref="AH85:AL85"/>
    <mergeCell ref="AH86:AL86"/>
    <mergeCell ref="AH81:AL81"/>
    <mergeCell ref="AH82:AL82"/>
    <mergeCell ref="AH83:AL83"/>
    <mergeCell ref="AH87:AL87"/>
    <mergeCell ref="AH88:AL88"/>
    <mergeCell ref="AH89:AL89"/>
    <mergeCell ref="U32:Y32"/>
    <mergeCell ref="U33:Y33"/>
    <mergeCell ref="U34:Y34"/>
    <mergeCell ref="B32:H32"/>
    <mergeCell ref="B33:H33"/>
    <mergeCell ref="I51:J51"/>
    <mergeCell ref="Q80:U80"/>
    <mergeCell ref="X80:AB80"/>
    <mergeCell ref="I52:J52"/>
    <mergeCell ref="I53:J53"/>
    <mergeCell ref="I54:J54"/>
    <mergeCell ref="I55:J55"/>
    <mergeCell ref="I56:J56"/>
    <mergeCell ref="I57:J57"/>
    <mergeCell ref="I58:J58"/>
    <mergeCell ref="I59:J59"/>
    <mergeCell ref="I60:J60"/>
    <mergeCell ref="I61:J61"/>
    <mergeCell ref="D66:E66"/>
    <mergeCell ref="D67:E67"/>
    <mergeCell ref="D68:E68"/>
    <mergeCell ref="D69:E69"/>
    <mergeCell ref="D70:E70"/>
  </mergeCells>
  <hyperlinks>
    <hyperlink ref="B11" r:id="rId1" display="Принимая в работу данную спецификацию вы соглашаетесь с правилами выполнения расчетов в Проектно-Расчетном центре"/>
    <hyperlink ref="B11:G12" r:id="rId2" display="Принимая в работу данную спецификацию, Вы соглашаетесь с правилами выполнения расчетов в Проектно-Расчетном центре."/>
    <hyperlink ref="AH83" r:id="rId3"/>
    <hyperlink ref="AH81" r:id="rId4"/>
    <hyperlink ref="AH82" r:id="rId5"/>
    <hyperlink ref="AH88" r:id="rId6"/>
    <hyperlink ref="AH87" r:id="rId7"/>
    <hyperlink ref="AH89" r:id="rId8"/>
    <hyperlink ref="AH84" r:id="rId9"/>
    <hyperlink ref="AH85" r:id="rId10"/>
    <hyperlink ref="AH86" r:id="rId11"/>
    <hyperlink ref="AH90" r:id="rId12"/>
    <hyperlink ref="AH91" r:id="rId13"/>
    <hyperlink ref="U32" r:id="rId14"/>
    <hyperlink ref="U33" r:id="rId15"/>
    <hyperlink ref="U34" r:id="rId16"/>
    <hyperlink ref="B13:G13" r:id="rId17" display="Пояснения к расчётам ПРЦ можно получить по ссылке"/>
  </hyperlinks>
  <pageMargins left="0.7" right="0.7" top="0.75" bottom="0.75" header="0.3" footer="0.3"/>
  <pageSetup scale="23" fitToWidth="0" fitToHeight="0" orientation="portrait" r:id="rId18"/>
  <drawing r:id="rId19"/>
  <legacyDrawing r:id="rId2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2" r:id="rId21" name="Button 4">
              <controlPr defaultSize="0" print="0" autoFill="0" autoPict="0" macro="[0]!Отобразить_ТИП1">
                <anchor moveWithCells="1" sizeWithCells="1">
                  <from>
                    <xdr:col>7</xdr:col>
                    <xdr:colOff>0</xdr:colOff>
                    <xdr:row>79</xdr:row>
                    <xdr:rowOff>0</xdr:rowOff>
                  </from>
                  <to>
                    <xdr:col>9</xdr:col>
                    <xdr:colOff>0</xdr:colOff>
                    <xdr:row>79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73" r:id="rId22" name="Button 5">
              <controlPr defaultSize="0" print="0" autoFill="0" autoPict="0" macro="[0]!Отобразить_ТИП2">
                <anchor moveWithCells="1" sizeWithCells="1">
                  <from>
                    <xdr:col>7</xdr:col>
                    <xdr:colOff>0</xdr:colOff>
                    <xdr:row>96</xdr:row>
                    <xdr:rowOff>0</xdr:rowOff>
                  </from>
                  <to>
                    <xdr:col>9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74" r:id="rId23" name="Button 6">
              <controlPr defaultSize="0" print="0" autoFill="0" autoPict="0" macro="[0]!Отобразить_ТИП3">
                <anchor moveWithCells="1" sizeWithCells="1">
                  <from>
                    <xdr:col>7</xdr:col>
                    <xdr:colOff>0</xdr:colOff>
                    <xdr:row>113</xdr:row>
                    <xdr:rowOff>0</xdr:rowOff>
                  </from>
                  <to>
                    <xdr:col>9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75" r:id="rId24" name="Button 7">
              <controlPr defaultSize="0" print="0" autoFill="0" autoPict="0" macro="[0]!Отобразить_ТИП4">
                <anchor moveWithCells="1" sizeWithCells="1">
                  <from>
                    <xdr:col>7</xdr:col>
                    <xdr:colOff>0</xdr:colOff>
                    <xdr:row>130</xdr:row>
                    <xdr:rowOff>0</xdr:rowOff>
                  </from>
                  <to>
                    <xdr:col>9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76" r:id="rId25" name="Button 8">
              <controlPr defaultSize="0" print="0" autoFill="0" autoPict="0" macro="[0]!Отобразить_ТИП5">
                <anchor moveWithCells="1" sizeWithCells="1">
                  <from>
                    <xdr:col>7</xdr:col>
                    <xdr:colOff>0</xdr:colOff>
                    <xdr:row>147</xdr:row>
                    <xdr:rowOff>0</xdr:rowOff>
                  </from>
                  <to>
                    <xdr:col>9</xdr:col>
                    <xdr:colOff>0</xdr:colOff>
                    <xdr:row>147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77" r:id="rId26" name="Button 9">
              <controlPr defaultSize="0" print="0" autoFill="0" autoPict="0" macro="[0]!Отобразить_ТИП6">
                <anchor moveWithCells="1" sizeWithCells="1">
                  <from>
                    <xdr:col>6</xdr:col>
                    <xdr:colOff>640080</xdr:colOff>
                    <xdr:row>164</xdr:row>
                    <xdr:rowOff>0</xdr:rowOff>
                  </from>
                  <to>
                    <xdr:col>9</xdr:col>
                    <xdr:colOff>7620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78" r:id="rId27" name="Button 10">
              <controlPr defaultSize="0" print="0" autoFill="0" autoPict="0" macro="[0]!Отобразить_ТИП7">
                <anchor moveWithCells="1" sizeWithCells="1">
                  <from>
                    <xdr:col>7</xdr:col>
                    <xdr:colOff>0</xdr:colOff>
                    <xdr:row>181</xdr:row>
                    <xdr:rowOff>0</xdr:rowOff>
                  </from>
                  <to>
                    <xdr:col>9</xdr:col>
                    <xdr:colOff>7620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79" r:id="rId28" name="Button 11">
              <controlPr defaultSize="0" print="0" autoFill="0" autoPict="0" macro="[0]!Отобразить_ТИП8">
                <anchor moveWithCells="1" sizeWithCells="1">
                  <from>
                    <xdr:col>7</xdr:col>
                    <xdr:colOff>7620</xdr:colOff>
                    <xdr:row>198</xdr:row>
                    <xdr:rowOff>0</xdr:rowOff>
                  </from>
                  <to>
                    <xdr:col>9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80" r:id="rId29" name="Button 12">
              <controlPr defaultSize="0" print="0" autoFill="0" autoPict="0" macro="[0]!Отобразить_ТИП9">
                <anchor moveWithCells="1" sizeWithCells="1">
                  <from>
                    <xdr:col>6</xdr:col>
                    <xdr:colOff>640080</xdr:colOff>
                    <xdr:row>215</xdr:row>
                    <xdr:rowOff>0</xdr:rowOff>
                  </from>
                  <to>
                    <xdr:col>9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81" r:id="rId30" name="Button 13">
              <controlPr defaultSize="0" print="0" autoFill="0" autoPict="0" macro="[0]!Отобразить_ТИП10">
                <anchor moveWithCells="1" sizeWithCells="1">
                  <from>
                    <xdr:col>7</xdr:col>
                    <xdr:colOff>7620</xdr:colOff>
                    <xdr:row>231</xdr:row>
                    <xdr:rowOff>198120</xdr:rowOff>
                  </from>
                  <to>
                    <xdr:col>9</xdr:col>
                    <xdr:colOff>7620</xdr:colOff>
                    <xdr:row>232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1" r:id="rId31" name="Button 43">
              <controlPr defaultSize="0" print="0" autoFill="0" autoPict="0" macro="[0]!Крепеж_ТИП1">
                <anchor moveWithCells="1" sizeWithCells="1">
                  <from>
                    <xdr:col>10</xdr:col>
                    <xdr:colOff>7620</xdr:colOff>
                    <xdr:row>51</xdr:row>
                    <xdr:rowOff>7620</xdr:rowOff>
                  </from>
                  <to>
                    <xdr:col>11</xdr:col>
                    <xdr:colOff>601980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2" r:id="rId32" name="Button 44">
              <controlPr defaultSize="0" print="0" autoFill="0" autoPict="0" macro="[0]!Крепеж_ТИП2">
                <anchor moveWithCells="1" sizeWithCells="1">
                  <from>
                    <xdr:col>10</xdr:col>
                    <xdr:colOff>7620</xdr:colOff>
                    <xdr:row>52</xdr:row>
                    <xdr:rowOff>7620</xdr:rowOff>
                  </from>
                  <to>
                    <xdr:col>11</xdr:col>
                    <xdr:colOff>601980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4" r:id="rId33" name="Button 46">
              <controlPr defaultSize="0" print="0" autoFill="0" autoPict="0" macro="[0]!Крепеж_ТИП3">
                <anchor moveWithCells="1" sizeWithCells="1">
                  <from>
                    <xdr:col>10</xdr:col>
                    <xdr:colOff>7620</xdr:colOff>
                    <xdr:row>53</xdr:row>
                    <xdr:rowOff>7620</xdr:rowOff>
                  </from>
                  <to>
                    <xdr:col>11</xdr:col>
                    <xdr:colOff>601980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5" r:id="rId34" name="Button 47">
              <controlPr defaultSize="0" print="0" autoFill="0" autoPict="0" macro="[0]!Крепеж_ТИП4">
                <anchor moveWithCells="1" sizeWithCells="1">
                  <from>
                    <xdr:col>10</xdr:col>
                    <xdr:colOff>7620</xdr:colOff>
                    <xdr:row>54</xdr:row>
                    <xdr:rowOff>7620</xdr:rowOff>
                  </from>
                  <to>
                    <xdr:col>11</xdr:col>
                    <xdr:colOff>601980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6" r:id="rId35" name="Button 48">
              <controlPr defaultSize="0" print="0" autoFill="0" autoPict="0" macro="[0]!Крепеж_ТИП5">
                <anchor moveWithCells="1" sizeWithCells="1">
                  <from>
                    <xdr:col>10</xdr:col>
                    <xdr:colOff>7620</xdr:colOff>
                    <xdr:row>55</xdr:row>
                    <xdr:rowOff>7620</xdr:rowOff>
                  </from>
                  <to>
                    <xdr:col>11</xdr:col>
                    <xdr:colOff>601980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7" r:id="rId36" name="Button 49">
              <controlPr defaultSize="0" print="0" autoFill="0" autoPict="0" macro="[0]!Крепеж_ТИП6">
                <anchor moveWithCells="1" sizeWithCells="1">
                  <from>
                    <xdr:col>10</xdr:col>
                    <xdr:colOff>7620</xdr:colOff>
                    <xdr:row>56</xdr:row>
                    <xdr:rowOff>7620</xdr:rowOff>
                  </from>
                  <to>
                    <xdr:col>11</xdr:col>
                    <xdr:colOff>601980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8" r:id="rId37" name="Button 50">
              <controlPr defaultSize="0" print="0" autoFill="0" autoPict="0" macro="[0]!Крепеж_ТИП7">
                <anchor moveWithCells="1" sizeWithCells="1">
                  <from>
                    <xdr:col>10</xdr:col>
                    <xdr:colOff>7620</xdr:colOff>
                    <xdr:row>57</xdr:row>
                    <xdr:rowOff>7620</xdr:rowOff>
                  </from>
                  <to>
                    <xdr:col>11</xdr:col>
                    <xdr:colOff>601980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19" r:id="rId38" name="Button 51">
              <controlPr defaultSize="0" print="0" autoFill="0" autoPict="0" macro="[0]!Крепеж_ТИП8">
                <anchor moveWithCells="1" sizeWithCells="1">
                  <from>
                    <xdr:col>10</xdr:col>
                    <xdr:colOff>7620</xdr:colOff>
                    <xdr:row>58</xdr:row>
                    <xdr:rowOff>7620</xdr:rowOff>
                  </from>
                  <to>
                    <xdr:col>11</xdr:col>
                    <xdr:colOff>601980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20" r:id="rId39" name="Button 52">
              <controlPr defaultSize="0" print="0" autoFill="0" autoPict="0" macro="[0]!Крепеж_ТИП9">
                <anchor moveWithCells="1" sizeWithCells="1">
                  <from>
                    <xdr:col>10</xdr:col>
                    <xdr:colOff>7620</xdr:colOff>
                    <xdr:row>59</xdr:row>
                    <xdr:rowOff>7620</xdr:rowOff>
                  </from>
                  <to>
                    <xdr:col>11</xdr:col>
                    <xdr:colOff>601980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21" r:id="rId40" name="Button 53">
              <controlPr defaultSize="0" print="0" autoFill="0" autoPict="0" macro="[0]!Крепеж_ТИП10">
                <anchor moveWithCells="1" sizeWithCells="1">
                  <from>
                    <xdr:col>10</xdr:col>
                    <xdr:colOff>7620</xdr:colOff>
                    <xdr:row>60</xdr:row>
                    <xdr:rowOff>7620</xdr:rowOff>
                  </from>
                  <to>
                    <xdr:col>11</xdr:col>
                    <xdr:colOff>601980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90" r:id="rId41" name="Button 122">
              <controlPr defaultSize="0" print="0" autoFill="0" autoPict="0" macro="[0]!Отобразить_ТИП2">
                <anchor moveWithCells="1" sizeWithCells="1">
                  <from>
                    <xdr:col>7</xdr:col>
                    <xdr:colOff>0</xdr:colOff>
                    <xdr:row>96</xdr:row>
                    <xdr:rowOff>0</xdr:rowOff>
                  </from>
                  <to>
                    <xdr:col>9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1" r:id="rId42" name="Button 213">
              <controlPr defaultSize="0" print="0" autoFill="0" autoPict="0" macro="[0]!ТИП1">
                <anchor moveWithCells="1" sizeWithCells="1">
                  <from>
                    <xdr:col>9</xdr:col>
                    <xdr:colOff>22860</xdr:colOff>
                    <xdr:row>18</xdr:row>
                    <xdr:rowOff>464820</xdr:rowOff>
                  </from>
                  <to>
                    <xdr:col>9</xdr:col>
                    <xdr:colOff>617220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2" r:id="rId43" name="Button 214">
              <controlPr defaultSize="0" print="0" autoFill="0" autoPict="0" macro="[0]!ТИП2">
                <anchor moveWithCells="1" sizeWithCells="1">
                  <from>
                    <xdr:col>9</xdr:col>
                    <xdr:colOff>22860</xdr:colOff>
                    <xdr:row>19</xdr:row>
                    <xdr:rowOff>190500</xdr:rowOff>
                  </from>
                  <to>
                    <xdr:col>9</xdr:col>
                    <xdr:colOff>617220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3" r:id="rId44" name="Button 215">
              <controlPr defaultSize="0" print="0" autoFill="0" autoPict="0" macro="[0]!ТИП3">
                <anchor moveWithCells="1" sizeWithCells="1">
                  <from>
                    <xdr:col>9</xdr:col>
                    <xdr:colOff>22860</xdr:colOff>
                    <xdr:row>20</xdr:row>
                    <xdr:rowOff>190500</xdr:rowOff>
                  </from>
                  <to>
                    <xdr:col>9</xdr:col>
                    <xdr:colOff>617220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4" r:id="rId45" name="Button 216">
              <controlPr defaultSize="0" print="0" autoFill="0" autoPict="0" macro="[0]!ТИП4">
                <anchor moveWithCells="1" sizeWithCells="1">
                  <from>
                    <xdr:col>9</xdr:col>
                    <xdr:colOff>22860</xdr:colOff>
                    <xdr:row>21</xdr:row>
                    <xdr:rowOff>190500</xdr:rowOff>
                  </from>
                  <to>
                    <xdr:col>9</xdr:col>
                    <xdr:colOff>617220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5" r:id="rId46" name="Button 217">
              <controlPr defaultSize="0" print="0" autoFill="0" autoPict="0" macro="[0]!ТИП5">
                <anchor moveWithCells="1" sizeWithCells="1">
                  <from>
                    <xdr:col>9</xdr:col>
                    <xdr:colOff>22860</xdr:colOff>
                    <xdr:row>22</xdr:row>
                    <xdr:rowOff>190500</xdr:rowOff>
                  </from>
                  <to>
                    <xdr:col>9</xdr:col>
                    <xdr:colOff>617220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6" r:id="rId47" name="Button 218">
              <controlPr defaultSize="0" print="0" autoFill="0" autoPict="0" macro="[0]!ТИП6">
                <anchor moveWithCells="1" sizeWithCells="1">
                  <from>
                    <xdr:col>9</xdr:col>
                    <xdr:colOff>22860</xdr:colOff>
                    <xdr:row>23</xdr:row>
                    <xdr:rowOff>190500</xdr:rowOff>
                  </from>
                  <to>
                    <xdr:col>9</xdr:col>
                    <xdr:colOff>617220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7" r:id="rId48" name="Button 219">
              <controlPr defaultSize="0" print="0" autoFill="0" autoPict="0" macro="[0]!ТИП7">
                <anchor moveWithCells="1" sizeWithCells="1">
                  <from>
                    <xdr:col>9</xdr:col>
                    <xdr:colOff>22860</xdr:colOff>
                    <xdr:row>24</xdr:row>
                    <xdr:rowOff>190500</xdr:rowOff>
                  </from>
                  <to>
                    <xdr:col>9</xdr:col>
                    <xdr:colOff>617220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8" r:id="rId49" name="Button 220">
              <controlPr defaultSize="0" print="0" autoFill="0" autoPict="0" macro="[0]!ТИП8">
                <anchor moveWithCells="1" sizeWithCells="1">
                  <from>
                    <xdr:col>9</xdr:col>
                    <xdr:colOff>22860</xdr:colOff>
                    <xdr:row>25</xdr:row>
                    <xdr:rowOff>190500</xdr:rowOff>
                  </from>
                  <to>
                    <xdr:col>9</xdr:col>
                    <xdr:colOff>617220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89" r:id="rId50" name="Button 221">
              <controlPr defaultSize="0" print="0" autoFill="0" autoPict="0" macro="[0]!ТИП9">
                <anchor moveWithCells="1" sizeWithCells="1">
                  <from>
                    <xdr:col>9</xdr:col>
                    <xdr:colOff>22860</xdr:colOff>
                    <xdr:row>26</xdr:row>
                    <xdr:rowOff>190500</xdr:rowOff>
                  </from>
                  <to>
                    <xdr:col>9</xdr:col>
                    <xdr:colOff>617220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90" r:id="rId51" name="Button 222">
              <controlPr defaultSize="0" print="0" autoFill="0" autoPict="0" macro="[0]!ТИП10">
                <anchor moveWithCells="1" sizeWithCells="1">
                  <from>
                    <xdr:col>9</xdr:col>
                    <xdr:colOff>22860</xdr:colOff>
                    <xdr:row>27</xdr:row>
                    <xdr:rowOff>190500</xdr:rowOff>
                  </from>
                  <to>
                    <xdr:col>9</xdr:col>
                    <xdr:colOff>617220</xdr:colOff>
                    <xdr:row>28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 filterMode="1"/>
  <dimension ref="A1:BN83"/>
  <sheetViews>
    <sheetView workbookViewId="0">
      <selection activeCell="X1" sqref="X1"/>
    </sheetView>
  </sheetViews>
  <sheetFormatPr defaultColWidth="9.109375" defaultRowHeight="14.4" outlineLevelCol="1"/>
  <cols>
    <col min="1" max="4" width="9.109375" style="87"/>
    <col min="5" max="5" width="21" style="87" bestFit="1" customWidth="1"/>
    <col min="6" max="6" width="9.6640625" style="87" customWidth="1"/>
    <col min="7" max="7" width="26.6640625" style="87" customWidth="1"/>
    <col min="8" max="9" width="16.44140625" style="87" hidden="1" customWidth="1" outlineLevel="1"/>
    <col min="10" max="10" width="18" style="87" hidden="1" customWidth="1" outlineLevel="1"/>
    <col min="11" max="11" width="27.44140625" style="522" bestFit="1" customWidth="1" collapsed="1"/>
    <col min="12" max="12" width="8.109375" style="87" hidden="1" customWidth="1" outlineLevel="1"/>
    <col min="13" max="13" width="7.5546875" style="87" hidden="1" customWidth="1" outlineLevel="1"/>
    <col min="14" max="14" width="12.33203125" style="87" hidden="1" customWidth="1" outlineLevel="1"/>
    <col min="15" max="15" width="7.5546875" style="87" hidden="1" customWidth="1" outlineLevel="1"/>
    <col min="16" max="16" width="10.33203125" style="87" customWidth="1" collapsed="1"/>
    <col min="17" max="17" width="8.33203125" style="361" hidden="1" customWidth="1" outlineLevel="1"/>
    <col min="18" max="18" width="20.44140625" style="87" bestFit="1" customWidth="1" collapsed="1"/>
    <col min="19" max="19" width="17.109375" style="87" hidden="1" customWidth="1" outlineLevel="1"/>
    <col min="20" max="20" width="11.109375" style="87" hidden="1" customWidth="1" outlineLevel="1"/>
    <col min="21" max="21" width="9.5546875" style="87" hidden="1" customWidth="1" outlineLevel="1"/>
    <col min="22" max="22" width="9.33203125" style="87" hidden="1" customWidth="1" outlineLevel="1"/>
    <col min="23" max="23" width="9.6640625" style="87" hidden="1" customWidth="1" outlineLevel="1"/>
    <col min="24" max="25" width="9.33203125" style="87" hidden="1" customWidth="1" outlineLevel="1"/>
    <col min="26" max="26" width="9.109375" style="87" hidden="1" customWidth="1" outlineLevel="1"/>
    <col min="27" max="27" width="11.109375" style="87" hidden="1" customWidth="1" outlineLevel="1"/>
    <col min="28" max="28" width="14.109375" style="87" bestFit="1" customWidth="1" collapsed="1"/>
    <col min="29" max="29" width="10.5546875" style="87" hidden="1" customWidth="1" outlineLevel="1"/>
    <col min="30" max="30" width="10.88671875" style="87" hidden="1" customWidth="1" outlineLevel="1"/>
    <col min="31" max="31" width="9.109375" style="87" collapsed="1"/>
    <col min="32" max="32" width="18" style="87" hidden="1" customWidth="1" outlineLevel="1"/>
    <col min="33" max="33" width="19.5546875" style="87" hidden="1" customWidth="1" outlineLevel="1"/>
    <col min="34" max="34" width="16.33203125" style="87" customWidth="1" collapsed="1"/>
    <col min="35" max="36" width="20.33203125" style="87" hidden="1" customWidth="1" outlineLevel="1"/>
    <col min="37" max="37" width="30.109375" style="87" hidden="1" customWidth="1" outlineLevel="1"/>
    <col min="38" max="38" width="12.109375" style="361" hidden="1" customWidth="1" outlineLevel="1"/>
    <col min="39" max="39" width="13.109375" style="361" hidden="1" customWidth="1" outlineLevel="1"/>
    <col min="40" max="40" width="9.109375" style="361" hidden="1" customWidth="1" outlineLevel="1"/>
    <col min="41" max="41" width="10.5546875" style="361" bestFit="1" customWidth="1" collapsed="1"/>
    <col min="42" max="42" width="23.5546875" style="87" bestFit="1" customWidth="1"/>
    <col min="43" max="43" width="9.109375" style="87" customWidth="1"/>
    <col min="44" max="46" width="9.109375" style="87"/>
    <col min="47" max="47" width="15" style="87" customWidth="1"/>
    <col min="48" max="48" width="9.109375" style="87"/>
    <col min="49" max="49" width="9.33203125" style="87" customWidth="1"/>
    <col min="50" max="50" width="32.33203125" style="87" customWidth="1"/>
    <col min="51" max="60" width="19.6640625" style="87" customWidth="1"/>
    <col min="61" max="61" width="11.109375" style="87" customWidth="1"/>
    <col min="62" max="62" width="12.109375" style="87" customWidth="1"/>
    <col min="63" max="63" width="27" style="363" customWidth="1"/>
    <col min="64" max="65" width="15.109375" style="363" customWidth="1"/>
    <col min="66" max="66" width="11.109375" style="87" bestFit="1" customWidth="1"/>
    <col min="67" max="16384" width="9.109375" style="87"/>
  </cols>
  <sheetData>
    <row r="1" spans="1:66" ht="20.399999999999999">
      <c r="A1" s="362" t="s">
        <v>888</v>
      </c>
      <c r="B1" s="362" t="s">
        <v>889</v>
      </c>
      <c r="C1" s="362" t="s">
        <v>890</v>
      </c>
      <c r="D1" s="362" t="s">
        <v>128</v>
      </c>
      <c r="E1" s="362" t="s">
        <v>66</v>
      </c>
      <c r="F1" s="362" t="s">
        <v>67</v>
      </c>
      <c r="G1" s="362" t="s">
        <v>68</v>
      </c>
      <c r="H1" s="362" t="str">
        <f>ОБЩИЕ_ДАННЫЕ!B10</f>
        <v>Адрес объекта/ Регион объекта</v>
      </c>
      <c r="I1" s="362" t="s">
        <v>466</v>
      </c>
      <c r="J1" s="362" t="str">
        <f>ОБЩИЕ_ДАННЫЕ!B17</f>
        <v>Текущая стадия</v>
      </c>
      <c r="K1" s="827" t="s">
        <v>70</v>
      </c>
      <c r="L1" s="362" t="s">
        <v>111</v>
      </c>
      <c r="M1" s="362" t="s">
        <v>105</v>
      </c>
      <c r="N1" s="362" t="s">
        <v>109</v>
      </c>
      <c r="O1" s="362" t="s">
        <v>301</v>
      </c>
      <c r="P1" s="362" t="s">
        <v>69</v>
      </c>
      <c r="Q1" s="362" t="s">
        <v>3</v>
      </c>
      <c r="R1" s="362" t="s">
        <v>70</v>
      </c>
      <c r="S1" s="362" t="s">
        <v>53</v>
      </c>
      <c r="T1" s="362" t="s">
        <v>54</v>
      </c>
      <c r="U1" s="362" t="s">
        <v>60</v>
      </c>
      <c r="V1" s="362" t="s">
        <v>52</v>
      </c>
      <c r="W1" s="362" t="s">
        <v>58</v>
      </c>
      <c r="X1" s="362" t="s">
        <v>64</v>
      </c>
      <c r="Y1" s="362" t="s">
        <v>61</v>
      </c>
      <c r="Z1" s="362" t="s">
        <v>72</v>
      </c>
      <c r="AA1" s="362" t="s">
        <v>71</v>
      </c>
      <c r="AB1" s="362" t="s">
        <v>51</v>
      </c>
      <c r="AC1" s="362" t="s">
        <v>76</v>
      </c>
      <c r="AD1" s="362" t="s">
        <v>75</v>
      </c>
      <c r="AE1" s="362" t="s">
        <v>77</v>
      </c>
      <c r="AF1" s="362" t="s">
        <v>73</v>
      </c>
      <c r="AG1" s="362" t="s">
        <v>74</v>
      </c>
      <c r="AH1" s="362" t="str">
        <f>ОБЩИЕ_ДАННЫЕ!B12</f>
        <v>Организация/Для кого</v>
      </c>
      <c r="AI1" s="362" t="s">
        <v>78</v>
      </c>
      <c r="AJ1" s="362" t="str">
        <f>ОБЩИЕ_ДАННЫЕ!B14</f>
        <v>Должность</v>
      </c>
      <c r="AK1" s="362" t="s">
        <v>65</v>
      </c>
      <c r="AL1" s="362" t="s">
        <v>351</v>
      </c>
      <c r="AM1" s="362" t="s">
        <v>523</v>
      </c>
      <c r="AN1" s="362" t="s">
        <v>352</v>
      </c>
      <c r="AO1" s="362" t="s">
        <v>353</v>
      </c>
      <c r="AP1" s="362" t="str">
        <f>ОБЩИЕ_ДАННЫЕ!H27</f>
        <v>Примечание:</v>
      </c>
      <c r="AQ1" s="362" t="s">
        <v>417</v>
      </c>
      <c r="AR1" s="362" t="s">
        <v>292</v>
      </c>
      <c r="AS1" s="362" t="s">
        <v>418</v>
      </c>
      <c r="AT1" s="362" t="s">
        <v>522</v>
      </c>
      <c r="AU1" s="362" t="s">
        <v>608</v>
      </c>
      <c r="AV1" s="362" t="s">
        <v>718</v>
      </c>
      <c r="AW1" s="362" t="s">
        <v>735</v>
      </c>
      <c r="AX1" s="362" t="s">
        <v>736</v>
      </c>
      <c r="AY1" s="362" t="s">
        <v>483</v>
      </c>
      <c r="AZ1" s="362" t="s">
        <v>484</v>
      </c>
      <c r="BA1" s="362" t="s">
        <v>485</v>
      </c>
      <c r="BB1" s="362" t="s">
        <v>486</v>
      </c>
      <c r="BC1" s="362" t="s">
        <v>487</v>
      </c>
      <c r="BD1" s="362" t="s">
        <v>488</v>
      </c>
      <c r="BE1" s="362" t="s">
        <v>489</v>
      </c>
      <c r="BF1" s="362" t="s">
        <v>490</v>
      </c>
      <c r="BG1" s="362" t="s">
        <v>491</v>
      </c>
      <c r="BH1" s="362" t="s">
        <v>492</v>
      </c>
      <c r="BI1" s="362" t="s">
        <v>799</v>
      </c>
      <c r="BJ1" s="362" t="s">
        <v>930</v>
      </c>
      <c r="BK1" s="362" t="s">
        <v>931</v>
      </c>
      <c r="BL1" s="362" t="s">
        <v>932</v>
      </c>
      <c r="BM1" s="362" t="s">
        <v>933</v>
      </c>
      <c r="BN1" s="362" t="s">
        <v>1141</v>
      </c>
    </row>
    <row r="2" spans="1:66" ht="28.8">
      <c r="A2" s="812"/>
      <c r="B2" s="812"/>
      <c r="C2" s="812"/>
      <c r="D2" s="812"/>
      <c r="E2" s="826" t="str">
        <f>ОБЩИЕ_ДАННЫЕ!C6</f>
        <v>11-27ХХ-МПКПМКИ-12.21</v>
      </c>
      <c r="F2" s="826" t="str">
        <f>ОБЩИЕ_ДАННЫЕ!C7</f>
        <v xml:space="preserve"> </v>
      </c>
      <c r="G2" s="826" t="str">
        <f>ОБЩИЕ_ДАННЫЕ!C9</f>
        <v xml:space="preserve">Многофункциональный спортивный центр </v>
      </c>
      <c r="H2" s="826" t="str">
        <f>ОБЩИЕ_ДАННЫЕ!C10</f>
        <v>Тверь</v>
      </c>
      <c r="I2" s="826" t="str">
        <f>ОБЩИЕ_ДАННЫЕ!F10</f>
        <v>ЦФО</v>
      </c>
      <c r="J2" s="826" t="str">
        <f>ОБЩИЕ_ДАННЫЕ!C17</f>
        <v>Нулевой цикл</v>
      </c>
      <c r="K2" s="450" t="str">
        <f>ОБЩИЕ_ДАННЫЕ!C18</f>
        <v>Новый расчет</v>
      </c>
      <c r="L2" s="826">
        <f>ОБЩИЕ_ДАННЫЕ!C19</f>
        <v>1</v>
      </c>
      <c r="M2" s="826">
        <f>ОБЩИЕ_ДАННЫЕ!F19</f>
        <v>1</v>
      </c>
      <c r="N2" s="531">
        <f ca="1">Прайс!AD6</f>
        <v>1</v>
      </c>
      <c r="O2" s="777">
        <v>0</v>
      </c>
      <c r="P2" s="531">
        <f ca="1">Прайс!AC5</f>
        <v>41</v>
      </c>
      <c r="Q2" s="888">
        <f ca="1">Прайс!AC7</f>
        <v>1</v>
      </c>
      <c r="R2" s="531" t="str">
        <f ca="1">IF(Q2=0,"Клины",Прайс!F130)</f>
        <v>КИ</v>
      </c>
      <c r="S2" s="529">
        <f ca="1">'Деление по СБЕ'!C6</f>
        <v>599.99999999940007</v>
      </c>
      <c r="T2" s="529">
        <f ca="1">'Деление по СБЕ'!D6</f>
        <v>0</v>
      </c>
      <c r="U2" s="529">
        <f ca="1">'Деление по СБЕ'!E6</f>
        <v>0</v>
      </c>
      <c r="V2" s="777">
        <v>0</v>
      </c>
      <c r="W2" s="777">
        <v>0</v>
      </c>
      <c r="X2" s="777">
        <v>0</v>
      </c>
      <c r="Y2" s="777">
        <v>0</v>
      </c>
      <c r="Z2" s="777">
        <v>0</v>
      </c>
      <c r="AA2" s="777">
        <v>0</v>
      </c>
      <c r="AB2" s="530">
        <f t="shared" ref="AB2:AB12" ca="1" si="0">SUM(S2:AA2)</f>
        <v>599.99999999940007</v>
      </c>
      <c r="AC2" s="828" t="str">
        <f>IF(ISBLANK(ОБЩИЕ_ДАННЫЕ!C3),"0",ОБЩИЕ_ДАННЫЕ!C3)</f>
        <v>13.12.2021</v>
      </c>
      <c r="AD2" s="828">
        <f>IF(ISBLANK(ОБЩИЕ_ДАННЫЕ!C4),"0",ОБЩИЕ_ДАННЫЕ!C4)</f>
        <v>44543</v>
      </c>
      <c r="AE2" s="826">
        <f>IFERROR(AD2-AC2,0)</f>
        <v>0</v>
      </c>
      <c r="AF2" s="826" t="str">
        <f>ОБЩИЕ_ДАННЫЕ!C11</f>
        <v>Торговый партнер</v>
      </c>
      <c r="AG2" s="531" t="str">
        <f>ОБЩИЕ_ДАННЫЕ!F11</f>
        <v>ЦФО</v>
      </c>
      <c r="AH2" s="531">
        <f>IF(ОБЩИЕ_ДАННЫЕ!C11="РТП",0,ОБЩИЕ_ДАННЫЕ!C12)</f>
        <v>0</v>
      </c>
      <c r="AI2" s="826">
        <f>ОБЩИЕ_ДАННЫЕ!C13</f>
        <v>0</v>
      </c>
      <c r="AJ2" s="826" t="str">
        <f>ОБЩИЕ_ДАННЫЕ!C14</f>
        <v>менеджер</v>
      </c>
      <c r="AK2" s="826">
        <f>ОБЩИЕ_ДАННЫЕ!C15</f>
        <v>0</v>
      </c>
      <c r="AL2" s="531">
        <f ca="1">MROUND(ОБЩИЕ_ДАННЫЕ!O108,0.25)</f>
        <v>150</v>
      </c>
      <c r="AM2" s="826">
        <f t="shared" ref="AM2:AM31" ca="1" si="1">MROUND(AB2/4*Регион,0.25)</f>
        <v>150</v>
      </c>
      <c r="AN2" s="532">
        <f ca="1">AM2</f>
        <v>150</v>
      </c>
      <c r="AO2" s="533">
        <f ca="1">AN2/0.87</f>
        <v>172.41379310344828</v>
      </c>
      <c r="AP2" s="829" t="str">
        <f>ОБЩИЕ_ДАННЫЕ!J27</f>
        <v>-</v>
      </c>
      <c r="AQ2" s="530">
        <f ca="1">IF(SUM(INDIRECT({"ТИП1";"ТИП2";"ТИП3";"ТИП4";"ТИП5";"ТИП6";"ТИП7";"ТИП8";"ТИП9";"ТИП10"}&amp;"!W21"))&gt;0,SUM(INDIRECT({"ТИП1";"ТИП2";"ТИП3";"ТИП4";"ТИП5";"ТИП6";"ТИП7";"ТИП8";"ТИП9";"ТИП10"}&amp;"!W21")),0)</f>
        <v>2</v>
      </c>
      <c r="AR2" s="530">
        <f ca="1">IF(SUM(INDIRECT({"ТИП1";"ТИП2";"ТИП3";"ТИП4";"ТИП5";"ТИП6";"ТИП7";"ТИП8";"ТИП9";"ТИП10"}&amp;"!W22"))&gt;0,SUM(INDIRECT({"ТИП1";"ТИП2";"ТИП3";"ТИП4";"ТИП5";"ТИП6";"ТИП7";"ТИП8";"ТИП9";"ТИП10"}&amp;"!W22")),0)</f>
        <v>0</v>
      </c>
      <c r="AS2" s="530">
        <f ca="1">IF(SUM(INDIRECT({"ТИП1";"ТИП2";"ТИП3";"ТИП4";"ТИП5";"ТИП6";"ТИП7";"ТИП8";"ТИП9";"ТИП10"}&amp;"!W23"))&gt;0,SUM(INDIRECT({"ТИП1";"ТИП2";"ТИП3";"ТИП4";"ТИП5";"ТИП6";"ТИП7";"ТИП8";"ТИП9";"ТИП10"}&amp;"!W23")),0)</f>
        <v>0</v>
      </c>
      <c r="AT2" s="826" t="str">
        <f>ОБЩИЕ_ДАННЫЕ!C5</f>
        <v>1555ХХ</v>
      </c>
      <c r="AU2" s="444">
        <f>ОБЩИЕ_ДАННЫЕ!E15</f>
        <v>0</v>
      </c>
      <c r="AV2" s="777">
        <v>0</v>
      </c>
      <c r="AW2" s="777"/>
      <c r="AX2" s="770">
        <f>ОБЩИЕ_ДАННЫЕ!L27</f>
        <v>0</v>
      </c>
      <c r="AY2" s="777">
        <v>0</v>
      </c>
      <c r="AZ2" s="777">
        <v>0</v>
      </c>
      <c r="BA2" s="777">
        <v>0</v>
      </c>
      <c r="BB2" s="777">
        <v>0</v>
      </c>
      <c r="BC2" s="777">
        <v>0</v>
      </c>
      <c r="BD2" s="777">
        <v>0</v>
      </c>
      <c r="BE2" s="777">
        <v>0</v>
      </c>
      <c r="BF2" s="777">
        <v>0</v>
      </c>
      <c r="BG2" s="777">
        <v>0</v>
      </c>
      <c r="BH2" s="777">
        <v>0</v>
      </c>
      <c r="BI2" s="826" t="str">
        <f>ОБЩИЕ_ДАННЫЕ!C8</f>
        <v xml:space="preserve"> </v>
      </c>
      <c r="BJ2" s="826" t="str">
        <f>ОБЩИЕ_ДАННЫЕ!E12</f>
        <v>Для кого</v>
      </c>
      <c r="BK2" s="873">
        <f>ОБЩИЕ_ДАННЫЕ!$C$207</f>
        <v>0</v>
      </c>
      <c r="BL2" s="854">
        <f>ОБЩИЕ_ДАННЫЕ!C211</f>
        <v>7710959468</v>
      </c>
      <c r="BM2" s="854">
        <f>ОБЩИЕ_ДАННЫЕ!C212</f>
        <v>772401001</v>
      </c>
      <c r="BN2" s="777">
        <v>0</v>
      </c>
    </row>
    <row r="3" spans="1:66" ht="28.8">
      <c r="A3" s="812"/>
      <c r="B3" s="812"/>
      <c r="C3" s="812"/>
      <c r="D3" s="812"/>
      <c r="E3" s="826" t="str">
        <f>$E$2</f>
        <v>11-27ХХ-МПКПМКИ-12.21</v>
      </c>
      <c r="F3" s="826" t="str">
        <f>$F$2</f>
        <v xml:space="preserve"> </v>
      </c>
      <c r="G3" s="826" t="str">
        <f>$G$2</f>
        <v xml:space="preserve">Многофункциональный спортивный центр </v>
      </c>
      <c r="H3" s="826" t="str">
        <f>$H$2</f>
        <v>Тверь</v>
      </c>
      <c r="I3" s="826" t="str">
        <f>$I$2</f>
        <v>ЦФО</v>
      </c>
      <c r="J3" s="826" t="str">
        <f>$J$2</f>
        <v>Нулевой цикл</v>
      </c>
      <c r="K3" s="830" t="str">
        <f>$K$2</f>
        <v>Новый расчет</v>
      </c>
      <c r="L3" s="826">
        <f>$L$2</f>
        <v>1</v>
      </c>
      <c r="M3" s="826">
        <f>$M$2</f>
        <v>1</v>
      </c>
      <c r="N3" s="826">
        <f ca="1">ОБЩИЕ_ДАННЫЕ!C20</f>
        <v>2</v>
      </c>
      <c r="O3" s="777">
        <v>0</v>
      </c>
      <c r="P3" s="531">
        <f ca="1">ОБЩИЕ_ДАННЫЕ!N86</f>
        <v>1751</v>
      </c>
      <c r="Q3" s="880">
        <f>ОБЩИЕ_ДАННЫЕ!O35</f>
        <v>2</v>
      </c>
      <c r="R3" s="826" t="str">
        <f>Прайс!F131</f>
        <v>МПК ПМ</v>
      </c>
      <c r="S3" s="529">
        <f ca="1">'Деление по СБЕ'!C21</f>
        <v>332.30769230769238</v>
      </c>
      <c r="T3" s="529">
        <f ca="1">'Деление по СБЕ'!D21</f>
        <v>0</v>
      </c>
      <c r="U3" s="529">
        <f ca="1">'Деление по СБЕ'!E21</f>
        <v>0</v>
      </c>
      <c r="V3" s="529">
        <f ca="1">'Деление по СБЕ'!F21</f>
        <v>775.38461538461547</v>
      </c>
      <c r="W3" s="529">
        <f ca="1">'Деление по СБЕ'!G21</f>
        <v>332.30769230769238</v>
      </c>
      <c r="X3" s="529">
        <f ca="1">'Деление по СБЕ'!H21</f>
        <v>0</v>
      </c>
      <c r="Y3" s="777">
        <v>0</v>
      </c>
      <c r="Z3" s="777">
        <v>0</v>
      </c>
      <c r="AA3" s="777">
        <v>0</v>
      </c>
      <c r="AB3" s="530">
        <f t="shared" ca="1" si="0"/>
        <v>1440.0000000000002</v>
      </c>
      <c r="AC3" s="828" t="str">
        <f>$AC$2</f>
        <v>13.12.2021</v>
      </c>
      <c r="AD3" s="828">
        <f>$AD$2</f>
        <v>44543</v>
      </c>
      <c r="AE3" s="826">
        <f t="shared" ref="AE3:AE35" si="2">IFERROR(AD3-AC3,0)</f>
        <v>0</v>
      </c>
      <c r="AF3" s="826" t="str">
        <f>$AF$2</f>
        <v>Торговый партнер</v>
      </c>
      <c r="AG3" s="531" t="str">
        <f>$AG$2</f>
        <v>ЦФО</v>
      </c>
      <c r="AH3" s="531">
        <f>$AH$2</f>
        <v>0</v>
      </c>
      <c r="AI3" s="826">
        <f>$AI$2</f>
        <v>0</v>
      </c>
      <c r="AJ3" s="826" t="str">
        <f>$AJ$2</f>
        <v>менеджер</v>
      </c>
      <c r="AK3" s="826">
        <f>$AK$2</f>
        <v>0</v>
      </c>
      <c r="AL3" s="531">
        <f ca="1">MROUND(ОБЩИЕ_ДАННЫЕ!L109,0.25)</f>
        <v>300</v>
      </c>
      <c r="AM3" s="826">
        <f t="shared" ca="1" si="1"/>
        <v>360</v>
      </c>
      <c r="AN3" s="532">
        <f t="shared" ref="AN3:AN12" ca="1" si="3">AM3</f>
        <v>360</v>
      </c>
      <c r="AO3" s="533">
        <f t="shared" ref="AO3:AO12" ca="1" si="4">AN3/0.87</f>
        <v>413.79310344827587</v>
      </c>
      <c r="AP3" s="829" t="str">
        <f>$AP$2</f>
        <v>-</v>
      </c>
      <c r="AQ3" s="777">
        <v>0</v>
      </c>
      <c r="AR3" s="777">
        <v>0</v>
      </c>
      <c r="AS3" s="777">
        <v>0</v>
      </c>
      <c r="AT3" s="826" t="str">
        <f>$AT$2</f>
        <v>1555ХХ</v>
      </c>
      <c r="AU3" s="444">
        <f>$AU$2</f>
        <v>0</v>
      </c>
      <c r="AV3" s="777">
        <v>0</v>
      </c>
      <c r="AW3" s="777"/>
      <c r="AX3" s="770">
        <f>$AX$2</f>
        <v>0</v>
      </c>
      <c r="AY3" s="777">
        <v>0</v>
      </c>
      <c r="AZ3" s="777">
        <v>0</v>
      </c>
      <c r="BA3" s="777">
        <v>0</v>
      </c>
      <c r="BB3" s="777">
        <v>0</v>
      </c>
      <c r="BC3" s="777">
        <v>0</v>
      </c>
      <c r="BD3" s="777">
        <v>0</v>
      </c>
      <c r="BE3" s="777">
        <v>0</v>
      </c>
      <c r="BF3" s="777">
        <v>0</v>
      </c>
      <c r="BG3" s="777">
        <v>0</v>
      </c>
      <c r="BH3" s="777">
        <v>0</v>
      </c>
      <c r="BI3" s="826" t="str">
        <f>$BI$2</f>
        <v xml:space="preserve"> </v>
      </c>
      <c r="BJ3" s="826" t="str">
        <f>$BJ$2</f>
        <v>Для кого</v>
      </c>
      <c r="BK3" s="873">
        <f>ОБЩИЕ_ДАННЫЕ!$C$207</f>
        <v>0</v>
      </c>
      <c r="BL3" s="854">
        <f>$BL$2</f>
        <v>7710959468</v>
      </c>
      <c r="BM3" s="854">
        <f>$BM$2</f>
        <v>772401001</v>
      </c>
      <c r="BN3" s="777">
        <v>0</v>
      </c>
    </row>
    <row r="4" spans="1:66" ht="28.8" hidden="1">
      <c r="A4" s="812"/>
      <c r="B4" s="812"/>
      <c r="C4" s="812"/>
      <c r="D4" s="812"/>
      <c r="E4" s="826" t="str">
        <f t="shared" ref="E4:E37" si="5">$E$2</f>
        <v>11-27ХХ-МПКПМКИ-12.21</v>
      </c>
      <c r="F4" s="826" t="str">
        <f t="shared" ref="F4:F37" si="6">$F$2</f>
        <v xml:space="preserve"> </v>
      </c>
      <c r="G4" s="826" t="str">
        <f t="shared" ref="G4:G37" si="7">$G$2</f>
        <v xml:space="preserve">Многофункциональный спортивный центр </v>
      </c>
      <c r="H4" s="826" t="str">
        <f t="shared" ref="H4:H37" si="8">$H$2</f>
        <v>Тверь</v>
      </c>
      <c r="I4" s="826" t="str">
        <f t="shared" ref="I4:I37" si="9">$I$2</f>
        <v>ЦФО</v>
      </c>
      <c r="J4" s="826" t="str">
        <f t="shared" ref="J4:J37" si="10">$J$2</f>
        <v>Нулевой цикл</v>
      </c>
      <c r="K4" s="830" t="str">
        <f t="shared" ref="K4:K37" si="11">$K$2</f>
        <v>Новый расчет</v>
      </c>
      <c r="L4" s="826">
        <f t="shared" ref="L4:L37" si="12">$L$2</f>
        <v>1</v>
      </c>
      <c r="M4" s="826">
        <f t="shared" ref="M4:M37" si="13">$M$2</f>
        <v>1</v>
      </c>
      <c r="N4" s="826">
        <f ca="1">$N$3</f>
        <v>2</v>
      </c>
      <c r="O4" s="777">
        <v>0</v>
      </c>
      <c r="P4" s="531">
        <f ca="1">ОБЩИЕ_ДАННЫЕ!N85</f>
        <v>0</v>
      </c>
      <c r="Q4" s="880">
        <f>ОБЩИЕ_ДАННЫЕ!O36</f>
        <v>0</v>
      </c>
      <c r="R4" s="826" t="str">
        <f>Прайс!F132</f>
        <v>МПК РМ</v>
      </c>
      <c r="S4" s="529">
        <f>'Деление по СБЕ'!C26</f>
        <v>0</v>
      </c>
      <c r="T4" s="529">
        <f>'Деление по СБЕ'!D26</f>
        <v>0</v>
      </c>
      <c r="U4" s="529">
        <f>'Деление по СБЕ'!E26</f>
        <v>0</v>
      </c>
      <c r="V4" s="777">
        <v>0</v>
      </c>
      <c r="W4" s="529">
        <f>'Деление по СБЕ'!G26</f>
        <v>0</v>
      </c>
      <c r="X4" s="529">
        <f>'Деление по СБЕ'!H26</f>
        <v>0</v>
      </c>
      <c r="Y4" s="777">
        <v>0</v>
      </c>
      <c r="Z4" s="777">
        <v>0</v>
      </c>
      <c r="AA4" s="777">
        <v>0</v>
      </c>
      <c r="AB4" s="530">
        <f t="shared" si="0"/>
        <v>0</v>
      </c>
      <c r="AC4" s="828" t="str">
        <f t="shared" ref="AC4:AC37" si="14">$AC$2</f>
        <v>13.12.2021</v>
      </c>
      <c r="AD4" s="828">
        <f t="shared" ref="AD4:AD37" si="15">$AD$2</f>
        <v>44543</v>
      </c>
      <c r="AE4" s="826">
        <f t="shared" si="2"/>
        <v>0</v>
      </c>
      <c r="AF4" s="826" t="str">
        <f t="shared" ref="AF4:AF37" si="16">$AF$2</f>
        <v>Торговый партнер</v>
      </c>
      <c r="AG4" s="531" t="str">
        <f t="shared" ref="AG4:AG35" si="17">$AG$2</f>
        <v>ЦФО</v>
      </c>
      <c r="AH4" s="531">
        <f t="shared" ref="AH4:AH37" si="18">$AH$2</f>
        <v>0</v>
      </c>
      <c r="AI4" s="826">
        <f t="shared" ref="AI4:AI37" si="19">$AI$2</f>
        <v>0</v>
      </c>
      <c r="AJ4" s="826" t="str">
        <f t="shared" ref="AJ4:AJ37" si="20">$AJ$2</f>
        <v>менеджер</v>
      </c>
      <c r="AK4" s="826">
        <f t="shared" ref="AK4:AK37" si="21">$AK$2</f>
        <v>0</v>
      </c>
      <c r="AL4" s="531">
        <f ca="1">MROUND(ОБЩИЕ_ДАННЫЕ!L108,0.25)</f>
        <v>0</v>
      </c>
      <c r="AM4" s="826">
        <f t="shared" si="1"/>
        <v>0</v>
      </c>
      <c r="AN4" s="532">
        <f t="shared" si="3"/>
        <v>0</v>
      </c>
      <c r="AO4" s="533">
        <f t="shared" si="4"/>
        <v>0</v>
      </c>
      <c r="AP4" s="829" t="str">
        <f t="shared" ref="AP4:AP37" si="22">$AP$2</f>
        <v>-</v>
      </c>
      <c r="AQ4" s="777">
        <v>0</v>
      </c>
      <c r="AR4" s="777">
        <v>0</v>
      </c>
      <c r="AS4" s="777">
        <v>0</v>
      </c>
      <c r="AT4" s="826" t="str">
        <f t="shared" ref="AT4:AT37" si="23">$AT$2</f>
        <v>1555ХХ</v>
      </c>
      <c r="AU4" s="444">
        <f t="shared" ref="AU4:AU37" si="24">$AU$2</f>
        <v>0</v>
      </c>
      <c r="AV4" s="777">
        <v>0</v>
      </c>
      <c r="AW4" s="777"/>
      <c r="AX4" s="770">
        <f t="shared" ref="AX4:AX37" si="25">$AX$2</f>
        <v>0</v>
      </c>
      <c r="AY4" s="777">
        <v>0</v>
      </c>
      <c r="AZ4" s="777">
        <v>0</v>
      </c>
      <c r="BA4" s="777">
        <v>0</v>
      </c>
      <c r="BB4" s="777">
        <v>0</v>
      </c>
      <c r="BC4" s="777">
        <v>0</v>
      </c>
      <c r="BD4" s="777">
        <v>0</v>
      </c>
      <c r="BE4" s="777">
        <v>0</v>
      </c>
      <c r="BF4" s="777">
        <v>0</v>
      </c>
      <c r="BG4" s="777">
        <v>0</v>
      </c>
      <c r="BH4" s="777">
        <v>0</v>
      </c>
      <c r="BI4" s="826" t="str">
        <f t="shared" ref="BI4:BI37" si="26">$BI$2</f>
        <v xml:space="preserve"> </v>
      </c>
      <c r="BJ4" s="826" t="str">
        <f t="shared" ref="BJ4:BJ37" si="27">$BJ$2</f>
        <v>Для кого</v>
      </c>
      <c r="BK4" s="873">
        <f>ОБЩИЕ_ДАННЫЕ!$C$207</f>
        <v>0</v>
      </c>
      <c r="BL4" s="854">
        <f t="shared" ref="BL4:BL37" si="28">$BL$2</f>
        <v>7710959468</v>
      </c>
      <c r="BM4" s="854">
        <f t="shared" ref="BM4:BM37" si="29">$BM$2</f>
        <v>772401001</v>
      </c>
      <c r="BN4" s="777">
        <v>0</v>
      </c>
    </row>
    <row r="5" spans="1:66" ht="29.25" hidden="1" customHeight="1">
      <c r="A5" s="812"/>
      <c r="B5" s="812"/>
      <c r="C5" s="812"/>
      <c r="D5" s="812"/>
      <c r="E5" s="826" t="str">
        <f t="shared" si="5"/>
        <v>11-27ХХ-МПКПМКИ-12.21</v>
      </c>
      <c r="F5" s="826" t="str">
        <f t="shared" si="6"/>
        <v xml:space="preserve"> </v>
      </c>
      <c r="G5" s="826" t="str">
        <f t="shared" si="7"/>
        <v xml:space="preserve">Многофункциональный спортивный центр </v>
      </c>
      <c r="H5" s="826" t="str">
        <f t="shared" si="8"/>
        <v>Тверь</v>
      </c>
      <c r="I5" s="826" t="str">
        <f t="shared" si="9"/>
        <v>ЦФО</v>
      </c>
      <c r="J5" s="826" t="str">
        <f t="shared" si="10"/>
        <v>Нулевой цикл</v>
      </c>
      <c r="K5" s="830" t="str">
        <f t="shared" si="11"/>
        <v>Новый расчет</v>
      </c>
      <c r="L5" s="826">
        <f t="shared" si="12"/>
        <v>1</v>
      </c>
      <c r="M5" s="826">
        <f t="shared" si="13"/>
        <v>1</v>
      </c>
      <c r="N5" s="826">
        <f>ОБЩИЕ_ДАННЫЕ!N37</f>
        <v>0</v>
      </c>
      <c r="O5" s="777">
        <v>0</v>
      </c>
      <c r="P5" s="531">
        <f ca="1">ОБЩИЕ_ДАННЫЕ!N86</f>
        <v>1751</v>
      </c>
      <c r="Q5" s="880">
        <f>ОБЩИЕ_ДАННЫЕ!O37</f>
        <v>0</v>
      </c>
      <c r="R5" s="826" t="str">
        <f>IF(Q5=0,"Ветер",Прайс!F133)</f>
        <v>Ветер</v>
      </c>
      <c r="S5" s="777">
        <v>0</v>
      </c>
      <c r="T5" s="777">
        <v>0</v>
      </c>
      <c r="U5" s="777">
        <v>0</v>
      </c>
      <c r="V5" s="889">
        <f>'Деление по СБЕ'!F31</f>
        <v>0</v>
      </c>
      <c r="W5" s="777">
        <v>0</v>
      </c>
      <c r="X5" s="777">
        <v>0</v>
      </c>
      <c r="Y5" s="777">
        <v>0</v>
      </c>
      <c r="Z5" s="777">
        <v>0</v>
      </c>
      <c r="AA5" s="777">
        <v>0</v>
      </c>
      <c r="AB5" s="530">
        <f>SUM(S5:AA5)</f>
        <v>0</v>
      </c>
      <c r="AC5" s="828" t="str">
        <f t="shared" si="14"/>
        <v>13.12.2021</v>
      </c>
      <c r="AD5" s="828">
        <f t="shared" si="15"/>
        <v>44543</v>
      </c>
      <c r="AE5" s="826">
        <f t="shared" si="2"/>
        <v>0</v>
      </c>
      <c r="AF5" s="826" t="str">
        <f t="shared" si="16"/>
        <v>Торговый партнер</v>
      </c>
      <c r="AG5" s="531" t="str">
        <f t="shared" si="17"/>
        <v>ЦФО</v>
      </c>
      <c r="AH5" s="531">
        <f t="shared" si="18"/>
        <v>0</v>
      </c>
      <c r="AI5" s="826">
        <f t="shared" si="19"/>
        <v>0</v>
      </c>
      <c r="AJ5" s="826" t="str">
        <f t="shared" si="20"/>
        <v>менеджер</v>
      </c>
      <c r="AK5" s="826">
        <f t="shared" si="21"/>
        <v>0</v>
      </c>
      <c r="AL5" s="531">
        <f>MROUND(ОБЩИЕ_ДАННЫЕ!L110,0.25)</f>
        <v>0</v>
      </c>
      <c r="AM5" s="826">
        <f t="shared" si="1"/>
        <v>0</v>
      </c>
      <c r="AN5" s="532">
        <f t="shared" si="3"/>
        <v>0</v>
      </c>
      <c r="AO5" s="533">
        <f t="shared" si="4"/>
        <v>0</v>
      </c>
      <c r="AP5" s="829" t="str">
        <f t="shared" si="22"/>
        <v>-</v>
      </c>
      <c r="AQ5" s="777">
        <v>0</v>
      </c>
      <c r="AR5" s="777">
        <v>0</v>
      </c>
      <c r="AS5" s="777">
        <v>0</v>
      </c>
      <c r="AT5" s="826" t="str">
        <f t="shared" si="23"/>
        <v>1555ХХ</v>
      </c>
      <c r="AU5" s="444">
        <f t="shared" si="24"/>
        <v>0</v>
      </c>
      <c r="AV5" s="777">
        <v>0</v>
      </c>
      <c r="AW5" s="777"/>
      <c r="AX5" s="770">
        <f t="shared" si="25"/>
        <v>0</v>
      </c>
      <c r="AY5" s="777">
        <v>0</v>
      </c>
      <c r="AZ5" s="777">
        <v>0</v>
      </c>
      <c r="BA5" s="777">
        <v>0</v>
      </c>
      <c r="BB5" s="777">
        <v>0</v>
      </c>
      <c r="BC5" s="777">
        <v>0</v>
      </c>
      <c r="BD5" s="777">
        <v>0</v>
      </c>
      <c r="BE5" s="777">
        <v>0</v>
      </c>
      <c r="BF5" s="777">
        <v>0</v>
      </c>
      <c r="BG5" s="777">
        <v>0</v>
      </c>
      <c r="BH5" s="777">
        <v>0</v>
      </c>
      <c r="BI5" s="826" t="str">
        <f t="shared" si="26"/>
        <v xml:space="preserve"> </v>
      </c>
      <c r="BJ5" s="826" t="str">
        <f t="shared" si="27"/>
        <v>Для кого</v>
      </c>
      <c r="BK5" s="873">
        <f>ОБЩИЕ_ДАННЫЕ!$C$207</f>
        <v>0</v>
      </c>
      <c r="BL5" s="854">
        <f t="shared" si="28"/>
        <v>7710959468</v>
      </c>
      <c r="BM5" s="854">
        <f t="shared" si="29"/>
        <v>772401001</v>
      </c>
      <c r="BN5" s="777">
        <v>0</v>
      </c>
    </row>
    <row r="6" spans="1:66" ht="29.25" hidden="1" customHeight="1">
      <c r="A6" s="883"/>
      <c r="B6" s="883"/>
      <c r="C6" s="883"/>
      <c r="D6" s="883"/>
      <c r="E6" s="880" t="str">
        <f t="shared" si="5"/>
        <v>11-27ХХ-МПКПМКИ-12.21</v>
      </c>
      <c r="F6" s="880" t="str">
        <f t="shared" si="6"/>
        <v xml:space="preserve"> </v>
      </c>
      <c r="G6" s="880" t="str">
        <f t="shared" si="7"/>
        <v xml:space="preserve">Многофункциональный спортивный центр </v>
      </c>
      <c r="H6" s="880" t="str">
        <f t="shared" si="8"/>
        <v>Тверь</v>
      </c>
      <c r="I6" s="880" t="str">
        <f t="shared" si="9"/>
        <v>ЦФО</v>
      </c>
      <c r="J6" s="880" t="str">
        <f t="shared" si="10"/>
        <v>Нулевой цикл</v>
      </c>
      <c r="K6" s="830" t="str">
        <f t="shared" si="11"/>
        <v>Новый расчет</v>
      </c>
      <c r="L6" s="880">
        <f t="shared" si="12"/>
        <v>1</v>
      </c>
      <c r="M6" s="880">
        <f t="shared" si="13"/>
        <v>1</v>
      </c>
      <c r="N6" s="884">
        <f>ОБЩИЕ_ДАННЫЕ!N38</f>
        <v>0</v>
      </c>
      <c r="O6" s="885">
        <v>0</v>
      </c>
      <c r="P6" s="531">
        <f ca="1">ОБЩИЕ_ДАННЫЕ!N85</f>
        <v>0</v>
      </c>
      <c r="Q6" s="884">
        <f>ОБЩИЕ_ДАННЫЕ!O38</f>
        <v>0</v>
      </c>
      <c r="R6" s="880" t="str">
        <f>IF(Q6=0,"Ветер",Прайс!F134)</f>
        <v>Ветер</v>
      </c>
      <c r="S6" s="777">
        <v>0</v>
      </c>
      <c r="T6" s="777">
        <v>0</v>
      </c>
      <c r="U6" s="777">
        <v>0</v>
      </c>
      <c r="V6" s="777">
        <v>0</v>
      </c>
      <c r="W6" s="889">
        <f>'Деление по СБЕ'!G36</f>
        <v>0</v>
      </c>
      <c r="X6" s="777">
        <v>0</v>
      </c>
      <c r="Y6" s="777">
        <v>0</v>
      </c>
      <c r="Z6" s="777">
        <v>0</v>
      </c>
      <c r="AA6" s="777">
        <v>0</v>
      </c>
      <c r="AB6" s="530">
        <f>SUM(S6:AA6)</f>
        <v>0</v>
      </c>
      <c r="AC6" s="828" t="str">
        <f t="shared" si="14"/>
        <v>13.12.2021</v>
      </c>
      <c r="AD6" s="828">
        <f t="shared" si="15"/>
        <v>44543</v>
      </c>
      <c r="AE6" s="880">
        <f t="shared" ref="AE6" si="30">IFERROR(AD6-AC6,0)</f>
        <v>0</v>
      </c>
      <c r="AF6" s="880" t="str">
        <f t="shared" si="16"/>
        <v>Торговый партнер</v>
      </c>
      <c r="AG6" s="531" t="str">
        <f t="shared" si="17"/>
        <v>ЦФО</v>
      </c>
      <c r="AH6" s="531">
        <f t="shared" si="18"/>
        <v>0</v>
      </c>
      <c r="AI6" s="880">
        <f t="shared" si="19"/>
        <v>0</v>
      </c>
      <c r="AJ6" s="880" t="str">
        <f t="shared" si="20"/>
        <v>менеджер</v>
      </c>
      <c r="AK6" s="880">
        <f t="shared" si="21"/>
        <v>0</v>
      </c>
      <c r="AL6" s="531">
        <f>MROUND(ОБЩИЕ_ДАННЫЕ!L110,0.25)</f>
        <v>0</v>
      </c>
      <c r="AM6" s="880">
        <f t="shared" si="1"/>
        <v>0</v>
      </c>
      <c r="AN6" s="886">
        <f t="shared" si="3"/>
        <v>0</v>
      </c>
      <c r="AO6" s="887">
        <f t="shared" si="4"/>
        <v>0</v>
      </c>
      <c r="AP6" s="829" t="str">
        <f t="shared" si="22"/>
        <v>-</v>
      </c>
      <c r="AQ6" s="777">
        <v>0</v>
      </c>
      <c r="AR6" s="777">
        <v>0</v>
      </c>
      <c r="AS6" s="777">
        <v>0</v>
      </c>
      <c r="AT6" s="880" t="str">
        <f t="shared" si="23"/>
        <v>1555ХХ</v>
      </c>
      <c r="AU6" s="444">
        <f t="shared" si="24"/>
        <v>0</v>
      </c>
      <c r="AV6" s="777">
        <v>0</v>
      </c>
      <c r="AW6" s="777"/>
      <c r="AX6" s="770">
        <f t="shared" si="25"/>
        <v>0</v>
      </c>
      <c r="AY6" s="777">
        <v>0</v>
      </c>
      <c r="AZ6" s="777">
        <v>0</v>
      </c>
      <c r="BA6" s="777">
        <v>0</v>
      </c>
      <c r="BB6" s="777">
        <v>0</v>
      </c>
      <c r="BC6" s="777">
        <v>0</v>
      </c>
      <c r="BD6" s="777">
        <v>0</v>
      </c>
      <c r="BE6" s="777">
        <v>0</v>
      </c>
      <c r="BF6" s="777">
        <v>0</v>
      </c>
      <c r="BG6" s="777">
        <v>0</v>
      </c>
      <c r="BH6" s="777">
        <v>0</v>
      </c>
      <c r="BI6" s="880" t="str">
        <f t="shared" si="26"/>
        <v xml:space="preserve"> </v>
      </c>
      <c r="BJ6" s="880" t="str">
        <f t="shared" si="27"/>
        <v>Для кого</v>
      </c>
      <c r="BK6" s="880">
        <f>ОБЩИЕ_ДАННЫЕ!$C$207</f>
        <v>0</v>
      </c>
      <c r="BL6" s="880">
        <f t="shared" si="28"/>
        <v>7710959468</v>
      </c>
      <c r="BM6" s="880">
        <f t="shared" si="29"/>
        <v>772401001</v>
      </c>
      <c r="BN6" s="777">
        <v>0</v>
      </c>
    </row>
    <row r="7" spans="1:66" ht="28.8" hidden="1">
      <c r="A7" s="812"/>
      <c r="B7" s="812"/>
      <c r="C7" s="812"/>
      <c r="D7" s="812"/>
      <c r="E7" s="826" t="str">
        <f t="shared" si="5"/>
        <v>11-27ХХ-МПКПМКИ-12.21</v>
      </c>
      <c r="F7" s="826" t="str">
        <f t="shared" si="6"/>
        <v xml:space="preserve"> </v>
      </c>
      <c r="G7" s="826" t="str">
        <f t="shared" si="7"/>
        <v xml:space="preserve">Многофункциональный спортивный центр </v>
      </c>
      <c r="H7" s="826" t="str">
        <f t="shared" si="8"/>
        <v>Тверь</v>
      </c>
      <c r="I7" s="826" t="str">
        <f t="shared" si="9"/>
        <v>ЦФО</v>
      </c>
      <c r="J7" s="826" t="str">
        <f t="shared" si="10"/>
        <v>Нулевой цикл</v>
      </c>
      <c r="K7" s="830" t="str">
        <f t="shared" si="11"/>
        <v>Новый расчет</v>
      </c>
      <c r="L7" s="826">
        <f t="shared" si="12"/>
        <v>1</v>
      </c>
      <c r="M7" s="826">
        <f t="shared" si="13"/>
        <v>1</v>
      </c>
      <c r="N7" s="826">
        <f>ОБЩИЕ_ДАННЫЕ!O39</f>
        <v>0</v>
      </c>
      <c r="O7" s="777">
        <v>0</v>
      </c>
      <c r="P7" s="531">
        <f ca="1">$P$3+$P$4</f>
        <v>1751</v>
      </c>
      <c r="Q7" s="777">
        <v>0</v>
      </c>
      <c r="R7" s="826" t="str">
        <f>IF(N7=0,"Т",Прайс!F135)</f>
        <v>Т</v>
      </c>
      <c r="S7" s="529">
        <f>'Деление по СБЕ'!C41</f>
        <v>0</v>
      </c>
      <c r="T7" s="529">
        <f>'Деление по СБЕ'!D41</f>
        <v>0</v>
      </c>
      <c r="U7" s="529">
        <f>'Деление по СБЕ'!E41</f>
        <v>0</v>
      </c>
      <c r="V7" s="777">
        <v>0</v>
      </c>
      <c r="W7" s="777">
        <v>0</v>
      </c>
      <c r="X7" s="777">
        <v>0</v>
      </c>
      <c r="Y7" s="777">
        <v>0</v>
      </c>
      <c r="Z7" s="777">
        <v>0</v>
      </c>
      <c r="AA7" s="777">
        <v>0</v>
      </c>
      <c r="AB7" s="530">
        <f t="shared" si="0"/>
        <v>0</v>
      </c>
      <c r="AC7" s="828" t="str">
        <f t="shared" si="14"/>
        <v>13.12.2021</v>
      </c>
      <c r="AD7" s="828">
        <f t="shared" si="15"/>
        <v>44543</v>
      </c>
      <c r="AE7" s="826">
        <f t="shared" si="2"/>
        <v>0</v>
      </c>
      <c r="AF7" s="826" t="str">
        <f t="shared" si="16"/>
        <v>Торговый партнер</v>
      </c>
      <c r="AG7" s="531" t="str">
        <f t="shared" si="17"/>
        <v>ЦФО</v>
      </c>
      <c r="AH7" s="531">
        <f t="shared" si="18"/>
        <v>0</v>
      </c>
      <c r="AI7" s="826">
        <f t="shared" si="19"/>
        <v>0</v>
      </c>
      <c r="AJ7" s="826" t="str">
        <f t="shared" si="20"/>
        <v>менеджер</v>
      </c>
      <c r="AK7" s="826">
        <f t="shared" si="21"/>
        <v>0</v>
      </c>
      <c r="AL7" s="531">
        <f>MROUND(ОБЩИЕ_ДАННЫЕ!L111,0.25)</f>
        <v>0</v>
      </c>
      <c r="AM7" s="826">
        <f t="shared" si="1"/>
        <v>0</v>
      </c>
      <c r="AN7" s="532">
        <f t="shared" si="3"/>
        <v>0</v>
      </c>
      <c r="AO7" s="533">
        <f t="shared" si="4"/>
        <v>0</v>
      </c>
      <c r="AP7" s="829" t="str">
        <f t="shared" si="22"/>
        <v>-</v>
      </c>
      <c r="AQ7" s="777">
        <v>0</v>
      </c>
      <c r="AR7" s="777">
        <v>0</v>
      </c>
      <c r="AS7" s="777">
        <v>0</v>
      </c>
      <c r="AT7" s="826" t="str">
        <f t="shared" si="23"/>
        <v>1555ХХ</v>
      </c>
      <c r="AU7" s="444">
        <f t="shared" si="24"/>
        <v>0</v>
      </c>
      <c r="AV7" s="777">
        <v>0</v>
      </c>
      <c r="AW7" s="777"/>
      <c r="AX7" s="770">
        <f t="shared" si="25"/>
        <v>0</v>
      </c>
      <c r="AY7" s="777">
        <v>0</v>
      </c>
      <c r="AZ7" s="777">
        <v>0</v>
      </c>
      <c r="BA7" s="777">
        <v>0</v>
      </c>
      <c r="BB7" s="777">
        <v>0</v>
      </c>
      <c r="BC7" s="777">
        <v>0</v>
      </c>
      <c r="BD7" s="777">
        <v>0</v>
      </c>
      <c r="BE7" s="777">
        <v>0</v>
      </c>
      <c r="BF7" s="777">
        <v>0</v>
      </c>
      <c r="BG7" s="777">
        <v>0</v>
      </c>
      <c r="BH7" s="777">
        <v>0</v>
      </c>
      <c r="BI7" s="826" t="str">
        <f t="shared" si="26"/>
        <v xml:space="preserve"> </v>
      </c>
      <c r="BJ7" s="826" t="str">
        <f t="shared" si="27"/>
        <v>Для кого</v>
      </c>
      <c r="BK7" s="873">
        <f>ОБЩИЕ_ДАННЫЕ!$C$207</f>
        <v>0</v>
      </c>
      <c r="BL7" s="854">
        <f t="shared" si="28"/>
        <v>7710959468</v>
      </c>
      <c r="BM7" s="854">
        <f t="shared" si="29"/>
        <v>772401001</v>
      </c>
      <c r="BN7" s="777">
        <v>0</v>
      </c>
    </row>
    <row r="8" spans="1:66" ht="28.8" hidden="1">
      <c r="A8" s="812"/>
      <c r="B8" s="812"/>
      <c r="C8" s="812"/>
      <c r="D8" s="812"/>
      <c r="E8" s="826" t="str">
        <f t="shared" si="5"/>
        <v>11-27ХХ-МПКПМКИ-12.21</v>
      </c>
      <c r="F8" s="826" t="str">
        <f t="shared" si="6"/>
        <v xml:space="preserve"> </v>
      </c>
      <c r="G8" s="826" t="str">
        <f t="shared" si="7"/>
        <v xml:space="preserve">Многофункциональный спортивный центр </v>
      </c>
      <c r="H8" s="826" t="str">
        <f t="shared" si="8"/>
        <v>Тверь</v>
      </c>
      <c r="I8" s="826" t="str">
        <f t="shared" si="9"/>
        <v>ЦФО</v>
      </c>
      <c r="J8" s="826" t="str">
        <f t="shared" si="10"/>
        <v>Нулевой цикл</v>
      </c>
      <c r="K8" s="830" t="str">
        <f t="shared" si="11"/>
        <v>Новый расчет</v>
      </c>
      <c r="L8" s="826">
        <f>$L$2</f>
        <v>1</v>
      </c>
      <c r="M8" s="826">
        <f>$M$2</f>
        <v>1</v>
      </c>
      <c r="N8" s="826">
        <f ca="1">ОБЩИЕ_ДАННЫЕ!C20</f>
        <v>2</v>
      </c>
      <c r="O8" s="777">
        <v>0</v>
      </c>
      <c r="P8" s="531">
        <f t="shared" ref="P8:P11" ca="1" si="31">$P$3+$P$4</f>
        <v>1751</v>
      </c>
      <c r="Q8" s="880">
        <f>ОБЩИЕ_ДАННЫЕ!O40</f>
        <v>0</v>
      </c>
      <c r="R8" s="826" t="str">
        <f ca="1">IF(N8=0,"Тепло",Прайс!F136)</f>
        <v>Тепло</v>
      </c>
      <c r="S8" s="529">
        <f>'Деление по СБЕ'!C71</f>
        <v>0</v>
      </c>
      <c r="T8" s="529">
        <f>'Деление по СБЕ'!D71</f>
        <v>0</v>
      </c>
      <c r="U8" s="529">
        <f>'Деление по СБЕ'!E71</f>
        <v>0</v>
      </c>
      <c r="V8" s="777">
        <v>0</v>
      </c>
      <c r="W8" s="777">
        <v>0</v>
      </c>
      <c r="X8" s="777">
        <v>0</v>
      </c>
      <c r="Y8" s="777">
        <v>0</v>
      </c>
      <c r="Z8" s="777">
        <v>0</v>
      </c>
      <c r="AA8" s="777">
        <v>0</v>
      </c>
      <c r="AB8" s="530">
        <f t="shared" si="0"/>
        <v>0</v>
      </c>
      <c r="AC8" s="828" t="str">
        <f t="shared" si="14"/>
        <v>13.12.2021</v>
      </c>
      <c r="AD8" s="828">
        <f t="shared" si="15"/>
        <v>44543</v>
      </c>
      <c r="AE8" s="826">
        <f t="shared" si="2"/>
        <v>0</v>
      </c>
      <c r="AF8" s="826" t="str">
        <f t="shared" si="16"/>
        <v>Торговый партнер</v>
      </c>
      <c r="AG8" s="531" t="str">
        <f t="shared" si="17"/>
        <v>ЦФО</v>
      </c>
      <c r="AH8" s="531">
        <f t="shared" si="18"/>
        <v>0</v>
      </c>
      <c r="AI8" s="826">
        <f t="shared" si="19"/>
        <v>0</v>
      </c>
      <c r="AJ8" s="826" t="str">
        <f t="shared" si="20"/>
        <v>менеджер</v>
      </c>
      <c r="AK8" s="826">
        <f t="shared" si="21"/>
        <v>0</v>
      </c>
      <c r="AL8" s="531">
        <f ca="1">MROUND(ОБЩИЕ_ДАННЫЕ!L112,0.25)</f>
        <v>0</v>
      </c>
      <c r="AM8" s="826">
        <f t="shared" si="1"/>
        <v>0</v>
      </c>
      <c r="AN8" s="532">
        <f t="shared" ref="AN8" si="32">AM8</f>
        <v>0</v>
      </c>
      <c r="AO8" s="533">
        <f t="shared" ref="AO8" si="33">AN8/0.87</f>
        <v>0</v>
      </c>
      <c r="AP8" s="829" t="str">
        <f t="shared" si="22"/>
        <v>-</v>
      </c>
      <c r="AQ8" s="777">
        <v>0</v>
      </c>
      <c r="AR8" s="777">
        <v>0</v>
      </c>
      <c r="AS8" s="777">
        <v>0</v>
      </c>
      <c r="AT8" s="826" t="str">
        <f t="shared" si="23"/>
        <v>1555ХХ</v>
      </c>
      <c r="AU8" s="444">
        <f t="shared" si="24"/>
        <v>0</v>
      </c>
      <c r="AV8" s="777">
        <v>0</v>
      </c>
      <c r="AW8" s="777"/>
      <c r="AX8" s="770">
        <f t="shared" si="25"/>
        <v>0</v>
      </c>
      <c r="AY8" s="777">
        <v>0</v>
      </c>
      <c r="AZ8" s="777">
        <v>0</v>
      </c>
      <c r="BA8" s="777">
        <v>0</v>
      </c>
      <c r="BB8" s="777">
        <v>0</v>
      </c>
      <c r="BC8" s="777">
        <v>0</v>
      </c>
      <c r="BD8" s="777">
        <v>0</v>
      </c>
      <c r="BE8" s="777">
        <v>0</v>
      </c>
      <c r="BF8" s="777">
        <v>0</v>
      </c>
      <c r="BG8" s="777">
        <v>0</v>
      </c>
      <c r="BH8" s="777">
        <v>0</v>
      </c>
      <c r="BI8" s="826" t="str">
        <f t="shared" si="26"/>
        <v xml:space="preserve"> </v>
      </c>
      <c r="BJ8" s="826" t="str">
        <f t="shared" si="27"/>
        <v>Для кого</v>
      </c>
      <c r="BK8" s="873">
        <f>ОБЩИЕ_ДАННЫЕ!$C$207</f>
        <v>0</v>
      </c>
      <c r="BL8" s="854">
        <f t="shared" si="28"/>
        <v>7710959468</v>
      </c>
      <c r="BM8" s="854">
        <f t="shared" si="29"/>
        <v>772401001</v>
      </c>
      <c r="BN8" s="777">
        <v>0</v>
      </c>
    </row>
    <row r="9" spans="1:66" s="546" customFormat="1" ht="28.8" hidden="1">
      <c r="A9" s="812"/>
      <c r="B9" s="812"/>
      <c r="C9" s="812"/>
      <c r="D9" s="812"/>
      <c r="E9" s="826" t="str">
        <f t="shared" si="5"/>
        <v>11-27ХХ-МПКПМКИ-12.21</v>
      </c>
      <c r="F9" s="826" t="str">
        <f t="shared" si="6"/>
        <v xml:space="preserve"> </v>
      </c>
      <c r="G9" s="826" t="str">
        <f t="shared" si="7"/>
        <v xml:space="preserve">Многофункциональный спортивный центр </v>
      </c>
      <c r="H9" s="826" t="str">
        <f t="shared" si="8"/>
        <v>Тверь</v>
      </c>
      <c r="I9" s="826" t="str">
        <f t="shared" si="9"/>
        <v>ЦФО</v>
      </c>
      <c r="J9" s="826" t="str">
        <f t="shared" si="10"/>
        <v>Нулевой цикл</v>
      </c>
      <c r="K9" s="830" t="str">
        <f t="shared" si="11"/>
        <v>Новый расчет</v>
      </c>
      <c r="L9" s="826">
        <f t="shared" si="12"/>
        <v>1</v>
      </c>
      <c r="M9" s="826">
        <f t="shared" si="13"/>
        <v>1</v>
      </c>
      <c r="N9" s="826">
        <f>ОБЩИЕ_ДАННЫЕ!O41</f>
        <v>0</v>
      </c>
      <c r="O9" s="777">
        <v>0</v>
      </c>
      <c r="P9" s="531">
        <f t="shared" ca="1" si="31"/>
        <v>1751</v>
      </c>
      <c r="Q9" s="777">
        <v>0</v>
      </c>
      <c r="R9" s="826" t="str">
        <f>IF(N9=0,"ПАР",Прайс!F137)</f>
        <v>ПАР</v>
      </c>
      <c r="S9" s="777">
        <v>0</v>
      </c>
      <c r="T9" s="777">
        <v>0</v>
      </c>
      <c r="U9" s="777">
        <v>0</v>
      </c>
      <c r="V9" s="777">
        <v>0</v>
      </c>
      <c r="W9" s="529">
        <f>'Деление по СБЕ'!G61</f>
        <v>0</v>
      </c>
      <c r="X9" s="777">
        <v>0</v>
      </c>
      <c r="Y9" s="777">
        <v>0</v>
      </c>
      <c r="Z9" s="777">
        <v>0</v>
      </c>
      <c r="AA9" s="777">
        <v>0</v>
      </c>
      <c r="AB9" s="530">
        <f t="shared" si="0"/>
        <v>0</v>
      </c>
      <c r="AC9" s="828" t="str">
        <f t="shared" si="14"/>
        <v>13.12.2021</v>
      </c>
      <c r="AD9" s="828">
        <f t="shared" si="15"/>
        <v>44543</v>
      </c>
      <c r="AE9" s="826">
        <f t="shared" si="2"/>
        <v>0</v>
      </c>
      <c r="AF9" s="826" t="str">
        <f t="shared" si="16"/>
        <v>Торговый партнер</v>
      </c>
      <c r="AG9" s="531" t="str">
        <f t="shared" si="17"/>
        <v>ЦФО</v>
      </c>
      <c r="AH9" s="531">
        <f t="shared" si="18"/>
        <v>0</v>
      </c>
      <c r="AI9" s="826">
        <f t="shared" si="19"/>
        <v>0</v>
      </c>
      <c r="AJ9" s="826" t="str">
        <f t="shared" si="20"/>
        <v>менеджер</v>
      </c>
      <c r="AK9" s="826">
        <f t="shared" si="21"/>
        <v>0</v>
      </c>
      <c r="AL9" s="531">
        <f>MROUND(IFERROR(AM9/N9,0),0.25)</f>
        <v>0</v>
      </c>
      <c r="AM9" s="826">
        <f t="shared" si="1"/>
        <v>0</v>
      </c>
      <c r="AN9" s="532">
        <f t="shared" si="3"/>
        <v>0</v>
      </c>
      <c r="AO9" s="533">
        <f t="shared" si="4"/>
        <v>0</v>
      </c>
      <c r="AP9" s="829" t="str">
        <f t="shared" si="22"/>
        <v>-</v>
      </c>
      <c r="AQ9" s="777">
        <v>0</v>
      </c>
      <c r="AR9" s="777">
        <v>0</v>
      </c>
      <c r="AS9" s="777">
        <v>0</v>
      </c>
      <c r="AT9" s="826" t="str">
        <f t="shared" si="23"/>
        <v>1555ХХ</v>
      </c>
      <c r="AU9" s="444">
        <f t="shared" si="24"/>
        <v>0</v>
      </c>
      <c r="AV9" s="777">
        <v>0</v>
      </c>
      <c r="AW9" s="777"/>
      <c r="AX9" s="770">
        <f t="shared" si="25"/>
        <v>0</v>
      </c>
      <c r="AY9" s="777">
        <v>0</v>
      </c>
      <c r="AZ9" s="777">
        <v>0</v>
      </c>
      <c r="BA9" s="777">
        <v>0</v>
      </c>
      <c r="BB9" s="777">
        <v>0</v>
      </c>
      <c r="BC9" s="777">
        <v>0</v>
      </c>
      <c r="BD9" s="777">
        <v>0</v>
      </c>
      <c r="BE9" s="777">
        <v>0</v>
      </c>
      <c r="BF9" s="777">
        <v>0</v>
      </c>
      <c r="BG9" s="777">
        <v>0</v>
      </c>
      <c r="BH9" s="777">
        <v>0</v>
      </c>
      <c r="BI9" s="826" t="str">
        <f t="shared" si="26"/>
        <v xml:space="preserve"> </v>
      </c>
      <c r="BJ9" s="826" t="str">
        <f t="shared" si="27"/>
        <v>Для кого</v>
      </c>
      <c r="BK9" s="873">
        <f>ОБЩИЕ_ДАННЫЕ!$C$207</f>
        <v>0</v>
      </c>
      <c r="BL9" s="854">
        <f t="shared" si="28"/>
        <v>7710959468</v>
      </c>
      <c r="BM9" s="854">
        <f t="shared" si="29"/>
        <v>772401001</v>
      </c>
      <c r="BN9" s="777">
        <v>0</v>
      </c>
    </row>
    <row r="10" spans="1:66" ht="28.8">
      <c r="A10" s="812"/>
      <c r="B10" s="812"/>
      <c r="C10" s="812"/>
      <c r="D10" s="812"/>
      <c r="E10" s="826" t="str">
        <f t="shared" si="5"/>
        <v>11-27ХХ-МПКПМКИ-12.21</v>
      </c>
      <c r="F10" s="826" t="str">
        <f t="shared" si="6"/>
        <v xml:space="preserve"> </v>
      </c>
      <c r="G10" s="826" t="str">
        <f t="shared" si="7"/>
        <v xml:space="preserve">Многофункциональный спортивный центр </v>
      </c>
      <c r="H10" s="826" t="str">
        <f t="shared" si="8"/>
        <v>Тверь</v>
      </c>
      <c r="I10" s="826" t="str">
        <f t="shared" si="9"/>
        <v>ЦФО</v>
      </c>
      <c r="J10" s="826" t="str">
        <f t="shared" si="10"/>
        <v>Нулевой цикл</v>
      </c>
      <c r="K10" s="830" t="str">
        <f t="shared" si="11"/>
        <v>Новый расчет</v>
      </c>
      <c r="L10" s="826">
        <f t="shared" si="12"/>
        <v>1</v>
      </c>
      <c r="M10" s="826">
        <f t="shared" si="13"/>
        <v>1</v>
      </c>
      <c r="N10" s="826">
        <f ca="1">$N$4</f>
        <v>2</v>
      </c>
      <c r="O10" s="777">
        <v>0</v>
      </c>
      <c r="P10" s="531">
        <f t="shared" ca="1" si="31"/>
        <v>1751</v>
      </c>
      <c r="Q10" s="880">
        <f>ОБЩИЕ_ДАННЫЕ!O33</f>
        <v>1</v>
      </c>
      <c r="R10" s="826" t="str">
        <f>IF(Q10=0,"Анализ",Прайс!F138)</f>
        <v>А</v>
      </c>
      <c r="S10" s="529">
        <f ca="1">'Деление по СБЕ'!C46</f>
        <v>166.66666666666666</v>
      </c>
      <c r="T10" s="529">
        <f ca="1">'Деление по СБЕ'!D46</f>
        <v>0</v>
      </c>
      <c r="U10" s="529">
        <f ca="1">'Деление по СБЕ'!E46</f>
        <v>0</v>
      </c>
      <c r="V10" s="529">
        <f ca="1">'Деление по СБЕ'!F46</f>
        <v>166.66666666666666</v>
      </c>
      <c r="W10" s="529">
        <f ca="1">'Деление по СБЕ'!G46</f>
        <v>166.66666666666666</v>
      </c>
      <c r="X10" s="529">
        <f ca="1">'Деление по СБЕ'!H46</f>
        <v>0</v>
      </c>
      <c r="Y10" s="777">
        <v>0</v>
      </c>
      <c r="Z10" s="777">
        <v>0</v>
      </c>
      <c r="AA10" s="777">
        <v>0</v>
      </c>
      <c r="AB10" s="530">
        <f t="shared" ca="1" si="0"/>
        <v>500</v>
      </c>
      <c r="AC10" s="828" t="str">
        <f t="shared" si="14"/>
        <v>13.12.2021</v>
      </c>
      <c r="AD10" s="828">
        <f t="shared" si="15"/>
        <v>44543</v>
      </c>
      <c r="AE10" s="826">
        <f t="shared" si="2"/>
        <v>0</v>
      </c>
      <c r="AF10" s="826" t="str">
        <f t="shared" si="16"/>
        <v>Торговый партнер</v>
      </c>
      <c r="AG10" s="531" t="str">
        <f t="shared" si="17"/>
        <v>ЦФО</v>
      </c>
      <c r="AH10" s="531">
        <f t="shared" si="18"/>
        <v>0</v>
      </c>
      <c r="AI10" s="826">
        <f t="shared" si="19"/>
        <v>0</v>
      </c>
      <c r="AJ10" s="826" t="str">
        <f t="shared" si="20"/>
        <v>менеджер</v>
      </c>
      <c r="AK10" s="826">
        <f t="shared" si="21"/>
        <v>0</v>
      </c>
      <c r="AL10" s="531">
        <f ca="1">AM10</f>
        <v>125</v>
      </c>
      <c r="AM10" s="826">
        <f t="shared" ca="1" si="1"/>
        <v>125</v>
      </c>
      <c r="AN10" s="532">
        <f t="shared" ca="1" si="3"/>
        <v>125</v>
      </c>
      <c r="AO10" s="533">
        <f t="shared" ca="1" si="4"/>
        <v>143.67816091954023</v>
      </c>
      <c r="AP10" s="829" t="str">
        <f t="shared" si="22"/>
        <v>-</v>
      </c>
      <c r="AQ10" s="777">
        <v>0</v>
      </c>
      <c r="AR10" s="777">
        <v>0</v>
      </c>
      <c r="AS10" s="777">
        <v>0</v>
      </c>
      <c r="AT10" s="826" t="str">
        <f t="shared" si="23"/>
        <v>1555ХХ</v>
      </c>
      <c r="AU10" s="444">
        <f t="shared" si="24"/>
        <v>0</v>
      </c>
      <c r="AV10" s="777">
        <v>0</v>
      </c>
      <c r="AW10" s="777"/>
      <c r="AX10" s="770">
        <f t="shared" si="25"/>
        <v>0</v>
      </c>
      <c r="AY10" s="777">
        <v>0</v>
      </c>
      <c r="AZ10" s="777">
        <v>0</v>
      </c>
      <c r="BA10" s="777">
        <v>0</v>
      </c>
      <c r="BB10" s="777">
        <v>0</v>
      </c>
      <c r="BC10" s="777">
        <v>0</v>
      </c>
      <c r="BD10" s="777">
        <v>0</v>
      </c>
      <c r="BE10" s="777">
        <v>0</v>
      </c>
      <c r="BF10" s="777">
        <v>0</v>
      </c>
      <c r="BG10" s="777">
        <v>0</v>
      </c>
      <c r="BH10" s="777">
        <v>0</v>
      </c>
      <c r="BI10" s="826" t="str">
        <f t="shared" si="26"/>
        <v xml:space="preserve"> </v>
      </c>
      <c r="BJ10" s="826" t="str">
        <f t="shared" si="27"/>
        <v>Для кого</v>
      </c>
      <c r="BK10" s="873">
        <f>ОБЩИЕ_ДАННЫЕ!$C$207</f>
        <v>0</v>
      </c>
      <c r="BL10" s="854">
        <f t="shared" si="28"/>
        <v>7710959468</v>
      </c>
      <c r="BM10" s="854">
        <f t="shared" si="29"/>
        <v>772401001</v>
      </c>
      <c r="BN10" s="777">
        <v>0</v>
      </c>
    </row>
    <row r="11" spans="1:66" ht="28.8">
      <c r="A11" s="812"/>
      <c r="B11" s="812"/>
      <c r="C11" s="812"/>
      <c r="D11" s="812"/>
      <c r="E11" s="826" t="str">
        <f t="shared" si="5"/>
        <v>11-27ХХ-МПКПМКИ-12.21</v>
      </c>
      <c r="F11" s="826" t="str">
        <f t="shared" si="6"/>
        <v xml:space="preserve"> </v>
      </c>
      <c r="G11" s="826" t="str">
        <f t="shared" si="7"/>
        <v xml:space="preserve">Многофункциональный спортивный центр </v>
      </c>
      <c r="H11" s="826" t="str">
        <f t="shared" si="8"/>
        <v>Тверь</v>
      </c>
      <c r="I11" s="826" t="str">
        <f t="shared" si="9"/>
        <v>ЦФО</v>
      </c>
      <c r="J11" s="826" t="str">
        <f t="shared" si="10"/>
        <v>Нулевой цикл</v>
      </c>
      <c r="K11" s="830" t="str">
        <f t="shared" si="11"/>
        <v>Новый расчет</v>
      </c>
      <c r="L11" s="826">
        <f t="shared" si="12"/>
        <v>1</v>
      </c>
      <c r="M11" s="826">
        <f t="shared" si="13"/>
        <v>1</v>
      </c>
      <c r="N11" s="826">
        <f ca="1">$N$4</f>
        <v>2</v>
      </c>
      <c r="O11" s="777">
        <v>0</v>
      </c>
      <c r="P11" s="531">
        <f t="shared" ca="1" si="31"/>
        <v>1751</v>
      </c>
      <c r="Q11" s="880">
        <f>ОБЩИЕ_ДАННЫЕ!O42</f>
        <v>2</v>
      </c>
      <c r="R11" s="826" t="str">
        <f ca="1">IF(N11=0,"Огражд",Прайс!F139)</f>
        <v>ОГР</v>
      </c>
      <c r="S11" s="777">
        <v>0</v>
      </c>
      <c r="T11" s="777">
        <v>0</v>
      </c>
      <c r="U11" s="777">
        <v>0</v>
      </c>
      <c r="V11" s="529">
        <f>'Деление по СБЕ'!F66</f>
        <v>600.00000000000011</v>
      </c>
      <c r="W11" s="777">
        <v>0</v>
      </c>
      <c r="X11" s="777">
        <v>0</v>
      </c>
      <c r="Y11" s="777">
        <v>0</v>
      </c>
      <c r="Z11" s="777">
        <v>0</v>
      </c>
      <c r="AA11" s="777">
        <v>0</v>
      </c>
      <c r="AB11" s="530">
        <f t="shared" si="0"/>
        <v>600.00000000000011</v>
      </c>
      <c r="AC11" s="828" t="str">
        <f t="shared" si="14"/>
        <v>13.12.2021</v>
      </c>
      <c r="AD11" s="828">
        <f t="shared" si="15"/>
        <v>44543</v>
      </c>
      <c r="AE11" s="826">
        <f t="shared" si="2"/>
        <v>0</v>
      </c>
      <c r="AF11" s="826" t="str">
        <f t="shared" si="16"/>
        <v>Торговый партнер</v>
      </c>
      <c r="AG11" s="531" t="str">
        <f t="shared" si="17"/>
        <v>ЦФО</v>
      </c>
      <c r="AH11" s="531">
        <f t="shared" si="18"/>
        <v>0</v>
      </c>
      <c r="AI11" s="826">
        <f t="shared" si="19"/>
        <v>0</v>
      </c>
      <c r="AJ11" s="826" t="str">
        <f t="shared" si="20"/>
        <v>менеджер</v>
      </c>
      <c r="AK11" s="826">
        <f t="shared" si="21"/>
        <v>0</v>
      </c>
      <c r="AL11" s="531">
        <f>AM11</f>
        <v>150</v>
      </c>
      <c r="AM11" s="826">
        <f t="shared" si="1"/>
        <v>150</v>
      </c>
      <c r="AN11" s="532">
        <f t="shared" si="3"/>
        <v>150</v>
      </c>
      <c r="AO11" s="533">
        <f t="shared" si="4"/>
        <v>172.41379310344828</v>
      </c>
      <c r="AP11" s="829" t="str">
        <f t="shared" si="22"/>
        <v>-</v>
      </c>
      <c r="AQ11" s="777">
        <v>0</v>
      </c>
      <c r="AR11" s="777">
        <v>0</v>
      </c>
      <c r="AS11" s="777">
        <v>0</v>
      </c>
      <c r="AT11" s="826" t="str">
        <f t="shared" si="23"/>
        <v>1555ХХ</v>
      </c>
      <c r="AU11" s="444">
        <f t="shared" si="24"/>
        <v>0</v>
      </c>
      <c r="AV11" s="777">
        <v>0</v>
      </c>
      <c r="AW11" s="777"/>
      <c r="AX11" s="770">
        <f t="shared" si="25"/>
        <v>0</v>
      </c>
      <c r="AY11" s="777">
        <v>0</v>
      </c>
      <c r="AZ11" s="777">
        <v>0</v>
      </c>
      <c r="BA11" s="777">
        <v>0</v>
      </c>
      <c r="BB11" s="777">
        <v>0</v>
      </c>
      <c r="BC11" s="777">
        <v>0</v>
      </c>
      <c r="BD11" s="777">
        <v>0</v>
      </c>
      <c r="BE11" s="777">
        <v>0</v>
      </c>
      <c r="BF11" s="777">
        <v>0</v>
      </c>
      <c r="BG11" s="777">
        <v>0</v>
      </c>
      <c r="BH11" s="777">
        <v>0</v>
      </c>
      <c r="BI11" s="826" t="str">
        <f t="shared" si="26"/>
        <v xml:space="preserve"> </v>
      </c>
      <c r="BJ11" s="826" t="str">
        <f t="shared" si="27"/>
        <v>Для кого</v>
      </c>
      <c r="BK11" s="873">
        <f>ОБЩИЕ_ДАННЫЕ!$C$207</f>
        <v>0</v>
      </c>
      <c r="BL11" s="854">
        <f t="shared" si="28"/>
        <v>7710959468</v>
      </c>
      <c r="BM11" s="854">
        <f t="shared" si="29"/>
        <v>772401001</v>
      </c>
      <c r="BN11" s="777">
        <v>0</v>
      </c>
    </row>
    <row r="12" spans="1:66" ht="28.8" hidden="1">
      <c r="A12" s="812"/>
      <c r="B12" s="812"/>
      <c r="C12" s="812"/>
      <c r="D12" s="812"/>
      <c r="E12" s="826" t="str">
        <f t="shared" si="5"/>
        <v>11-27ХХ-МПКПМКИ-12.21</v>
      </c>
      <c r="F12" s="826" t="str">
        <f t="shared" si="6"/>
        <v xml:space="preserve"> </v>
      </c>
      <c r="G12" s="826" t="str">
        <f t="shared" si="7"/>
        <v xml:space="preserve">Многофункциональный спортивный центр </v>
      </c>
      <c r="H12" s="826" t="str">
        <f t="shared" si="8"/>
        <v>Тверь</v>
      </c>
      <c r="I12" s="826" t="str">
        <f t="shared" si="9"/>
        <v>ЦФО</v>
      </c>
      <c r="J12" s="826" t="str">
        <f t="shared" si="10"/>
        <v>Нулевой цикл</v>
      </c>
      <c r="K12" s="830" t="str">
        <f t="shared" si="11"/>
        <v>Новый расчет</v>
      </c>
      <c r="L12" s="826">
        <f t="shared" si="12"/>
        <v>1</v>
      </c>
      <c r="M12" s="826">
        <f t="shared" si="13"/>
        <v>1</v>
      </c>
      <c r="N12" s="826">
        <f>COUNTIF(ОБЩИЕ_ДАННЫЕ!$J$133:$J$142,"&gt;0")</f>
        <v>0</v>
      </c>
      <c r="O12" s="826">
        <v>1</v>
      </c>
      <c r="P12" s="826">
        <f>ОБЩИЕ_ДАННЫЕ!J133</f>
        <v>0</v>
      </c>
      <c r="Q12" s="880">
        <f>ОБЩИЕ_ДАННЫЕ!K133</f>
        <v>0</v>
      </c>
      <c r="R12" s="826" t="str">
        <f>IF(Q12=0,"Схемы Ветровых Зон",Прайс!F140)</f>
        <v>Схемы Ветровых Зон</v>
      </c>
      <c r="S12" s="777">
        <v>0</v>
      </c>
      <c r="T12" s="777">
        <v>0</v>
      </c>
      <c r="U12" s="777">
        <v>0</v>
      </c>
      <c r="V12" s="529">
        <f>IF(AND(ОБЩИЕ_ДАННЫЕ!K133&gt;0,ОБЩИЕ_ДАННЫЕ!M133&gt;0),ОБЩИЕ_ДАННЫЕ!L133*0.25,0)</f>
        <v>0</v>
      </c>
      <c r="W12" s="529">
        <f>IF(AND(ОБЩИЕ_ДАННЫЕ!K133&gt;0,ОБЩИЕ_ДАННЫЕ!N133&gt;0),ОБЩИЕ_ДАННЫЕ!L133*0.25,0)</f>
        <v>0</v>
      </c>
      <c r="X12" s="777">
        <v>0</v>
      </c>
      <c r="Y12" s="777">
        <v>0</v>
      </c>
      <c r="Z12" s="777">
        <v>0</v>
      </c>
      <c r="AA12" s="777">
        <v>0</v>
      </c>
      <c r="AB12" s="530">
        <f t="shared" si="0"/>
        <v>0</v>
      </c>
      <c r="AC12" s="828" t="str">
        <f t="shared" si="14"/>
        <v>13.12.2021</v>
      </c>
      <c r="AD12" s="828">
        <f t="shared" si="15"/>
        <v>44543</v>
      </c>
      <c r="AE12" s="826">
        <f t="shared" si="2"/>
        <v>0</v>
      </c>
      <c r="AF12" s="826" t="str">
        <f t="shared" si="16"/>
        <v>Торговый партнер</v>
      </c>
      <c r="AG12" s="531" t="str">
        <f t="shared" si="17"/>
        <v>ЦФО</v>
      </c>
      <c r="AH12" s="531">
        <f t="shared" si="18"/>
        <v>0</v>
      </c>
      <c r="AI12" s="826">
        <f t="shared" si="19"/>
        <v>0</v>
      </c>
      <c r="AJ12" s="826" t="str">
        <f t="shared" si="20"/>
        <v>менеджер</v>
      </c>
      <c r="AK12" s="826">
        <f t="shared" si="21"/>
        <v>0</v>
      </c>
      <c r="AL12" s="531">
        <f>AM12</f>
        <v>0</v>
      </c>
      <c r="AM12" s="826">
        <f t="shared" si="1"/>
        <v>0</v>
      </c>
      <c r="AN12" s="532">
        <f t="shared" si="3"/>
        <v>0</v>
      </c>
      <c r="AO12" s="533">
        <f t="shared" si="4"/>
        <v>0</v>
      </c>
      <c r="AP12" s="829" t="str">
        <f t="shared" si="22"/>
        <v>-</v>
      </c>
      <c r="AQ12" s="777">
        <v>0</v>
      </c>
      <c r="AR12" s="777">
        <v>0</v>
      </c>
      <c r="AS12" s="777">
        <v>0</v>
      </c>
      <c r="AT12" s="826" t="str">
        <f t="shared" si="23"/>
        <v>1555ХХ</v>
      </c>
      <c r="AU12" s="444">
        <f t="shared" si="24"/>
        <v>0</v>
      </c>
      <c r="AV12" s="777">
        <v>0</v>
      </c>
      <c r="AW12" s="777"/>
      <c r="AX12" s="770">
        <f t="shared" si="25"/>
        <v>0</v>
      </c>
      <c r="AY12" s="777">
        <v>0</v>
      </c>
      <c r="AZ12" s="777">
        <v>0</v>
      </c>
      <c r="BA12" s="777">
        <v>0</v>
      </c>
      <c r="BB12" s="777">
        <v>0</v>
      </c>
      <c r="BC12" s="777">
        <v>0</v>
      </c>
      <c r="BD12" s="777">
        <v>0</v>
      </c>
      <c r="BE12" s="777">
        <v>0</v>
      </c>
      <c r="BF12" s="777">
        <v>0</v>
      </c>
      <c r="BG12" s="777">
        <v>0</v>
      </c>
      <c r="BH12" s="777">
        <v>0</v>
      </c>
      <c r="BI12" s="826" t="str">
        <f t="shared" si="26"/>
        <v xml:space="preserve"> </v>
      </c>
      <c r="BJ12" s="826" t="str">
        <f t="shared" si="27"/>
        <v>Для кого</v>
      </c>
      <c r="BK12" s="873">
        <f>ОБЩИЕ_ДАННЫЕ!$C$207</f>
        <v>0</v>
      </c>
      <c r="BL12" s="854">
        <f t="shared" si="28"/>
        <v>7710959468</v>
      </c>
      <c r="BM12" s="854">
        <f t="shared" si="29"/>
        <v>772401001</v>
      </c>
      <c r="BN12" s="777">
        <v>0</v>
      </c>
    </row>
    <row r="13" spans="1:66" ht="28.8" hidden="1">
      <c r="A13" s="812"/>
      <c r="B13" s="812"/>
      <c r="C13" s="812"/>
      <c r="D13" s="812"/>
      <c r="E13" s="826" t="str">
        <f t="shared" si="5"/>
        <v>11-27ХХ-МПКПМКИ-12.21</v>
      </c>
      <c r="F13" s="826" t="str">
        <f t="shared" si="6"/>
        <v xml:space="preserve"> </v>
      </c>
      <c r="G13" s="826" t="str">
        <f t="shared" si="7"/>
        <v xml:space="preserve">Многофункциональный спортивный центр </v>
      </c>
      <c r="H13" s="826" t="str">
        <f t="shared" si="8"/>
        <v>Тверь</v>
      </c>
      <c r="I13" s="826" t="str">
        <f t="shared" si="9"/>
        <v>ЦФО</v>
      </c>
      <c r="J13" s="826" t="str">
        <f t="shared" si="10"/>
        <v>Нулевой цикл</v>
      </c>
      <c r="K13" s="830" t="str">
        <f t="shared" si="11"/>
        <v>Новый расчет</v>
      </c>
      <c r="L13" s="826">
        <f t="shared" si="12"/>
        <v>1</v>
      </c>
      <c r="M13" s="826">
        <f t="shared" si="13"/>
        <v>1</v>
      </c>
      <c r="N13" s="826">
        <f>COUNTIF(ОБЩИЕ_ДАННЫЕ!$J$133:$J$142,"&gt;0")</f>
        <v>0</v>
      </c>
      <c r="O13" s="826">
        <v>2</v>
      </c>
      <c r="P13" s="826">
        <f>ОБЩИЕ_ДАННЫЕ!J134</f>
        <v>0</v>
      </c>
      <c r="Q13" s="880">
        <f>ОБЩИЕ_ДАННЫЕ!K134</f>
        <v>0</v>
      </c>
      <c r="R13" s="826" t="str">
        <f>IF(Q13=0,"Схемы Ветровых Зон",Прайс!F140)</f>
        <v>Схемы Ветровых Зон</v>
      </c>
      <c r="S13" s="777">
        <v>0</v>
      </c>
      <c r="T13" s="777">
        <v>0</v>
      </c>
      <c r="U13" s="777">
        <v>0</v>
      </c>
      <c r="V13" s="529">
        <f>IF(AND(ОБЩИЕ_ДАННЫЕ!K134&gt;0,ОБЩИЕ_ДАННЫЕ!M134&gt;0),ОБЩИЕ_ДАННЫЕ!L134*0.25,0)</f>
        <v>0</v>
      </c>
      <c r="W13" s="529">
        <f>IF(AND(ОБЩИЕ_ДАННЫЕ!K134&gt;0,ОБЩИЕ_ДАННЫЕ!N134&gt;0),ОБЩИЕ_ДАННЫЕ!L134*0.25,0)</f>
        <v>0</v>
      </c>
      <c r="X13" s="777">
        <v>0</v>
      </c>
      <c r="Y13" s="777">
        <v>0</v>
      </c>
      <c r="Z13" s="777">
        <v>0</v>
      </c>
      <c r="AA13" s="777">
        <v>0</v>
      </c>
      <c r="AB13" s="530">
        <f t="shared" ref="AB13:AB20" si="34">SUM(S13:AA13)</f>
        <v>0</v>
      </c>
      <c r="AC13" s="828" t="str">
        <f t="shared" si="14"/>
        <v>13.12.2021</v>
      </c>
      <c r="AD13" s="828">
        <f t="shared" si="15"/>
        <v>44543</v>
      </c>
      <c r="AE13" s="826">
        <f t="shared" si="2"/>
        <v>0</v>
      </c>
      <c r="AF13" s="826" t="str">
        <f t="shared" si="16"/>
        <v>Торговый партнер</v>
      </c>
      <c r="AG13" s="531" t="str">
        <f t="shared" si="17"/>
        <v>ЦФО</v>
      </c>
      <c r="AH13" s="531">
        <f t="shared" si="18"/>
        <v>0</v>
      </c>
      <c r="AI13" s="826">
        <f t="shared" si="19"/>
        <v>0</v>
      </c>
      <c r="AJ13" s="826" t="str">
        <f t="shared" si="20"/>
        <v>менеджер</v>
      </c>
      <c r="AK13" s="826">
        <f t="shared" si="21"/>
        <v>0</v>
      </c>
      <c r="AL13" s="531">
        <f>AM13</f>
        <v>0</v>
      </c>
      <c r="AM13" s="826">
        <f t="shared" si="1"/>
        <v>0</v>
      </c>
      <c r="AN13" s="532">
        <f t="shared" ref="AN13:AN20" si="35">AM13</f>
        <v>0</v>
      </c>
      <c r="AO13" s="533">
        <f t="shared" ref="AO13:AO20" si="36">AN13/0.87</f>
        <v>0</v>
      </c>
      <c r="AP13" s="829" t="str">
        <f t="shared" si="22"/>
        <v>-</v>
      </c>
      <c r="AQ13" s="777">
        <v>0</v>
      </c>
      <c r="AR13" s="777">
        <v>0</v>
      </c>
      <c r="AS13" s="777">
        <v>0</v>
      </c>
      <c r="AT13" s="826" t="str">
        <f t="shared" si="23"/>
        <v>1555ХХ</v>
      </c>
      <c r="AU13" s="444">
        <f t="shared" si="24"/>
        <v>0</v>
      </c>
      <c r="AV13" s="777">
        <v>0</v>
      </c>
      <c r="AW13" s="777"/>
      <c r="AX13" s="770">
        <f t="shared" si="25"/>
        <v>0</v>
      </c>
      <c r="AY13" s="777">
        <v>0</v>
      </c>
      <c r="AZ13" s="777">
        <v>0</v>
      </c>
      <c r="BA13" s="777">
        <v>0</v>
      </c>
      <c r="BB13" s="777">
        <v>0</v>
      </c>
      <c r="BC13" s="777">
        <v>0</v>
      </c>
      <c r="BD13" s="777">
        <v>0</v>
      </c>
      <c r="BE13" s="777">
        <v>0</v>
      </c>
      <c r="BF13" s="777">
        <v>0</v>
      </c>
      <c r="BG13" s="777">
        <v>0</v>
      </c>
      <c r="BH13" s="777">
        <v>0</v>
      </c>
      <c r="BI13" s="826" t="str">
        <f t="shared" si="26"/>
        <v xml:space="preserve"> </v>
      </c>
      <c r="BJ13" s="826" t="str">
        <f t="shared" si="27"/>
        <v>Для кого</v>
      </c>
      <c r="BK13" s="873">
        <f>ОБЩИЕ_ДАННЫЕ!$C$207</f>
        <v>0</v>
      </c>
      <c r="BL13" s="854">
        <f t="shared" si="28"/>
        <v>7710959468</v>
      </c>
      <c r="BM13" s="854">
        <f t="shared" si="29"/>
        <v>772401001</v>
      </c>
      <c r="BN13" s="777">
        <v>0</v>
      </c>
    </row>
    <row r="14" spans="1:66" ht="28.8" hidden="1">
      <c r="A14" s="812"/>
      <c r="B14" s="812"/>
      <c r="C14" s="812"/>
      <c r="D14" s="812"/>
      <c r="E14" s="826" t="str">
        <f t="shared" si="5"/>
        <v>11-27ХХ-МПКПМКИ-12.21</v>
      </c>
      <c r="F14" s="826" t="str">
        <f t="shared" si="6"/>
        <v xml:space="preserve"> </v>
      </c>
      <c r="G14" s="826" t="str">
        <f t="shared" si="7"/>
        <v xml:space="preserve">Многофункциональный спортивный центр </v>
      </c>
      <c r="H14" s="826" t="str">
        <f t="shared" si="8"/>
        <v>Тверь</v>
      </c>
      <c r="I14" s="826" t="str">
        <f t="shared" si="9"/>
        <v>ЦФО</v>
      </c>
      <c r="J14" s="826" t="str">
        <f t="shared" si="10"/>
        <v>Нулевой цикл</v>
      </c>
      <c r="K14" s="830" t="str">
        <f t="shared" si="11"/>
        <v>Новый расчет</v>
      </c>
      <c r="L14" s="826">
        <f t="shared" si="12"/>
        <v>1</v>
      </c>
      <c r="M14" s="826">
        <f t="shared" si="13"/>
        <v>1</v>
      </c>
      <c r="N14" s="826">
        <f>COUNTIF(ОБЩИЕ_ДАННЫЕ!$J$133:$J$142,"&gt;0")</f>
        <v>0</v>
      </c>
      <c r="O14" s="826">
        <v>3</v>
      </c>
      <c r="P14" s="826">
        <f>ОБЩИЕ_ДАННЫЕ!J135</f>
        <v>0</v>
      </c>
      <c r="Q14" s="880">
        <f>ОБЩИЕ_ДАННЫЕ!K135</f>
        <v>0</v>
      </c>
      <c r="R14" s="826" t="str">
        <f>IF(Q14=0,"Схемы Ветровых Зон",Прайс!F140)</f>
        <v>Схемы Ветровых Зон</v>
      </c>
      <c r="S14" s="777">
        <v>0</v>
      </c>
      <c r="T14" s="777">
        <v>0</v>
      </c>
      <c r="U14" s="777">
        <v>0</v>
      </c>
      <c r="V14" s="529">
        <f>IF(AND(ОБЩИЕ_ДАННЫЕ!K135&gt;0,ОБЩИЕ_ДАННЫЕ!M135&gt;0),ОБЩИЕ_ДАННЫЕ!L135*0.25,0)</f>
        <v>0</v>
      </c>
      <c r="W14" s="529">
        <f>IF(AND(ОБЩИЕ_ДАННЫЕ!K135&gt;0,ОБЩИЕ_ДАННЫЕ!N135&gt;0),ОБЩИЕ_ДАННЫЕ!L135*0.25,0)</f>
        <v>0</v>
      </c>
      <c r="X14" s="777">
        <v>0</v>
      </c>
      <c r="Y14" s="777">
        <v>0</v>
      </c>
      <c r="Z14" s="777">
        <v>0</v>
      </c>
      <c r="AA14" s="777">
        <v>0</v>
      </c>
      <c r="AB14" s="530">
        <f t="shared" si="34"/>
        <v>0</v>
      </c>
      <c r="AC14" s="828" t="str">
        <f t="shared" si="14"/>
        <v>13.12.2021</v>
      </c>
      <c r="AD14" s="828">
        <f t="shared" si="15"/>
        <v>44543</v>
      </c>
      <c r="AE14" s="826">
        <f t="shared" si="2"/>
        <v>0</v>
      </c>
      <c r="AF14" s="826" t="str">
        <f t="shared" si="16"/>
        <v>Торговый партнер</v>
      </c>
      <c r="AG14" s="531" t="str">
        <f t="shared" si="17"/>
        <v>ЦФО</v>
      </c>
      <c r="AH14" s="531">
        <f t="shared" si="18"/>
        <v>0</v>
      </c>
      <c r="AI14" s="826">
        <f t="shared" si="19"/>
        <v>0</v>
      </c>
      <c r="AJ14" s="826" t="str">
        <f t="shared" si="20"/>
        <v>менеджер</v>
      </c>
      <c r="AK14" s="826">
        <f t="shared" si="21"/>
        <v>0</v>
      </c>
      <c r="AL14" s="531">
        <f t="shared" ref="AL14:AL20" si="37">AM14</f>
        <v>0</v>
      </c>
      <c r="AM14" s="826">
        <f t="shared" si="1"/>
        <v>0</v>
      </c>
      <c r="AN14" s="532">
        <f t="shared" si="35"/>
        <v>0</v>
      </c>
      <c r="AO14" s="533">
        <f t="shared" si="36"/>
        <v>0</v>
      </c>
      <c r="AP14" s="829" t="str">
        <f t="shared" si="22"/>
        <v>-</v>
      </c>
      <c r="AQ14" s="777">
        <v>0</v>
      </c>
      <c r="AR14" s="777">
        <v>0</v>
      </c>
      <c r="AS14" s="777">
        <v>0</v>
      </c>
      <c r="AT14" s="826" t="str">
        <f t="shared" si="23"/>
        <v>1555ХХ</v>
      </c>
      <c r="AU14" s="444">
        <f t="shared" si="24"/>
        <v>0</v>
      </c>
      <c r="AV14" s="777">
        <v>0</v>
      </c>
      <c r="AW14" s="777"/>
      <c r="AX14" s="770">
        <f t="shared" si="25"/>
        <v>0</v>
      </c>
      <c r="AY14" s="777">
        <v>0</v>
      </c>
      <c r="AZ14" s="777">
        <v>0</v>
      </c>
      <c r="BA14" s="777">
        <v>0</v>
      </c>
      <c r="BB14" s="777">
        <v>0</v>
      </c>
      <c r="BC14" s="777">
        <v>0</v>
      </c>
      <c r="BD14" s="777">
        <v>0</v>
      </c>
      <c r="BE14" s="777">
        <v>0</v>
      </c>
      <c r="BF14" s="777">
        <v>0</v>
      </c>
      <c r="BG14" s="777">
        <v>0</v>
      </c>
      <c r="BH14" s="777">
        <v>0</v>
      </c>
      <c r="BI14" s="826" t="str">
        <f t="shared" si="26"/>
        <v xml:space="preserve"> </v>
      </c>
      <c r="BJ14" s="826" t="str">
        <f t="shared" si="27"/>
        <v>Для кого</v>
      </c>
      <c r="BK14" s="873">
        <f>ОБЩИЕ_ДАННЫЕ!$C$207</f>
        <v>0</v>
      </c>
      <c r="BL14" s="854">
        <f t="shared" si="28"/>
        <v>7710959468</v>
      </c>
      <c r="BM14" s="854">
        <f t="shared" si="29"/>
        <v>772401001</v>
      </c>
      <c r="BN14" s="777">
        <v>0</v>
      </c>
    </row>
    <row r="15" spans="1:66" ht="28.8" hidden="1">
      <c r="A15" s="812"/>
      <c r="B15" s="812"/>
      <c r="C15" s="812"/>
      <c r="D15" s="812"/>
      <c r="E15" s="826" t="str">
        <f t="shared" si="5"/>
        <v>11-27ХХ-МПКПМКИ-12.21</v>
      </c>
      <c r="F15" s="826" t="str">
        <f t="shared" si="6"/>
        <v xml:space="preserve"> </v>
      </c>
      <c r="G15" s="826" t="str">
        <f t="shared" si="7"/>
        <v xml:space="preserve">Многофункциональный спортивный центр </v>
      </c>
      <c r="H15" s="826" t="str">
        <f t="shared" si="8"/>
        <v>Тверь</v>
      </c>
      <c r="I15" s="826" t="str">
        <f t="shared" si="9"/>
        <v>ЦФО</v>
      </c>
      <c r="J15" s="826" t="str">
        <f t="shared" si="10"/>
        <v>Нулевой цикл</v>
      </c>
      <c r="K15" s="830" t="str">
        <f t="shared" si="11"/>
        <v>Новый расчет</v>
      </c>
      <c r="L15" s="826">
        <f t="shared" si="12"/>
        <v>1</v>
      </c>
      <c r="M15" s="826">
        <f t="shared" si="13"/>
        <v>1</v>
      </c>
      <c r="N15" s="826">
        <f>COUNTIF(ОБЩИЕ_ДАННЫЕ!$J$133:$J$142,"&gt;0")</f>
        <v>0</v>
      </c>
      <c r="O15" s="826">
        <v>4</v>
      </c>
      <c r="P15" s="826">
        <f>ОБЩИЕ_ДАННЫЕ!J136</f>
        <v>0</v>
      </c>
      <c r="Q15" s="880">
        <f>ОБЩИЕ_ДАННЫЕ!K136</f>
        <v>0</v>
      </c>
      <c r="R15" s="826" t="str">
        <f>IF(Q15=0,"Схемы Ветровых Зон",Прайс!F140)</f>
        <v>Схемы Ветровых Зон</v>
      </c>
      <c r="S15" s="777">
        <v>0</v>
      </c>
      <c r="T15" s="777">
        <v>0</v>
      </c>
      <c r="U15" s="777">
        <v>0</v>
      </c>
      <c r="V15" s="529">
        <f>IF(AND(ОБЩИЕ_ДАННЫЕ!K136&gt;0,ОБЩИЕ_ДАННЫЕ!M136&gt;0),ОБЩИЕ_ДАННЫЕ!L136*0.25,0)</f>
        <v>0</v>
      </c>
      <c r="W15" s="529">
        <f>IF(AND(ОБЩИЕ_ДАННЫЕ!K136&gt;0,ОБЩИЕ_ДАННЫЕ!N136&gt;0),ОБЩИЕ_ДАННЫЕ!L136*0.25,0)</f>
        <v>0</v>
      </c>
      <c r="X15" s="777">
        <v>0</v>
      </c>
      <c r="Y15" s="777">
        <v>0</v>
      </c>
      <c r="Z15" s="777">
        <v>0</v>
      </c>
      <c r="AA15" s="777">
        <v>0</v>
      </c>
      <c r="AB15" s="530">
        <f t="shared" si="34"/>
        <v>0</v>
      </c>
      <c r="AC15" s="828" t="str">
        <f t="shared" si="14"/>
        <v>13.12.2021</v>
      </c>
      <c r="AD15" s="828">
        <f t="shared" si="15"/>
        <v>44543</v>
      </c>
      <c r="AE15" s="826">
        <f t="shared" si="2"/>
        <v>0</v>
      </c>
      <c r="AF15" s="826" t="str">
        <f t="shared" si="16"/>
        <v>Торговый партнер</v>
      </c>
      <c r="AG15" s="531" t="str">
        <f t="shared" si="17"/>
        <v>ЦФО</v>
      </c>
      <c r="AH15" s="531">
        <f t="shared" si="18"/>
        <v>0</v>
      </c>
      <c r="AI15" s="826">
        <f t="shared" si="19"/>
        <v>0</v>
      </c>
      <c r="AJ15" s="826" t="str">
        <f t="shared" si="20"/>
        <v>менеджер</v>
      </c>
      <c r="AK15" s="826">
        <f t="shared" si="21"/>
        <v>0</v>
      </c>
      <c r="AL15" s="531">
        <f t="shared" si="37"/>
        <v>0</v>
      </c>
      <c r="AM15" s="826">
        <f t="shared" si="1"/>
        <v>0</v>
      </c>
      <c r="AN15" s="532">
        <f t="shared" si="35"/>
        <v>0</v>
      </c>
      <c r="AO15" s="533">
        <f t="shared" si="36"/>
        <v>0</v>
      </c>
      <c r="AP15" s="829" t="str">
        <f t="shared" si="22"/>
        <v>-</v>
      </c>
      <c r="AQ15" s="777">
        <v>0</v>
      </c>
      <c r="AR15" s="777">
        <v>0</v>
      </c>
      <c r="AS15" s="777">
        <v>0</v>
      </c>
      <c r="AT15" s="826" t="str">
        <f t="shared" si="23"/>
        <v>1555ХХ</v>
      </c>
      <c r="AU15" s="444">
        <f t="shared" si="24"/>
        <v>0</v>
      </c>
      <c r="AV15" s="777">
        <v>0</v>
      </c>
      <c r="AW15" s="777"/>
      <c r="AX15" s="770">
        <f t="shared" si="25"/>
        <v>0</v>
      </c>
      <c r="AY15" s="777">
        <v>0</v>
      </c>
      <c r="AZ15" s="777">
        <v>0</v>
      </c>
      <c r="BA15" s="777">
        <v>0</v>
      </c>
      <c r="BB15" s="777">
        <v>0</v>
      </c>
      <c r="BC15" s="777">
        <v>0</v>
      </c>
      <c r="BD15" s="777">
        <v>0</v>
      </c>
      <c r="BE15" s="777">
        <v>0</v>
      </c>
      <c r="BF15" s="777">
        <v>0</v>
      </c>
      <c r="BG15" s="777">
        <v>0</v>
      </c>
      <c r="BH15" s="777">
        <v>0</v>
      </c>
      <c r="BI15" s="826" t="str">
        <f t="shared" si="26"/>
        <v xml:space="preserve"> </v>
      </c>
      <c r="BJ15" s="826" t="str">
        <f t="shared" si="27"/>
        <v>Для кого</v>
      </c>
      <c r="BK15" s="873">
        <f>ОБЩИЕ_ДАННЫЕ!$C$207</f>
        <v>0</v>
      </c>
      <c r="BL15" s="854">
        <f t="shared" si="28"/>
        <v>7710959468</v>
      </c>
      <c r="BM15" s="854">
        <f t="shared" si="29"/>
        <v>772401001</v>
      </c>
      <c r="BN15" s="777">
        <v>0</v>
      </c>
    </row>
    <row r="16" spans="1:66" ht="28.8" hidden="1">
      <c r="A16" s="812"/>
      <c r="B16" s="812"/>
      <c r="C16" s="812"/>
      <c r="D16" s="812"/>
      <c r="E16" s="826" t="str">
        <f t="shared" si="5"/>
        <v>11-27ХХ-МПКПМКИ-12.21</v>
      </c>
      <c r="F16" s="826" t="str">
        <f t="shared" si="6"/>
        <v xml:space="preserve"> </v>
      </c>
      <c r="G16" s="826" t="str">
        <f t="shared" si="7"/>
        <v xml:space="preserve">Многофункциональный спортивный центр </v>
      </c>
      <c r="H16" s="826" t="str">
        <f t="shared" si="8"/>
        <v>Тверь</v>
      </c>
      <c r="I16" s="826" t="str">
        <f t="shared" si="9"/>
        <v>ЦФО</v>
      </c>
      <c r="J16" s="826" t="str">
        <f t="shared" si="10"/>
        <v>Нулевой цикл</v>
      </c>
      <c r="K16" s="830" t="str">
        <f t="shared" si="11"/>
        <v>Новый расчет</v>
      </c>
      <c r="L16" s="826">
        <f t="shared" si="12"/>
        <v>1</v>
      </c>
      <c r="M16" s="826">
        <f t="shared" si="13"/>
        <v>1</v>
      </c>
      <c r="N16" s="826">
        <f>COUNTIF(ОБЩИЕ_ДАННЫЕ!$J$133:$J$142,"&gt;0")</f>
        <v>0</v>
      </c>
      <c r="O16" s="826">
        <v>5</v>
      </c>
      <c r="P16" s="826">
        <f>ОБЩИЕ_ДАННЫЕ!J137</f>
        <v>0</v>
      </c>
      <c r="Q16" s="880">
        <f>ОБЩИЕ_ДАННЫЕ!K137</f>
        <v>0</v>
      </c>
      <c r="R16" s="826" t="str">
        <f>IF(Q16=0,"Схемы Ветровых Зон",Прайс!F140)</f>
        <v>Схемы Ветровых Зон</v>
      </c>
      <c r="S16" s="777">
        <v>0</v>
      </c>
      <c r="T16" s="777">
        <v>0</v>
      </c>
      <c r="U16" s="777">
        <v>0</v>
      </c>
      <c r="V16" s="529">
        <f>IF(AND(ОБЩИЕ_ДАННЫЕ!K137&gt;0,ОБЩИЕ_ДАННЫЕ!M137&gt;0),ОБЩИЕ_ДАННЫЕ!L137*0.25,0)</f>
        <v>0</v>
      </c>
      <c r="W16" s="529">
        <f>IF(AND(ОБЩИЕ_ДАННЫЕ!K137&gt;0,ОБЩИЕ_ДАННЫЕ!N137&gt;0),ОБЩИЕ_ДАННЫЕ!L137*0.25,0)</f>
        <v>0</v>
      </c>
      <c r="X16" s="777">
        <v>0</v>
      </c>
      <c r="Y16" s="777">
        <v>0</v>
      </c>
      <c r="Z16" s="777">
        <v>0</v>
      </c>
      <c r="AA16" s="777">
        <v>0</v>
      </c>
      <c r="AB16" s="530">
        <f t="shared" si="34"/>
        <v>0</v>
      </c>
      <c r="AC16" s="828" t="str">
        <f t="shared" si="14"/>
        <v>13.12.2021</v>
      </c>
      <c r="AD16" s="828">
        <f t="shared" si="15"/>
        <v>44543</v>
      </c>
      <c r="AE16" s="826">
        <f t="shared" si="2"/>
        <v>0</v>
      </c>
      <c r="AF16" s="826" t="str">
        <f t="shared" si="16"/>
        <v>Торговый партнер</v>
      </c>
      <c r="AG16" s="531" t="str">
        <f t="shared" si="17"/>
        <v>ЦФО</v>
      </c>
      <c r="AH16" s="531">
        <f t="shared" si="18"/>
        <v>0</v>
      </c>
      <c r="AI16" s="826">
        <f t="shared" si="19"/>
        <v>0</v>
      </c>
      <c r="AJ16" s="826" t="str">
        <f t="shared" si="20"/>
        <v>менеджер</v>
      </c>
      <c r="AK16" s="826">
        <f t="shared" si="21"/>
        <v>0</v>
      </c>
      <c r="AL16" s="531">
        <f t="shared" si="37"/>
        <v>0</v>
      </c>
      <c r="AM16" s="826">
        <f t="shared" si="1"/>
        <v>0</v>
      </c>
      <c r="AN16" s="532">
        <f t="shared" si="35"/>
        <v>0</v>
      </c>
      <c r="AO16" s="533">
        <f t="shared" si="36"/>
        <v>0</v>
      </c>
      <c r="AP16" s="829" t="str">
        <f t="shared" si="22"/>
        <v>-</v>
      </c>
      <c r="AQ16" s="777">
        <v>0</v>
      </c>
      <c r="AR16" s="777">
        <v>0</v>
      </c>
      <c r="AS16" s="777">
        <v>0</v>
      </c>
      <c r="AT16" s="826" t="str">
        <f t="shared" si="23"/>
        <v>1555ХХ</v>
      </c>
      <c r="AU16" s="444">
        <f t="shared" si="24"/>
        <v>0</v>
      </c>
      <c r="AV16" s="777">
        <v>0</v>
      </c>
      <c r="AW16" s="777"/>
      <c r="AX16" s="770">
        <f t="shared" si="25"/>
        <v>0</v>
      </c>
      <c r="AY16" s="777">
        <v>0</v>
      </c>
      <c r="AZ16" s="777">
        <v>0</v>
      </c>
      <c r="BA16" s="777">
        <v>0</v>
      </c>
      <c r="BB16" s="777">
        <v>0</v>
      </c>
      <c r="BC16" s="777">
        <v>0</v>
      </c>
      <c r="BD16" s="777">
        <v>0</v>
      </c>
      <c r="BE16" s="777">
        <v>0</v>
      </c>
      <c r="BF16" s="777">
        <v>0</v>
      </c>
      <c r="BG16" s="777">
        <v>0</v>
      </c>
      <c r="BH16" s="777">
        <v>0</v>
      </c>
      <c r="BI16" s="826" t="str">
        <f t="shared" si="26"/>
        <v xml:space="preserve"> </v>
      </c>
      <c r="BJ16" s="826" t="str">
        <f t="shared" si="27"/>
        <v>Для кого</v>
      </c>
      <c r="BK16" s="873">
        <f>ОБЩИЕ_ДАННЫЕ!$C$207</f>
        <v>0</v>
      </c>
      <c r="BL16" s="854">
        <f t="shared" si="28"/>
        <v>7710959468</v>
      </c>
      <c r="BM16" s="854">
        <f t="shared" si="29"/>
        <v>772401001</v>
      </c>
      <c r="BN16" s="777">
        <v>0</v>
      </c>
    </row>
    <row r="17" spans="1:66" ht="28.8" hidden="1">
      <c r="A17" s="812"/>
      <c r="B17" s="812"/>
      <c r="C17" s="812"/>
      <c r="D17" s="812"/>
      <c r="E17" s="826" t="str">
        <f t="shared" si="5"/>
        <v>11-27ХХ-МПКПМКИ-12.21</v>
      </c>
      <c r="F17" s="826" t="str">
        <f t="shared" si="6"/>
        <v xml:space="preserve"> </v>
      </c>
      <c r="G17" s="826" t="str">
        <f t="shared" si="7"/>
        <v xml:space="preserve">Многофункциональный спортивный центр </v>
      </c>
      <c r="H17" s="826" t="str">
        <f t="shared" si="8"/>
        <v>Тверь</v>
      </c>
      <c r="I17" s="826" t="str">
        <f t="shared" si="9"/>
        <v>ЦФО</v>
      </c>
      <c r="J17" s="826" t="str">
        <f t="shared" si="10"/>
        <v>Нулевой цикл</v>
      </c>
      <c r="K17" s="830" t="str">
        <f t="shared" si="11"/>
        <v>Новый расчет</v>
      </c>
      <c r="L17" s="826">
        <f t="shared" si="12"/>
        <v>1</v>
      </c>
      <c r="M17" s="826">
        <f t="shared" si="13"/>
        <v>1</v>
      </c>
      <c r="N17" s="826">
        <f>COUNTIF(ОБЩИЕ_ДАННЫЕ!$J$133:$J$142,"&gt;0")</f>
        <v>0</v>
      </c>
      <c r="O17" s="826">
        <v>6</v>
      </c>
      <c r="P17" s="826">
        <f>ОБЩИЕ_ДАННЫЕ!J138</f>
        <v>0</v>
      </c>
      <c r="Q17" s="880">
        <f>ОБЩИЕ_ДАННЫЕ!K138</f>
        <v>0</v>
      </c>
      <c r="R17" s="826" t="str">
        <f>IF(Q17=0,"Схемы Ветровых Зон",Прайс!F140)</f>
        <v>Схемы Ветровых Зон</v>
      </c>
      <c r="S17" s="777">
        <v>0</v>
      </c>
      <c r="T17" s="777">
        <v>0</v>
      </c>
      <c r="U17" s="777">
        <v>0</v>
      </c>
      <c r="V17" s="529">
        <f>IF(AND(ОБЩИЕ_ДАННЫЕ!K138&gt;0,ОБЩИЕ_ДАННЫЕ!M138&gt;0),ОБЩИЕ_ДАННЫЕ!L138*0.25,0)</f>
        <v>0</v>
      </c>
      <c r="W17" s="529">
        <f>IF(AND(ОБЩИЕ_ДАННЫЕ!K138&gt;0,ОБЩИЕ_ДАННЫЕ!N138&gt;0),ОБЩИЕ_ДАННЫЕ!L138*0.25,0)</f>
        <v>0</v>
      </c>
      <c r="X17" s="777">
        <v>0</v>
      </c>
      <c r="Y17" s="777">
        <v>0</v>
      </c>
      <c r="Z17" s="777">
        <v>0</v>
      </c>
      <c r="AA17" s="777">
        <v>0</v>
      </c>
      <c r="AB17" s="530">
        <f t="shared" si="34"/>
        <v>0</v>
      </c>
      <c r="AC17" s="828" t="str">
        <f t="shared" si="14"/>
        <v>13.12.2021</v>
      </c>
      <c r="AD17" s="828">
        <f t="shared" si="15"/>
        <v>44543</v>
      </c>
      <c r="AE17" s="826">
        <f t="shared" si="2"/>
        <v>0</v>
      </c>
      <c r="AF17" s="826" t="str">
        <f t="shared" si="16"/>
        <v>Торговый партнер</v>
      </c>
      <c r="AG17" s="531" t="str">
        <f t="shared" si="17"/>
        <v>ЦФО</v>
      </c>
      <c r="AH17" s="531">
        <f t="shared" si="18"/>
        <v>0</v>
      </c>
      <c r="AI17" s="826">
        <f t="shared" si="19"/>
        <v>0</v>
      </c>
      <c r="AJ17" s="826" t="str">
        <f t="shared" si="20"/>
        <v>менеджер</v>
      </c>
      <c r="AK17" s="826">
        <f t="shared" si="21"/>
        <v>0</v>
      </c>
      <c r="AL17" s="531">
        <f t="shared" si="37"/>
        <v>0</v>
      </c>
      <c r="AM17" s="826">
        <f t="shared" si="1"/>
        <v>0</v>
      </c>
      <c r="AN17" s="532">
        <f t="shared" si="35"/>
        <v>0</v>
      </c>
      <c r="AO17" s="533">
        <f t="shared" si="36"/>
        <v>0</v>
      </c>
      <c r="AP17" s="829" t="str">
        <f t="shared" si="22"/>
        <v>-</v>
      </c>
      <c r="AQ17" s="777">
        <v>0</v>
      </c>
      <c r="AR17" s="777">
        <v>0</v>
      </c>
      <c r="AS17" s="777">
        <v>0</v>
      </c>
      <c r="AT17" s="826" t="str">
        <f t="shared" si="23"/>
        <v>1555ХХ</v>
      </c>
      <c r="AU17" s="444">
        <f t="shared" si="24"/>
        <v>0</v>
      </c>
      <c r="AV17" s="777">
        <v>0</v>
      </c>
      <c r="AW17" s="777"/>
      <c r="AX17" s="770">
        <f t="shared" si="25"/>
        <v>0</v>
      </c>
      <c r="AY17" s="777">
        <v>0</v>
      </c>
      <c r="AZ17" s="777">
        <v>0</v>
      </c>
      <c r="BA17" s="777">
        <v>0</v>
      </c>
      <c r="BB17" s="777">
        <v>0</v>
      </c>
      <c r="BC17" s="777">
        <v>0</v>
      </c>
      <c r="BD17" s="777">
        <v>0</v>
      </c>
      <c r="BE17" s="777">
        <v>0</v>
      </c>
      <c r="BF17" s="777">
        <v>0</v>
      </c>
      <c r="BG17" s="777">
        <v>0</v>
      </c>
      <c r="BH17" s="777">
        <v>0</v>
      </c>
      <c r="BI17" s="826" t="str">
        <f t="shared" si="26"/>
        <v xml:space="preserve"> </v>
      </c>
      <c r="BJ17" s="826" t="str">
        <f t="shared" si="27"/>
        <v>Для кого</v>
      </c>
      <c r="BK17" s="873">
        <f>ОБЩИЕ_ДАННЫЕ!$C$207</f>
        <v>0</v>
      </c>
      <c r="BL17" s="854">
        <f t="shared" si="28"/>
        <v>7710959468</v>
      </c>
      <c r="BM17" s="854">
        <f t="shared" si="29"/>
        <v>772401001</v>
      </c>
      <c r="BN17" s="777">
        <v>0</v>
      </c>
    </row>
    <row r="18" spans="1:66" ht="28.8" hidden="1">
      <c r="A18" s="812"/>
      <c r="B18" s="812"/>
      <c r="C18" s="812"/>
      <c r="D18" s="812"/>
      <c r="E18" s="826" t="str">
        <f t="shared" si="5"/>
        <v>11-27ХХ-МПКПМКИ-12.21</v>
      </c>
      <c r="F18" s="826" t="str">
        <f t="shared" si="6"/>
        <v xml:space="preserve"> </v>
      </c>
      <c r="G18" s="826" t="str">
        <f t="shared" si="7"/>
        <v xml:space="preserve">Многофункциональный спортивный центр </v>
      </c>
      <c r="H18" s="826" t="str">
        <f t="shared" si="8"/>
        <v>Тверь</v>
      </c>
      <c r="I18" s="826" t="str">
        <f t="shared" si="9"/>
        <v>ЦФО</v>
      </c>
      <c r="J18" s="826" t="str">
        <f t="shared" si="10"/>
        <v>Нулевой цикл</v>
      </c>
      <c r="K18" s="830" t="str">
        <f t="shared" si="11"/>
        <v>Новый расчет</v>
      </c>
      <c r="L18" s="826">
        <f t="shared" si="12"/>
        <v>1</v>
      </c>
      <c r="M18" s="826">
        <f t="shared" si="13"/>
        <v>1</v>
      </c>
      <c r="N18" s="826">
        <f>COUNTIF(ОБЩИЕ_ДАННЫЕ!$J$133:$J$142,"&gt;0")</f>
        <v>0</v>
      </c>
      <c r="O18" s="826">
        <v>7</v>
      </c>
      <c r="P18" s="826">
        <f>ОБЩИЕ_ДАННЫЕ!J139</f>
        <v>0</v>
      </c>
      <c r="Q18" s="880">
        <f>ОБЩИЕ_ДАННЫЕ!K139</f>
        <v>0</v>
      </c>
      <c r="R18" s="826" t="str">
        <f>IF(Q18=0,"Схемы Ветровых Зон",Прайс!F140)</f>
        <v>Схемы Ветровых Зон</v>
      </c>
      <c r="S18" s="777">
        <v>0</v>
      </c>
      <c r="T18" s="777">
        <v>0</v>
      </c>
      <c r="U18" s="777">
        <v>0</v>
      </c>
      <c r="V18" s="529">
        <f>IF(AND(ОБЩИЕ_ДАННЫЕ!K139&gt;0,ОБЩИЕ_ДАННЫЕ!M139&gt;0),ОБЩИЕ_ДАННЫЕ!L139*0.25,0)</f>
        <v>0</v>
      </c>
      <c r="W18" s="529">
        <f>IF(AND(ОБЩИЕ_ДАННЫЕ!K139&gt;0,ОБЩИЕ_ДАННЫЕ!N139&gt;0),ОБЩИЕ_ДАННЫЕ!L139*0.25,0)</f>
        <v>0</v>
      </c>
      <c r="X18" s="777">
        <v>0</v>
      </c>
      <c r="Y18" s="777">
        <v>0</v>
      </c>
      <c r="Z18" s="777">
        <v>0</v>
      </c>
      <c r="AA18" s="777">
        <v>0</v>
      </c>
      <c r="AB18" s="530">
        <f>SUM(S18:AA18)</f>
        <v>0</v>
      </c>
      <c r="AC18" s="828" t="str">
        <f t="shared" si="14"/>
        <v>13.12.2021</v>
      </c>
      <c r="AD18" s="828">
        <f t="shared" si="15"/>
        <v>44543</v>
      </c>
      <c r="AE18" s="826">
        <f t="shared" si="2"/>
        <v>0</v>
      </c>
      <c r="AF18" s="826" t="str">
        <f t="shared" si="16"/>
        <v>Торговый партнер</v>
      </c>
      <c r="AG18" s="531" t="str">
        <f t="shared" si="17"/>
        <v>ЦФО</v>
      </c>
      <c r="AH18" s="531">
        <f t="shared" si="18"/>
        <v>0</v>
      </c>
      <c r="AI18" s="826">
        <f t="shared" si="19"/>
        <v>0</v>
      </c>
      <c r="AJ18" s="826" t="str">
        <f t="shared" si="20"/>
        <v>менеджер</v>
      </c>
      <c r="AK18" s="826">
        <f t="shared" si="21"/>
        <v>0</v>
      </c>
      <c r="AL18" s="531">
        <f>AM18</f>
        <v>0</v>
      </c>
      <c r="AM18" s="826">
        <f t="shared" si="1"/>
        <v>0</v>
      </c>
      <c r="AN18" s="532">
        <f>AM18</f>
        <v>0</v>
      </c>
      <c r="AO18" s="533">
        <f>AN18/0.87</f>
        <v>0</v>
      </c>
      <c r="AP18" s="829" t="str">
        <f t="shared" si="22"/>
        <v>-</v>
      </c>
      <c r="AQ18" s="777">
        <v>0</v>
      </c>
      <c r="AR18" s="777">
        <v>0</v>
      </c>
      <c r="AS18" s="777">
        <v>0</v>
      </c>
      <c r="AT18" s="826" t="str">
        <f t="shared" si="23"/>
        <v>1555ХХ</v>
      </c>
      <c r="AU18" s="444">
        <f t="shared" si="24"/>
        <v>0</v>
      </c>
      <c r="AV18" s="777">
        <v>0</v>
      </c>
      <c r="AW18" s="777"/>
      <c r="AX18" s="770">
        <f t="shared" si="25"/>
        <v>0</v>
      </c>
      <c r="AY18" s="777">
        <v>0</v>
      </c>
      <c r="AZ18" s="777">
        <v>0</v>
      </c>
      <c r="BA18" s="777">
        <v>0</v>
      </c>
      <c r="BB18" s="777">
        <v>0</v>
      </c>
      <c r="BC18" s="777">
        <v>0</v>
      </c>
      <c r="BD18" s="777">
        <v>0</v>
      </c>
      <c r="BE18" s="777">
        <v>0</v>
      </c>
      <c r="BF18" s="777">
        <v>0</v>
      </c>
      <c r="BG18" s="777">
        <v>0</v>
      </c>
      <c r="BH18" s="777">
        <v>0</v>
      </c>
      <c r="BI18" s="826" t="str">
        <f t="shared" si="26"/>
        <v xml:space="preserve"> </v>
      </c>
      <c r="BJ18" s="826" t="str">
        <f t="shared" si="27"/>
        <v>Для кого</v>
      </c>
      <c r="BK18" s="873">
        <f>ОБЩИЕ_ДАННЫЕ!$C$207</f>
        <v>0</v>
      </c>
      <c r="BL18" s="854">
        <f t="shared" si="28"/>
        <v>7710959468</v>
      </c>
      <c r="BM18" s="854">
        <f t="shared" si="29"/>
        <v>772401001</v>
      </c>
      <c r="BN18" s="777">
        <v>0</v>
      </c>
    </row>
    <row r="19" spans="1:66" ht="28.8" hidden="1">
      <c r="A19" s="812"/>
      <c r="B19" s="812"/>
      <c r="C19" s="812"/>
      <c r="D19" s="812"/>
      <c r="E19" s="826" t="str">
        <f t="shared" si="5"/>
        <v>11-27ХХ-МПКПМКИ-12.21</v>
      </c>
      <c r="F19" s="826" t="str">
        <f t="shared" si="6"/>
        <v xml:space="preserve"> </v>
      </c>
      <c r="G19" s="826" t="str">
        <f t="shared" si="7"/>
        <v xml:space="preserve">Многофункциональный спортивный центр </v>
      </c>
      <c r="H19" s="826" t="str">
        <f t="shared" si="8"/>
        <v>Тверь</v>
      </c>
      <c r="I19" s="826" t="str">
        <f t="shared" si="9"/>
        <v>ЦФО</v>
      </c>
      <c r="J19" s="826" t="str">
        <f t="shared" si="10"/>
        <v>Нулевой цикл</v>
      </c>
      <c r="K19" s="830" t="str">
        <f t="shared" si="11"/>
        <v>Новый расчет</v>
      </c>
      <c r="L19" s="826">
        <f t="shared" si="12"/>
        <v>1</v>
      </c>
      <c r="M19" s="826">
        <f t="shared" si="13"/>
        <v>1</v>
      </c>
      <c r="N19" s="826">
        <f>COUNTIF(ОБЩИЕ_ДАННЫЕ!$J$133:$J$142,"&gt;0")</f>
        <v>0</v>
      </c>
      <c r="O19" s="826">
        <v>8</v>
      </c>
      <c r="P19" s="826">
        <f>ОБЩИЕ_ДАННЫЕ!J140</f>
        <v>0</v>
      </c>
      <c r="Q19" s="880">
        <f>ОБЩИЕ_ДАННЫЕ!K140</f>
        <v>0</v>
      </c>
      <c r="R19" s="826" t="str">
        <f>IF(Q19=0,"Схемы Ветровых Зон",Прайс!F140)</f>
        <v>Схемы Ветровых Зон</v>
      </c>
      <c r="S19" s="777">
        <v>0</v>
      </c>
      <c r="T19" s="777">
        <v>0</v>
      </c>
      <c r="U19" s="777">
        <v>0</v>
      </c>
      <c r="V19" s="529">
        <f>IF(AND(ОБЩИЕ_ДАННЫЕ!K140&gt;0,ОБЩИЕ_ДАННЫЕ!M140&gt;0),ОБЩИЕ_ДАННЫЕ!L140*0.25,0)</f>
        <v>0</v>
      </c>
      <c r="W19" s="529">
        <f>IF(AND(ОБЩИЕ_ДАННЫЕ!K140&gt;0,ОБЩИЕ_ДАННЫЕ!N140&gt;0),ОБЩИЕ_ДАННЫЕ!L140*0.25,0)</f>
        <v>0</v>
      </c>
      <c r="X19" s="777">
        <v>0</v>
      </c>
      <c r="Y19" s="777">
        <v>0</v>
      </c>
      <c r="Z19" s="777">
        <v>0</v>
      </c>
      <c r="AA19" s="777">
        <v>0</v>
      </c>
      <c r="AB19" s="530">
        <f t="shared" si="34"/>
        <v>0</v>
      </c>
      <c r="AC19" s="828" t="str">
        <f t="shared" si="14"/>
        <v>13.12.2021</v>
      </c>
      <c r="AD19" s="828">
        <f t="shared" si="15"/>
        <v>44543</v>
      </c>
      <c r="AE19" s="826">
        <f t="shared" si="2"/>
        <v>0</v>
      </c>
      <c r="AF19" s="826" t="str">
        <f t="shared" si="16"/>
        <v>Торговый партнер</v>
      </c>
      <c r="AG19" s="531" t="str">
        <f t="shared" si="17"/>
        <v>ЦФО</v>
      </c>
      <c r="AH19" s="531">
        <f t="shared" si="18"/>
        <v>0</v>
      </c>
      <c r="AI19" s="826">
        <f t="shared" si="19"/>
        <v>0</v>
      </c>
      <c r="AJ19" s="826" t="str">
        <f t="shared" si="20"/>
        <v>менеджер</v>
      </c>
      <c r="AK19" s="826">
        <f t="shared" si="21"/>
        <v>0</v>
      </c>
      <c r="AL19" s="531">
        <f t="shared" si="37"/>
        <v>0</v>
      </c>
      <c r="AM19" s="826">
        <f t="shared" si="1"/>
        <v>0</v>
      </c>
      <c r="AN19" s="532">
        <f t="shared" si="35"/>
        <v>0</v>
      </c>
      <c r="AO19" s="533">
        <f t="shared" si="36"/>
        <v>0</v>
      </c>
      <c r="AP19" s="829" t="str">
        <f t="shared" si="22"/>
        <v>-</v>
      </c>
      <c r="AQ19" s="777">
        <v>0</v>
      </c>
      <c r="AR19" s="777">
        <v>0</v>
      </c>
      <c r="AS19" s="777">
        <v>0</v>
      </c>
      <c r="AT19" s="826" t="str">
        <f t="shared" si="23"/>
        <v>1555ХХ</v>
      </c>
      <c r="AU19" s="444">
        <f t="shared" si="24"/>
        <v>0</v>
      </c>
      <c r="AV19" s="777">
        <v>0</v>
      </c>
      <c r="AW19" s="777"/>
      <c r="AX19" s="770">
        <f t="shared" si="25"/>
        <v>0</v>
      </c>
      <c r="AY19" s="777">
        <v>0</v>
      </c>
      <c r="AZ19" s="777">
        <v>0</v>
      </c>
      <c r="BA19" s="777">
        <v>0</v>
      </c>
      <c r="BB19" s="777">
        <v>0</v>
      </c>
      <c r="BC19" s="777">
        <v>0</v>
      </c>
      <c r="BD19" s="777">
        <v>0</v>
      </c>
      <c r="BE19" s="777">
        <v>0</v>
      </c>
      <c r="BF19" s="777">
        <v>0</v>
      </c>
      <c r="BG19" s="777">
        <v>0</v>
      </c>
      <c r="BH19" s="777">
        <v>0</v>
      </c>
      <c r="BI19" s="826" t="str">
        <f t="shared" si="26"/>
        <v xml:space="preserve"> </v>
      </c>
      <c r="BJ19" s="826" t="str">
        <f t="shared" si="27"/>
        <v>Для кого</v>
      </c>
      <c r="BK19" s="873">
        <f>ОБЩИЕ_ДАННЫЕ!$C$207</f>
        <v>0</v>
      </c>
      <c r="BL19" s="854">
        <f t="shared" si="28"/>
        <v>7710959468</v>
      </c>
      <c r="BM19" s="854">
        <f t="shared" si="29"/>
        <v>772401001</v>
      </c>
      <c r="BN19" s="777">
        <v>0</v>
      </c>
    </row>
    <row r="20" spans="1:66" ht="28.8" hidden="1">
      <c r="A20" s="812"/>
      <c r="B20" s="812"/>
      <c r="C20" s="812"/>
      <c r="D20" s="812"/>
      <c r="E20" s="826" t="str">
        <f t="shared" si="5"/>
        <v>11-27ХХ-МПКПМКИ-12.21</v>
      </c>
      <c r="F20" s="826" t="str">
        <f t="shared" si="6"/>
        <v xml:space="preserve"> </v>
      </c>
      <c r="G20" s="826" t="str">
        <f t="shared" si="7"/>
        <v xml:space="preserve">Многофункциональный спортивный центр </v>
      </c>
      <c r="H20" s="826" t="str">
        <f t="shared" si="8"/>
        <v>Тверь</v>
      </c>
      <c r="I20" s="826" t="str">
        <f t="shared" si="9"/>
        <v>ЦФО</v>
      </c>
      <c r="J20" s="826" t="str">
        <f t="shared" si="10"/>
        <v>Нулевой цикл</v>
      </c>
      <c r="K20" s="830" t="str">
        <f t="shared" si="11"/>
        <v>Новый расчет</v>
      </c>
      <c r="L20" s="826">
        <f t="shared" si="12"/>
        <v>1</v>
      </c>
      <c r="M20" s="826">
        <f t="shared" si="13"/>
        <v>1</v>
      </c>
      <c r="N20" s="826">
        <f>COUNTIF(ОБЩИЕ_ДАННЫЕ!$J$133:$J$142,"&gt;0")</f>
        <v>0</v>
      </c>
      <c r="O20" s="826">
        <v>9</v>
      </c>
      <c r="P20" s="826">
        <f>ОБЩИЕ_ДАННЫЕ!J141</f>
        <v>0</v>
      </c>
      <c r="Q20" s="880">
        <f>ОБЩИЕ_ДАННЫЕ!K141</f>
        <v>0</v>
      </c>
      <c r="R20" s="826" t="str">
        <f>IF(Q20=0,"Схемы Ветровых Зон",Прайс!F140)</f>
        <v>Схемы Ветровых Зон</v>
      </c>
      <c r="S20" s="777">
        <v>0</v>
      </c>
      <c r="T20" s="777">
        <v>0</v>
      </c>
      <c r="U20" s="777">
        <v>0</v>
      </c>
      <c r="V20" s="529">
        <f>IF(AND(ОБЩИЕ_ДАННЫЕ!K141&gt;0,ОБЩИЕ_ДАННЫЕ!M141&gt;0),ОБЩИЕ_ДАННЫЕ!L141*0.25,0)</f>
        <v>0</v>
      </c>
      <c r="W20" s="529">
        <f>IF(AND(ОБЩИЕ_ДАННЫЕ!K141&gt;0,ОБЩИЕ_ДАННЫЕ!N141&gt;0),ОБЩИЕ_ДАННЫЕ!L141*0.25,0)</f>
        <v>0</v>
      </c>
      <c r="X20" s="777">
        <v>0</v>
      </c>
      <c r="Y20" s="777">
        <v>0</v>
      </c>
      <c r="Z20" s="777">
        <v>0</v>
      </c>
      <c r="AA20" s="777">
        <v>0</v>
      </c>
      <c r="AB20" s="530">
        <f t="shared" si="34"/>
        <v>0</v>
      </c>
      <c r="AC20" s="828" t="str">
        <f t="shared" si="14"/>
        <v>13.12.2021</v>
      </c>
      <c r="AD20" s="828">
        <f t="shared" si="15"/>
        <v>44543</v>
      </c>
      <c r="AE20" s="826">
        <f t="shared" si="2"/>
        <v>0</v>
      </c>
      <c r="AF20" s="826" t="str">
        <f t="shared" si="16"/>
        <v>Торговый партнер</v>
      </c>
      <c r="AG20" s="531" t="str">
        <f t="shared" si="17"/>
        <v>ЦФО</v>
      </c>
      <c r="AH20" s="531">
        <f t="shared" si="18"/>
        <v>0</v>
      </c>
      <c r="AI20" s="826">
        <f t="shared" si="19"/>
        <v>0</v>
      </c>
      <c r="AJ20" s="826" t="str">
        <f t="shared" si="20"/>
        <v>менеджер</v>
      </c>
      <c r="AK20" s="826">
        <f t="shared" si="21"/>
        <v>0</v>
      </c>
      <c r="AL20" s="531">
        <f t="shared" si="37"/>
        <v>0</v>
      </c>
      <c r="AM20" s="826">
        <f t="shared" si="1"/>
        <v>0</v>
      </c>
      <c r="AN20" s="532">
        <f t="shared" si="35"/>
        <v>0</v>
      </c>
      <c r="AO20" s="533">
        <f t="shared" si="36"/>
        <v>0</v>
      </c>
      <c r="AP20" s="829" t="str">
        <f t="shared" si="22"/>
        <v>-</v>
      </c>
      <c r="AQ20" s="777">
        <v>0</v>
      </c>
      <c r="AR20" s="777">
        <v>0</v>
      </c>
      <c r="AS20" s="777">
        <v>0</v>
      </c>
      <c r="AT20" s="826" t="str">
        <f t="shared" si="23"/>
        <v>1555ХХ</v>
      </c>
      <c r="AU20" s="444">
        <f t="shared" si="24"/>
        <v>0</v>
      </c>
      <c r="AV20" s="777">
        <v>0</v>
      </c>
      <c r="AW20" s="777"/>
      <c r="AX20" s="770">
        <f t="shared" si="25"/>
        <v>0</v>
      </c>
      <c r="AY20" s="777">
        <v>0</v>
      </c>
      <c r="AZ20" s="777">
        <v>0</v>
      </c>
      <c r="BA20" s="777">
        <v>0</v>
      </c>
      <c r="BB20" s="777">
        <v>0</v>
      </c>
      <c r="BC20" s="777">
        <v>0</v>
      </c>
      <c r="BD20" s="777">
        <v>0</v>
      </c>
      <c r="BE20" s="777">
        <v>0</v>
      </c>
      <c r="BF20" s="777">
        <v>0</v>
      </c>
      <c r="BG20" s="777">
        <v>0</v>
      </c>
      <c r="BH20" s="777">
        <v>0</v>
      </c>
      <c r="BI20" s="826" t="str">
        <f t="shared" si="26"/>
        <v xml:space="preserve"> </v>
      </c>
      <c r="BJ20" s="826" t="str">
        <f t="shared" si="27"/>
        <v>Для кого</v>
      </c>
      <c r="BK20" s="873">
        <f>ОБЩИЕ_ДАННЫЕ!$C$207</f>
        <v>0</v>
      </c>
      <c r="BL20" s="854">
        <f t="shared" si="28"/>
        <v>7710959468</v>
      </c>
      <c r="BM20" s="854">
        <f t="shared" si="29"/>
        <v>772401001</v>
      </c>
      <c r="BN20" s="777">
        <v>0</v>
      </c>
    </row>
    <row r="21" spans="1:66" ht="28.8" hidden="1">
      <c r="A21" s="812"/>
      <c r="B21" s="812"/>
      <c r="C21" s="812"/>
      <c r="D21" s="812"/>
      <c r="E21" s="826" t="str">
        <f t="shared" si="5"/>
        <v>11-27ХХ-МПКПМКИ-12.21</v>
      </c>
      <c r="F21" s="826" t="str">
        <f t="shared" si="6"/>
        <v xml:space="preserve"> </v>
      </c>
      <c r="G21" s="826" t="str">
        <f t="shared" si="7"/>
        <v xml:space="preserve">Многофункциональный спортивный центр </v>
      </c>
      <c r="H21" s="826" t="str">
        <f t="shared" si="8"/>
        <v>Тверь</v>
      </c>
      <c r="I21" s="826" t="str">
        <f t="shared" si="9"/>
        <v>ЦФО</v>
      </c>
      <c r="J21" s="826" t="str">
        <f t="shared" si="10"/>
        <v>Нулевой цикл</v>
      </c>
      <c r="K21" s="830" t="str">
        <f t="shared" si="11"/>
        <v>Новый расчет</v>
      </c>
      <c r="L21" s="826">
        <f t="shared" si="12"/>
        <v>1</v>
      </c>
      <c r="M21" s="826">
        <f t="shared" si="13"/>
        <v>1</v>
      </c>
      <c r="N21" s="826">
        <f>COUNTIF(ОБЩИЕ_ДАННЫЕ!$J$133:$J$142,"&gt;0")</f>
        <v>0</v>
      </c>
      <c r="O21" s="826">
        <v>10</v>
      </c>
      <c r="P21" s="826">
        <f>ОБЩИЕ_ДАННЫЕ!J142</f>
        <v>0</v>
      </c>
      <c r="Q21" s="880">
        <f>ОБЩИЕ_ДАННЫЕ!K142</f>
        <v>0</v>
      </c>
      <c r="R21" s="826" t="str">
        <f>IF(Q21=0,"Схемы Ветровых Зон",Прайс!F140)</f>
        <v>Схемы Ветровых Зон</v>
      </c>
      <c r="S21" s="777">
        <v>0</v>
      </c>
      <c r="T21" s="777">
        <v>0</v>
      </c>
      <c r="U21" s="777">
        <v>0</v>
      </c>
      <c r="V21" s="529">
        <f>IF(AND(ОБЩИЕ_ДАННЫЕ!K142&gt;0,ОБЩИЕ_ДАННЫЕ!M142&gt;0),ОБЩИЕ_ДАННЫЕ!L142*0.25,0)</f>
        <v>0</v>
      </c>
      <c r="W21" s="529">
        <f>IF(AND(ОБЩИЕ_ДАННЫЕ!K142&gt;0,ОБЩИЕ_ДАННЫЕ!N142&gt;0),ОБЩИЕ_ДАННЫЕ!L142*0.25,0)</f>
        <v>0</v>
      </c>
      <c r="X21" s="777">
        <v>0</v>
      </c>
      <c r="Y21" s="777">
        <v>0</v>
      </c>
      <c r="Z21" s="777">
        <v>0</v>
      </c>
      <c r="AA21" s="777">
        <v>0</v>
      </c>
      <c r="AB21" s="530">
        <f>SUM(S21:AA21)</f>
        <v>0</v>
      </c>
      <c r="AC21" s="828" t="str">
        <f t="shared" si="14"/>
        <v>13.12.2021</v>
      </c>
      <c r="AD21" s="828">
        <f t="shared" si="15"/>
        <v>44543</v>
      </c>
      <c r="AE21" s="826">
        <f t="shared" si="2"/>
        <v>0</v>
      </c>
      <c r="AF21" s="826" t="str">
        <f t="shared" si="16"/>
        <v>Торговый партнер</v>
      </c>
      <c r="AG21" s="531" t="str">
        <f t="shared" si="17"/>
        <v>ЦФО</v>
      </c>
      <c r="AH21" s="531">
        <f t="shared" si="18"/>
        <v>0</v>
      </c>
      <c r="AI21" s="826">
        <f t="shared" si="19"/>
        <v>0</v>
      </c>
      <c r="AJ21" s="826" t="str">
        <f t="shared" si="20"/>
        <v>менеджер</v>
      </c>
      <c r="AK21" s="826">
        <f t="shared" si="21"/>
        <v>0</v>
      </c>
      <c r="AL21" s="531">
        <f>AM21</f>
        <v>0</v>
      </c>
      <c r="AM21" s="826">
        <f t="shared" si="1"/>
        <v>0</v>
      </c>
      <c r="AN21" s="532">
        <f>AM21</f>
        <v>0</v>
      </c>
      <c r="AO21" s="533">
        <f>AN21/0.87</f>
        <v>0</v>
      </c>
      <c r="AP21" s="829" t="str">
        <f t="shared" si="22"/>
        <v>-</v>
      </c>
      <c r="AQ21" s="777">
        <v>0</v>
      </c>
      <c r="AR21" s="777">
        <v>0</v>
      </c>
      <c r="AS21" s="777">
        <v>0</v>
      </c>
      <c r="AT21" s="826" t="str">
        <f t="shared" si="23"/>
        <v>1555ХХ</v>
      </c>
      <c r="AU21" s="444">
        <f t="shared" si="24"/>
        <v>0</v>
      </c>
      <c r="AV21" s="777">
        <v>0</v>
      </c>
      <c r="AW21" s="777"/>
      <c r="AX21" s="770">
        <f t="shared" si="25"/>
        <v>0</v>
      </c>
      <c r="AY21" s="777">
        <v>0</v>
      </c>
      <c r="AZ21" s="777">
        <v>0</v>
      </c>
      <c r="BA21" s="777">
        <v>0</v>
      </c>
      <c r="BB21" s="777">
        <v>0</v>
      </c>
      <c r="BC21" s="777">
        <v>0</v>
      </c>
      <c r="BD21" s="777">
        <v>0</v>
      </c>
      <c r="BE21" s="777">
        <v>0</v>
      </c>
      <c r="BF21" s="777">
        <v>0</v>
      </c>
      <c r="BG21" s="777">
        <v>0</v>
      </c>
      <c r="BH21" s="777">
        <v>0</v>
      </c>
      <c r="BI21" s="826" t="str">
        <f t="shared" si="26"/>
        <v xml:space="preserve"> </v>
      </c>
      <c r="BJ21" s="826" t="str">
        <f t="shared" si="27"/>
        <v>Для кого</v>
      </c>
      <c r="BK21" s="873">
        <f>ОБЩИЕ_ДАННЫЕ!$C$207</f>
        <v>0</v>
      </c>
      <c r="BL21" s="854">
        <f t="shared" si="28"/>
        <v>7710959468</v>
      </c>
      <c r="BM21" s="854">
        <f t="shared" si="29"/>
        <v>772401001</v>
      </c>
      <c r="BN21" s="777">
        <v>0</v>
      </c>
    </row>
    <row r="22" spans="1:66" ht="28.8" hidden="1">
      <c r="A22" s="812"/>
      <c r="B22" s="812"/>
      <c r="C22" s="812"/>
      <c r="D22" s="812"/>
      <c r="E22" s="826" t="str">
        <f t="shared" si="5"/>
        <v>11-27ХХ-МПКПМКИ-12.21</v>
      </c>
      <c r="F22" s="826" t="str">
        <f t="shared" si="6"/>
        <v xml:space="preserve"> </v>
      </c>
      <c r="G22" s="826" t="str">
        <f t="shared" si="7"/>
        <v xml:space="preserve">Многофункциональный спортивный центр </v>
      </c>
      <c r="H22" s="826" t="str">
        <f t="shared" si="8"/>
        <v>Тверь</v>
      </c>
      <c r="I22" s="826" t="str">
        <f t="shared" si="9"/>
        <v>ЦФО</v>
      </c>
      <c r="J22" s="826" t="str">
        <f t="shared" si="10"/>
        <v>Нулевой цикл</v>
      </c>
      <c r="K22" s="830" t="str">
        <f t="shared" si="11"/>
        <v>Новый расчет</v>
      </c>
      <c r="L22" s="826">
        <f t="shared" si="12"/>
        <v>1</v>
      </c>
      <c r="M22" s="826">
        <f t="shared" si="13"/>
        <v>1</v>
      </c>
      <c r="N22" s="826">
        <f>COUNTIF(ОБЩИЕ_ДАННЫЕ!$J$149:$J$158,"&gt;0")</f>
        <v>0</v>
      </c>
      <c r="O22" s="826">
        <v>1</v>
      </c>
      <c r="P22" s="826">
        <f>ОБЩИЕ_ДАННЫЕ!J149</f>
        <v>0</v>
      </c>
      <c r="Q22" s="880">
        <f>ОБЩИЕ_ДАННЫЕ!K149</f>
        <v>0</v>
      </c>
      <c r="R22" s="826" t="str">
        <f>IF(Q22=0,"Раскладка ГИ",Прайс!F141)</f>
        <v>Раскладка ГИ</v>
      </c>
      <c r="S22" s="777">
        <v>0</v>
      </c>
      <c r="T22" s="777">
        <v>0</v>
      </c>
      <c r="U22" s="777">
        <v>0</v>
      </c>
      <c r="V22" s="529">
        <f>IF(AND(ОБЩИЕ_ДАННЫЕ!K149&gt;0,ОБЩИЕ_ДАННЫЕ!M149&gt;0),ОБЩИЕ_ДАННЫЕ!L149*0.25,0)</f>
        <v>0</v>
      </c>
      <c r="W22" s="529">
        <f>IF(AND(ОБЩИЕ_ДАННЫЕ!K149&gt;0,ОБЩИЕ_ДАННЫЕ!N149&gt;0),ОБЩИЕ_ДАННЫЕ!L149*0.25,0)</f>
        <v>0</v>
      </c>
      <c r="X22" s="777">
        <v>0</v>
      </c>
      <c r="Y22" s="777">
        <v>0</v>
      </c>
      <c r="Z22" s="777">
        <v>0</v>
      </c>
      <c r="AA22" s="777">
        <v>0</v>
      </c>
      <c r="AB22" s="530">
        <f>SUM(S22:AA22)</f>
        <v>0</v>
      </c>
      <c r="AC22" s="828" t="str">
        <f t="shared" si="14"/>
        <v>13.12.2021</v>
      </c>
      <c r="AD22" s="828">
        <f t="shared" si="15"/>
        <v>44543</v>
      </c>
      <c r="AE22" s="826">
        <f t="shared" si="2"/>
        <v>0</v>
      </c>
      <c r="AF22" s="826" t="str">
        <f t="shared" si="16"/>
        <v>Торговый партнер</v>
      </c>
      <c r="AG22" s="531" t="str">
        <f t="shared" si="17"/>
        <v>ЦФО</v>
      </c>
      <c r="AH22" s="531">
        <f t="shared" si="18"/>
        <v>0</v>
      </c>
      <c r="AI22" s="826">
        <f t="shared" si="19"/>
        <v>0</v>
      </c>
      <c r="AJ22" s="826" t="str">
        <f t="shared" si="20"/>
        <v>менеджер</v>
      </c>
      <c r="AK22" s="826">
        <f t="shared" si="21"/>
        <v>0</v>
      </c>
      <c r="AL22" s="531">
        <f>AM22</f>
        <v>0</v>
      </c>
      <c r="AM22" s="826">
        <f t="shared" si="1"/>
        <v>0</v>
      </c>
      <c r="AN22" s="532">
        <f>AM22</f>
        <v>0</v>
      </c>
      <c r="AO22" s="533">
        <f>AN22/0.87</f>
        <v>0</v>
      </c>
      <c r="AP22" s="829" t="str">
        <f t="shared" si="22"/>
        <v>-</v>
      </c>
      <c r="AQ22" s="777">
        <v>0</v>
      </c>
      <c r="AR22" s="777">
        <v>0</v>
      </c>
      <c r="AS22" s="777">
        <v>0</v>
      </c>
      <c r="AT22" s="826" t="str">
        <f t="shared" si="23"/>
        <v>1555ХХ</v>
      </c>
      <c r="AU22" s="444">
        <f t="shared" si="24"/>
        <v>0</v>
      </c>
      <c r="AV22" s="777">
        <v>0</v>
      </c>
      <c r="AW22" s="777"/>
      <c r="AX22" s="770">
        <f t="shared" si="25"/>
        <v>0</v>
      </c>
      <c r="AY22" s="777">
        <v>0</v>
      </c>
      <c r="AZ22" s="777">
        <v>0</v>
      </c>
      <c r="BA22" s="777">
        <v>0</v>
      </c>
      <c r="BB22" s="777">
        <v>0</v>
      </c>
      <c r="BC22" s="777">
        <v>0</v>
      </c>
      <c r="BD22" s="777">
        <v>0</v>
      </c>
      <c r="BE22" s="777">
        <v>0</v>
      </c>
      <c r="BF22" s="777">
        <v>0</v>
      </c>
      <c r="BG22" s="777">
        <v>0</v>
      </c>
      <c r="BH22" s="777">
        <v>0</v>
      </c>
      <c r="BI22" s="826" t="str">
        <f t="shared" si="26"/>
        <v xml:space="preserve"> </v>
      </c>
      <c r="BJ22" s="826" t="str">
        <f t="shared" si="27"/>
        <v>Для кого</v>
      </c>
      <c r="BK22" s="873">
        <f>ОБЩИЕ_ДАННЫЕ!$C$207</f>
        <v>0</v>
      </c>
      <c r="BL22" s="854">
        <f t="shared" si="28"/>
        <v>7710959468</v>
      </c>
      <c r="BM22" s="854">
        <f t="shared" si="29"/>
        <v>772401001</v>
      </c>
      <c r="BN22" s="777">
        <v>0</v>
      </c>
    </row>
    <row r="23" spans="1:66" ht="28.8" hidden="1">
      <c r="A23" s="812"/>
      <c r="B23" s="812"/>
      <c r="C23" s="812"/>
      <c r="D23" s="812"/>
      <c r="E23" s="826" t="str">
        <f t="shared" si="5"/>
        <v>11-27ХХ-МПКПМКИ-12.21</v>
      </c>
      <c r="F23" s="826" t="str">
        <f t="shared" si="6"/>
        <v xml:space="preserve"> </v>
      </c>
      <c r="G23" s="826" t="str">
        <f t="shared" si="7"/>
        <v xml:space="preserve">Многофункциональный спортивный центр </v>
      </c>
      <c r="H23" s="826" t="str">
        <f t="shared" si="8"/>
        <v>Тверь</v>
      </c>
      <c r="I23" s="826" t="str">
        <f t="shared" si="9"/>
        <v>ЦФО</v>
      </c>
      <c r="J23" s="826" t="str">
        <f t="shared" si="10"/>
        <v>Нулевой цикл</v>
      </c>
      <c r="K23" s="830" t="str">
        <f t="shared" si="11"/>
        <v>Новый расчет</v>
      </c>
      <c r="L23" s="826">
        <f t="shared" si="12"/>
        <v>1</v>
      </c>
      <c r="M23" s="826">
        <f t="shared" si="13"/>
        <v>1</v>
      </c>
      <c r="N23" s="826">
        <f>COUNTIF(ОБЩИЕ_ДАННЫЕ!$J$149:$J$158,"&gt;0")</f>
        <v>0</v>
      </c>
      <c r="O23" s="826">
        <v>2</v>
      </c>
      <c r="P23" s="826">
        <f>ОБЩИЕ_ДАННЫЕ!J150</f>
        <v>0</v>
      </c>
      <c r="Q23" s="880">
        <f>ОБЩИЕ_ДАННЫЕ!K150</f>
        <v>0</v>
      </c>
      <c r="R23" s="826" t="str">
        <f>IF(Q23=0,"Раскладка ГИ",Прайс!F141)</f>
        <v>Раскладка ГИ</v>
      </c>
      <c r="S23" s="777">
        <v>0</v>
      </c>
      <c r="T23" s="777">
        <v>0</v>
      </c>
      <c r="U23" s="777">
        <v>0</v>
      </c>
      <c r="V23" s="529">
        <f>IF(AND(ОБЩИЕ_ДАННЫЕ!K150&gt;0,ОБЩИЕ_ДАННЫЕ!M150&gt;0),ОБЩИЕ_ДАННЫЕ!L150*0.25,0)</f>
        <v>0</v>
      </c>
      <c r="W23" s="529">
        <f>IF(AND(ОБЩИЕ_ДАННЫЕ!K150&gt;0,ОБЩИЕ_ДАННЫЕ!N150&gt;0),ОБЩИЕ_ДАННЫЕ!L150*0.25,0)</f>
        <v>0</v>
      </c>
      <c r="X23" s="777">
        <v>0</v>
      </c>
      <c r="Y23" s="777">
        <v>0</v>
      </c>
      <c r="Z23" s="777">
        <v>0</v>
      </c>
      <c r="AA23" s="777">
        <v>0</v>
      </c>
      <c r="AB23" s="530">
        <f t="shared" ref="AB23:AB30" si="38">SUM(S23:AA23)</f>
        <v>0</v>
      </c>
      <c r="AC23" s="828" t="str">
        <f t="shared" si="14"/>
        <v>13.12.2021</v>
      </c>
      <c r="AD23" s="828">
        <f t="shared" si="15"/>
        <v>44543</v>
      </c>
      <c r="AE23" s="826">
        <f t="shared" si="2"/>
        <v>0</v>
      </c>
      <c r="AF23" s="826" t="str">
        <f t="shared" si="16"/>
        <v>Торговый партнер</v>
      </c>
      <c r="AG23" s="531" t="str">
        <f t="shared" si="17"/>
        <v>ЦФО</v>
      </c>
      <c r="AH23" s="531">
        <f t="shared" si="18"/>
        <v>0</v>
      </c>
      <c r="AI23" s="826">
        <f t="shared" si="19"/>
        <v>0</v>
      </c>
      <c r="AJ23" s="826" t="str">
        <f t="shared" si="20"/>
        <v>менеджер</v>
      </c>
      <c r="AK23" s="826">
        <f t="shared" si="21"/>
        <v>0</v>
      </c>
      <c r="AL23" s="531">
        <f t="shared" ref="AL23:AL30" si="39">AM23</f>
        <v>0</v>
      </c>
      <c r="AM23" s="826">
        <f t="shared" si="1"/>
        <v>0</v>
      </c>
      <c r="AN23" s="532">
        <f t="shared" ref="AN23:AN30" si="40">AM23</f>
        <v>0</v>
      </c>
      <c r="AO23" s="533">
        <f t="shared" ref="AO23:AO30" si="41">AN23/0.87</f>
        <v>0</v>
      </c>
      <c r="AP23" s="829" t="str">
        <f t="shared" si="22"/>
        <v>-</v>
      </c>
      <c r="AQ23" s="777">
        <v>0</v>
      </c>
      <c r="AR23" s="777">
        <v>0</v>
      </c>
      <c r="AS23" s="777">
        <v>0</v>
      </c>
      <c r="AT23" s="826" t="str">
        <f t="shared" si="23"/>
        <v>1555ХХ</v>
      </c>
      <c r="AU23" s="444">
        <f t="shared" si="24"/>
        <v>0</v>
      </c>
      <c r="AV23" s="777">
        <v>0</v>
      </c>
      <c r="AW23" s="777"/>
      <c r="AX23" s="770">
        <f t="shared" si="25"/>
        <v>0</v>
      </c>
      <c r="AY23" s="777">
        <v>0</v>
      </c>
      <c r="AZ23" s="777">
        <v>0</v>
      </c>
      <c r="BA23" s="777">
        <v>0</v>
      </c>
      <c r="BB23" s="777">
        <v>0</v>
      </c>
      <c r="BC23" s="777">
        <v>0</v>
      </c>
      <c r="BD23" s="777">
        <v>0</v>
      </c>
      <c r="BE23" s="777">
        <v>0</v>
      </c>
      <c r="BF23" s="777">
        <v>0</v>
      </c>
      <c r="BG23" s="777">
        <v>0</v>
      </c>
      <c r="BH23" s="777">
        <v>0</v>
      </c>
      <c r="BI23" s="826" t="str">
        <f t="shared" si="26"/>
        <v xml:space="preserve"> </v>
      </c>
      <c r="BJ23" s="826" t="str">
        <f t="shared" si="27"/>
        <v>Для кого</v>
      </c>
      <c r="BK23" s="873">
        <f>ОБЩИЕ_ДАННЫЕ!$C$207</f>
        <v>0</v>
      </c>
      <c r="BL23" s="854">
        <f t="shared" si="28"/>
        <v>7710959468</v>
      </c>
      <c r="BM23" s="854">
        <f t="shared" si="29"/>
        <v>772401001</v>
      </c>
      <c r="BN23" s="777">
        <v>0</v>
      </c>
    </row>
    <row r="24" spans="1:66" ht="28.8" hidden="1">
      <c r="A24" s="812"/>
      <c r="B24" s="812"/>
      <c r="C24" s="812"/>
      <c r="D24" s="812"/>
      <c r="E24" s="826" t="str">
        <f t="shared" si="5"/>
        <v>11-27ХХ-МПКПМКИ-12.21</v>
      </c>
      <c r="F24" s="826" t="str">
        <f t="shared" si="6"/>
        <v xml:space="preserve"> </v>
      </c>
      <c r="G24" s="826" t="str">
        <f t="shared" si="7"/>
        <v xml:space="preserve">Многофункциональный спортивный центр </v>
      </c>
      <c r="H24" s="826" t="str">
        <f t="shared" si="8"/>
        <v>Тверь</v>
      </c>
      <c r="I24" s="826" t="str">
        <f t="shared" si="9"/>
        <v>ЦФО</v>
      </c>
      <c r="J24" s="826" t="str">
        <f t="shared" si="10"/>
        <v>Нулевой цикл</v>
      </c>
      <c r="K24" s="830" t="str">
        <f t="shared" si="11"/>
        <v>Новый расчет</v>
      </c>
      <c r="L24" s="826">
        <f t="shared" si="12"/>
        <v>1</v>
      </c>
      <c r="M24" s="826">
        <f t="shared" si="13"/>
        <v>1</v>
      </c>
      <c r="N24" s="826">
        <f>COUNTIF(ОБЩИЕ_ДАННЫЕ!$J$149:$J$158,"&gt;0")</f>
        <v>0</v>
      </c>
      <c r="O24" s="826">
        <v>3</v>
      </c>
      <c r="P24" s="826">
        <f>ОБЩИЕ_ДАННЫЕ!J151</f>
        <v>0</v>
      </c>
      <c r="Q24" s="880">
        <f>ОБЩИЕ_ДАННЫЕ!K151</f>
        <v>0</v>
      </c>
      <c r="R24" s="826" t="str">
        <f>IF(Q24=0,"Раскладка ГИ",Прайс!F141)</f>
        <v>Раскладка ГИ</v>
      </c>
      <c r="S24" s="777">
        <v>0</v>
      </c>
      <c r="T24" s="777">
        <v>0</v>
      </c>
      <c r="U24" s="777">
        <v>0</v>
      </c>
      <c r="V24" s="529">
        <f>IF(AND(ОБЩИЕ_ДАННЫЕ!K151&gt;0,ОБЩИЕ_ДАННЫЕ!M151&gt;0),ОБЩИЕ_ДАННЫЕ!L151*0.25,0)</f>
        <v>0</v>
      </c>
      <c r="W24" s="529">
        <f>IF(AND(ОБЩИЕ_ДАННЫЕ!K151&gt;0,ОБЩИЕ_ДАННЫЕ!N151&gt;0),ОБЩИЕ_ДАННЫЕ!L151*0.25,0)</f>
        <v>0</v>
      </c>
      <c r="X24" s="777">
        <v>0</v>
      </c>
      <c r="Y24" s="777">
        <v>0</v>
      </c>
      <c r="Z24" s="777">
        <v>0</v>
      </c>
      <c r="AA24" s="777">
        <v>0</v>
      </c>
      <c r="AB24" s="530">
        <f t="shared" si="38"/>
        <v>0</v>
      </c>
      <c r="AC24" s="828" t="str">
        <f t="shared" si="14"/>
        <v>13.12.2021</v>
      </c>
      <c r="AD24" s="828">
        <f t="shared" si="15"/>
        <v>44543</v>
      </c>
      <c r="AE24" s="826">
        <f t="shared" si="2"/>
        <v>0</v>
      </c>
      <c r="AF24" s="826" t="str">
        <f t="shared" si="16"/>
        <v>Торговый партнер</v>
      </c>
      <c r="AG24" s="531" t="str">
        <f t="shared" si="17"/>
        <v>ЦФО</v>
      </c>
      <c r="AH24" s="531">
        <f t="shared" si="18"/>
        <v>0</v>
      </c>
      <c r="AI24" s="826">
        <f t="shared" si="19"/>
        <v>0</v>
      </c>
      <c r="AJ24" s="826" t="str">
        <f t="shared" si="20"/>
        <v>менеджер</v>
      </c>
      <c r="AK24" s="826">
        <f t="shared" si="21"/>
        <v>0</v>
      </c>
      <c r="AL24" s="531">
        <f t="shared" si="39"/>
        <v>0</v>
      </c>
      <c r="AM24" s="826">
        <f t="shared" si="1"/>
        <v>0</v>
      </c>
      <c r="AN24" s="532">
        <f t="shared" si="40"/>
        <v>0</v>
      </c>
      <c r="AO24" s="533">
        <f t="shared" si="41"/>
        <v>0</v>
      </c>
      <c r="AP24" s="829" t="str">
        <f t="shared" si="22"/>
        <v>-</v>
      </c>
      <c r="AQ24" s="777">
        <v>0</v>
      </c>
      <c r="AR24" s="777">
        <v>0</v>
      </c>
      <c r="AS24" s="777">
        <v>0</v>
      </c>
      <c r="AT24" s="826" t="str">
        <f t="shared" si="23"/>
        <v>1555ХХ</v>
      </c>
      <c r="AU24" s="444">
        <f t="shared" si="24"/>
        <v>0</v>
      </c>
      <c r="AV24" s="777">
        <v>0</v>
      </c>
      <c r="AW24" s="777"/>
      <c r="AX24" s="770">
        <f t="shared" si="25"/>
        <v>0</v>
      </c>
      <c r="AY24" s="777">
        <v>0</v>
      </c>
      <c r="AZ24" s="777">
        <v>0</v>
      </c>
      <c r="BA24" s="777">
        <v>0</v>
      </c>
      <c r="BB24" s="777">
        <v>0</v>
      </c>
      <c r="BC24" s="777">
        <v>0</v>
      </c>
      <c r="BD24" s="777">
        <v>0</v>
      </c>
      <c r="BE24" s="777">
        <v>0</v>
      </c>
      <c r="BF24" s="777">
        <v>0</v>
      </c>
      <c r="BG24" s="777">
        <v>0</v>
      </c>
      <c r="BH24" s="777">
        <v>0</v>
      </c>
      <c r="BI24" s="826" t="str">
        <f t="shared" si="26"/>
        <v xml:space="preserve"> </v>
      </c>
      <c r="BJ24" s="826" t="str">
        <f t="shared" si="27"/>
        <v>Для кого</v>
      </c>
      <c r="BK24" s="873">
        <f>ОБЩИЕ_ДАННЫЕ!$C$207</f>
        <v>0</v>
      </c>
      <c r="BL24" s="854">
        <f t="shared" si="28"/>
        <v>7710959468</v>
      </c>
      <c r="BM24" s="854">
        <f t="shared" si="29"/>
        <v>772401001</v>
      </c>
      <c r="BN24" s="777">
        <v>0</v>
      </c>
    </row>
    <row r="25" spans="1:66" ht="28.8" hidden="1">
      <c r="A25" s="812"/>
      <c r="B25" s="812"/>
      <c r="C25" s="812"/>
      <c r="D25" s="812"/>
      <c r="E25" s="826" t="str">
        <f t="shared" si="5"/>
        <v>11-27ХХ-МПКПМКИ-12.21</v>
      </c>
      <c r="F25" s="826" t="str">
        <f t="shared" si="6"/>
        <v xml:space="preserve"> </v>
      </c>
      <c r="G25" s="826" t="str">
        <f t="shared" si="7"/>
        <v xml:space="preserve">Многофункциональный спортивный центр </v>
      </c>
      <c r="H25" s="826" t="str">
        <f t="shared" si="8"/>
        <v>Тверь</v>
      </c>
      <c r="I25" s="826" t="str">
        <f t="shared" si="9"/>
        <v>ЦФО</v>
      </c>
      <c r="J25" s="826" t="str">
        <f t="shared" si="10"/>
        <v>Нулевой цикл</v>
      </c>
      <c r="K25" s="830" t="str">
        <f t="shared" si="11"/>
        <v>Новый расчет</v>
      </c>
      <c r="L25" s="826">
        <f t="shared" si="12"/>
        <v>1</v>
      </c>
      <c r="M25" s="826">
        <f t="shared" si="13"/>
        <v>1</v>
      </c>
      <c r="N25" s="826">
        <f>COUNTIF(ОБЩИЕ_ДАННЫЕ!$J$149:$J$158,"&gt;0")</f>
        <v>0</v>
      </c>
      <c r="O25" s="826">
        <v>4</v>
      </c>
      <c r="P25" s="826">
        <f>ОБЩИЕ_ДАННЫЕ!J152</f>
        <v>0</v>
      </c>
      <c r="Q25" s="880">
        <f>ОБЩИЕ_ДАННЫЕ!K152</f>
        <v>0</v>
      </c>
      <c r="R25" s="826" t="str">
        <f>IF(Q25=0,"Раскладка ГИ",Прайс!F141)</f>
        <v>Раскладка ГИ</v>
      </c>
      <c r="S25" s="777">
        <v>0</v>
      </c>
      <c r="T25" s="777">
        <v>0</v>
      </c>
      <c r="U25" s="777">
        <v>0</v>
      </c>
      <c r="V25" s="529">
        <f>IF(AND(ОБЩИЕ_ДАННЫЕ!K152&gt;0,ОБЩИЕ_ДАННЫЕ!M152&gt;0),ОБЩИЕ_ДАННЫЕ!L152*0.25,0)</f>
        <v>0</v>
      </c>
      <c r="W25" s="529">
        <f>IF(AND(ОБЩИЕ_ДАННЫЕ!K152&gt;0,ОБЩИЕ_ДАННЫЕ!N152&gt;0),ОБЩИЕ_ДАННЫЕ!L152*0.25,0)</f>
        <v>0</v>
      </c>
      <c r="X25" s="777">
        <v>0</v>
      </c>
      <c r="Y25" s="777">
        <v>0</v>
      </c>
      <c r="Z25" s="777">
        <v>0</v>
      </c>
      <c r="AA25" s="777">
        <v>0</v>
      </c>
      <c r="AB25" s="530">
        <f t="shared" si="38"/>
        <v>0</v>
      </c>
      <c r="AC25" s="828" t="str">
        <f t="shared" si="14"/>
        <v>13.12.2021</v>
      </c>
      <c r="AD25" s="828">
        <f t="shared" si="15"/>
        <v>44543</v>
      </c>
      <c r="AE25" s="826">
        <f t="shared" si="2"/>
        <v>0</v>
      </c>
      <c r="AF25" s="826" t="str">
        <f t="shared" si="16"/>
        <v>Торговый партнер</v>
      </c>
      <c r="AG25" s="531" t="str">
        <f t="shared" si="17"/>
        <v>ЦФО</v>
      </c>
      <c r="AH25" s="531">
        <f t="shared" si="18"/>
        <v>0</v>
      </c>
      <c r="AI25" s="826">
        <f t="shared" si="19"/>
        <v>0</v>
      </c>
      <c r="AJ25" s="826" t="str">
        <f t="shared" si="20"/>
        <v>менеджер</v>
      </c>
      <c r="AK25" s="826">
        <f t="shared" si="21"/>
        <v>0</v>
      </c>
      <c r="AL25" s="531">
        <f t="shared" si="39"/>
        <v>0</v>
      </c>
      <c r="AM25" s="826">
        <f t="shared" si="1"/>
        <v>0</v>
      </c>
      <c r="AN25" s="532">
        <f t="shared" si="40"/>
        <v>0</v>
      </c>
      <c r="AO25" s="533">
        <f t="shared" si="41"/>
        <v>0</v>
      </c>
      <c r="AP25" s="829" t="str">
        <f t="shared" si="22"/>
        <v>-</v>
      </c>
      <c r="AQ25" s="777">
        <v>0</v>
      </c>
      <c r="AR25" s="777">
        <v>0</v>
      </c>
      <c r="AS25" s="777">
        <v>0</v>
      </c>
      <c r="AT25" s="826" t="str">
        <f t="shared" si="23"/>
        <v>1555ХХ</v>
      </c>
      <c r="AU25" s="444">
        <f t="shared" si="24"/>
        <v>0</v>
      </c>
      <c r="AV25" s="777">
        <v>0</v>
      </c>
      <c r="AW25" s="777"/>
      <c r="AX25" s="770">
        <f t="shared" si="25"/>
        <v>0</v>
      </c>
      <c r="AY25" s="777">
        <v>0</v>
      </c>
      <c r="AZ25" s="777">
        <v>0</v>
      </c>
      <c r="BA25" s="777">
        <v>0</v>
      </c>
      <c r="BB25" s="777">
        <v>0</v>
      </c>
      <c r="BC25" s="777">
        <v>0</v>
      </c>
      <c r="BD25" s="777">
        <v>0</v>
      </c>
      <c r="BE25" s="777">
        <v>0</v>
      </c>
      <c r="BF25" s="777">
        <v>0</v>
      </c>
      <c r="BG25" s="777">
        <v>0</v>
      </c>
      <c r="BH25" s="777">
        <v>0</v>
      </c>
      <c r="BI25" s="826" t="str">
        <f t="shared" si="26"/>
        <v xml:space="preserve"> </v>
      </c>
      <c r="BJ25" s="826" t="str">
        <f t="shared" si="27"/>
        <v>Для кого</v>
      </c>
      <c r="BK25" s="873">
        <f>ОБЩИЕ_ДАННЫЕ!$C$207</f>
        <v>0</v>
      </c>
      <c r="BL25" s="854">
        <f t="shared" si="28"/>
        <v>7710959468</v>
      </c>
      <c r="BM25" s="854">
        <f t="shared" si="29"/>
        <v>772401001</v>
      </c>
      <c r="BN25" s="777">
        <v>0</v>
      </c>
    </row>
    <row r="26" spans="1:66" ht="28.8" hidden="1">
      <c r="A26" s="812"/>
      <c r="B26" s="812"/>
      <c r="C26" s="812"/>
      <c r="D26" s="812"/>
      <c r="E26" s="826" t="str">
        <f t="shared" si="5"/>
        <v>11-27ХХ-МПКПМКИ-12.21</v>
      </c>
      <c r="F26" s="826" t="str">
        <f t="shared" si="6"/>
        <v xml:space="preserve"> </v>
      </c>
      <c r="G26" s="826" t="str">
        <f t="shared" si="7"/>
        <v xml:space="preserve">Многофункциональный спортивный центр </v>
      </c>
      <c r="H26" s="826" t="str">
        <f t="shared" si="8"/>
        <v>Тверь</v>
      </c>
      <c r="I26" s="826" t="str">
        <f t="shared" si="9"/>
        <v>ЦФО</v>
      </c>
      <c r="J26" s="826" t="str">
        <f t="shared" si="10"/>
        <v>Нулевой цикл</v>
      </c>
      <c r="K26" s="830" t="str">
        <f t="shared" si="11"/>
        <v>Новый расчет</v>
      </c>
      <c r="L26" s="826">
        <f t="shared" si="12"/>
        <v>1</v>
      </c>
      <c r="M26" s="826">
        <f t="shared" si="13"/>
        <v>1</v>
      </c>
      <c r="N26" s="826">
        <f>COUNTIF(ОБЩИЕ_ДАННЫЕ!$J$149:$J$158,"&gt;0")</f>
        <v>0</v>
      </c>
      <c r="O26" s="826">
        <v>5</v>
      </c>
      <c r="P26" s="826">
        <f>ОБЩИЕ_ДАННЫЕ!J153</f>
        <v>0</v>
      </c>
      <c r="Q26" s="880">
        <f>ОБЩИЕ_ДАННЫЕ!K153</f>
        <v>0</v>
      </c>
      <c r="R26" s="826" t="str">
        <f>IF(Q26=0,"Раскладка ГИ",Прайс!F141)</f>
        <v>Раскладка ГИ</v>
      </c>
      <c r="S26" s="777">
        <v>0</v>
      </c>
      <c r="T26" s="777">
        <v>0</v>
      </c>
      <c r="U26" s="777">
        <v>0</v>
      </c>
      <c r="V26" s="529">
        <f>IF(AND(ОБЩИЕ_ДАННЫЕ!K153&gt;0,ОБЩИЕ_ДАННЫЕ!M153&gt;0),ОБЩИЕ_ДАННЫЕ!L153*0.25,0)</f>
        <v>0</v>
      </c>
      <c r="W26" s="529">
        <f>IF(AND(ОБЩИЕ_ДАННЫЕ!K153&gt;0,ОБЩИЕ_ДАННЫЕ!N153&gt;0),ОБЩИЕ_ДАННЫЕ!L153*0.25,0)</f>
        <v>0</v>
      </c>
      <c r="X26" s="777">
        <v>0</v>
      </c>
      <c r="Y26" s="777">
        <v>0</v>
      </c>
      <c r="Z26" s="777">
        <v>0</v>
      </c>
      <c r="AA26" s="777">
        <v>0</v>
      </c>
      <c r="AB26" s="530">
        <f t="shared" si="38"/>
        <v>0</v>
      </c>
      <c r="AC26" s="828" t="str">
        <f t="shared" si="14"/>
        <v>13.12.2021</v>
      </c>
      <c r="AD26" s="828">
        <f t="shared" si="15"/>
        <v>44543</v>
      </c>
      <c r="AE26" s="826">
        <f t="shared" si="2"/>
        <v>0</v>
      </c>
      <c r="AF26" s="826" t="str">
        <f t="shared" si="16"/>
        <v>Торговый партнер</v>
      </c>
      <c r="AG26" s="531" t="str">
        <f t="shared" si="17"/>
        <v>ЦФО</v>
      </c>
      <c r="AH26" s="531">
        <f t="shared" si="18"/>
        <v>0</v>
      </c>
      <c r="AI26" s="826">
        <f t="shared" si="19"/>
        <v>0</v>
      </c>
      <c r="AJ26" s="826" t="str">
        <f t="shared" si="20"/>
        <v>менеджер</v>
      </c>
      <c r="AK26" s="826">
        <f t="shared" si="21"/>
        <v>0</v>
      </c>
      <c r="AL26" s="531">
        <f t="shared" si="39"/>
        <v>0</v>
      </c>
      <c r="AM26" s="826">
        <f t="shared" si="1"/>
        <v>0</v>
      </c>
      <c r="AN26" s="532">
        <f t="shared" si="40"/>
        <v>0</v>
      </c>
      <c r="AO26" s="533">
        <f t="shared" si="41"/>
        <v>0</v>
      </c>
      <c r="AP26" s="829" t="str">
        <f t="shared" si="22"/>
        <v>-</v>
      </c>
      <c r="AQ26" s="777">
        <v>0</v>
      </c>
      <c r="AR26" s="777">
        <v>0</v>
      </c>
      <c r="AS26" s="777">
        <v>0</v>
      </c>
      <c r="AT26" s="826" t="str">
        <f t="shared" si="23"/>
        <v>1555ХХ</v>
      </c>
      <c r="AU26" s="444">
        <f t="shared" si="24"/>
        <v>0</v>
      </c>
      <c r="AV26" s="777">
        <v>0</v>
      </c>
      <c r="AW26" s="777"/>
      <c r="AX26" s="770">
        <f t="shared" si="25"/>
        <v>0</v>
      </c>
      <c r="AY26" s="777">
        <v>0</v>
      </c>
      <c r="AZ26" s="777">
        <v>0</v>
      </c>
      <c r="BA26" s="777">
        <v>0</v>
      </c>
      <c r="BB26" s="777">
        <v>0</v>
      </c>
      <c r="BC26" s="777">
        <v>0</v>
      </c>
      <c r="BD26" s="777">
        <v>0</v>
      </c>
      <c r="BE26" s="777">
        <v>0</v>
      </c>
      <c r="BF26" s="777">
        <v>0</v>
      </c>
      <c r="BG26" s="777">
        <v>0</v>
      </c>
      <c r="BH26" s="777">
        <v>0</v>
      </c>
      <c r="BI26" s="826" t="str">
        <f t="shared" si="26"/>
        <v xml:space="preserve"> </v>
      </c>
      <c r="BJ26" s="826" t="str">
        <f t="shared" si="27"/>
        <v>Для кого</v>
      </c>
      <c r="BK26" s="873">
        <f>ОБЩИЕ_ДАННЫЕ!$C$207</f>
        <v>0</v>
      </c>
      <c r="BL26" s="854">
        <f t="shared" si="28"/>
        <v>7710959468</v>
      </c>
      <c r="BM26" s="854">
        <f t="shared" si="29"/>
        <v>772401001</v>
      </c>
      <c r="BN26" s="777">
        <v>0</v>
      </c>
    </row>
    <row r="27" spans="1:66" ht="28.8" hidden="1">
      <c r="A27" s="812"/>
      <c r="B27" s="812"/>
      <c r="C27" s="812"/>
      <c r="D27" s="812"/>
      <c r="E27" s="826" t="str">
        <f t="shared" si="5"/>
        <v>11-27ХХ-МПКПМКИ-12.21</v>
      </c>
      <c r="F27" s="826" t="str">
        <f t="shared" si="6"/>
        <v xml:space="preserve"> </v>
      </c>
      <c r="G27" s="826" t="str">
        <f t="shared" si="7"/>
        <v xml:space="preserve">Многофункциональный спортивный центр </v>
      </c>
      <c r="H27" s="826" t="str">
        <f t="shared" si="8"/>
        <v>Тверь</v>
      </c>
      <c r="I27" s="826" t="str">
        <f t="shared" si="9"/>
        <v>ЦФО</v>
      </c>
      <c r="J27" s="826" t="str">
        <f t="shared" si="10"/>
        <v>Нулевой цикл</v>
      </c>
      <c r="K27" s="830" t="str">
        <f t="shared" si="11"/>
        <v>Новый расчет</v>
      </c>
      <c r="L27" s="826">
        <f t="shared" si="12"/>
        <v>1</v>
      </c>
      <c r="M27" s="826">
        <f t="shared" si="13"/>
        <v>1</v>
      </c>
      <c r="N27" s="826">
        <f>COUNTIF(ОБЩИЕ_ДАННЫЕ!$J$149:$J$158,"&gt;0")</f>
        <v>0</v>
      </c>
      <c r="O27" s="826">
        <v>6</v>
      </c>
      <c r="P27" s="826">
        <f>ОБЩИЕ_ДАННЫЕ!J154</f>
        <v>0</v>
      </c>
      <c r="Q27" s="880">
        <f>ОБЩИЕ_ДАННЫЕ!K154</f>
        <v>0</v>
      </c>
      <c r="R27" s="826" t="str">
        <f>IF(Q27=0,"Раскладка ГИ",Прайс!F141)</f>
        <v>Раскладка ГИ</v>
      </c>
      <c r="S27" s="777">
        <v>0</v>
      </c>
      <c r="T27" s="777">
        <v>0</v>
      </c>
      <c r="U27" s="777">
        <v>0</v>
      </c>
      <c r="V27" s="529">
        <f>IF(AND(ОБЩИЕ_ДАННЫЕ!K154&gt;0,ОБЩИЕ_ДАННЫЕ!M154&gt;0),ОБЩИЕ_ДАННЫЕ!L154*0.25,0)</f>
        <v>0</v>
      </c>
      <c r="W27" s="529">
        <f>IF(AND(ОБЩИЕ_ДАННЫЕ!K154&gt;0,ОБЩИЕ_ДАННЫЕ!N154&gt;0),ОБЩИЕ_ДАННЫЕ!L154*0.25,0)</f>
        <v>0</v>
      </c>
      <c r="X27" s="777">
        <v>0</v>
      </c>
      <c r="Y27" s="777">
        <v>0</v>
      </c>
      <c r="Z27" s="777">
        <v>0</v>
      </c>
      <c r="AA27" s="777">
        <v>0</v>
      </c>
      <c r="AB27" s="530">
        <f t="shared" si="38"/>
        <v>0</v>
      </c>
      <c r="AC27" s="828" t="str">
        <f t="shared" si="14"/>
        <v>13.12.2021</v>
      </c>
      <c r="AD27" s="828">
        <f t="shared" si="15"/>
        <v>44543</v>
      </c>
      <c r="AE27" s="826">
        <f t="shared" si="2"/>
        <v>0</v>
      </c>
      <c r="AF27" s="826" t="str">
        <f t="shared" si="16"/>
        <v>Торговый партнер</v>
      </c>
      <c r="AG27" s="531" t="str">
        <f t="shared" si="17"/>
        <v>ЦФО</v>
      </c>
      <c r="AH27" s="531">
        <f t="shared" si="18"/>
        <v>0</v>
      </c>
      <c r="AI27" s="826">
        <f t="shared" si="19"/>
        <v>0</v>
      </c>
      <c r="AJ27" s="826" t="str">
        <f t="shared" si="20"/>
        <v>менеджер</v>
      </c>
      <c r="AK27" s="826">
        <f t="shared" si="21"/>
        <v>0</v>
      </c>
      <c r="AL27" s="531">
        <f t="shared" si="39"/>
        <v>0</v>
      </c>
      <c r="AM27" s="826">
        <f t="shared" si="1"/>
        <v>0</v>
      </c>
      <c r="AN27" s="532">
        <f t="shared" si="40"/>
        <v>0</v>
      </c>
      <c r="AO27" s="533">
        <f t="shared" si="41"/>
        <v>0</v>
      </c>
      <c r="AP27" s="829" t="str">
        <f t="shared" si="22"/>
        <v>-</v>
      </c>
      <c r="AQ27" s="777">
        <v>0</v>
      </c>
      <c r="AR27" s="777">
        <v>0</v>
      </c>
      <c r="AS27" s="777">
        <v>0</v>
      </c>
      <c r="AT27" s="826" t="str">
        <f t="shared" si="23"/>
        <v>1555ХХ</v>
      </c>
      <c r="AU27" s="444">
        <f t="shared" si="24"/>
        <v>0</v>
      </c>
      <c r="AV27" s="777">
        <v>0</v>
      </c>
      <c r="AW27" s="777"/>
      <c r="AX27" s="770">
        <f t="shared" si="25"/>
        <v>0</v>
      </c>
      <c r="AY27" s="777">
        <v>0</v>
      </c>
      <c r="AZ27" s="777">
        <v>0</v>
      </c>
      <c r="BA27" s="777">
        <v>0</v>
      </c>
      <c r="BB27" s="777">
        <v>0</v>
      </c>
      <c r="BC27" s="777">
        <v>0</v>
      </c>
      <c r="BD27" s="777">
        <v>0</v>
      </c>
      <c r="BE27" s="777">
        <v>0</v>
      </c>
      <c r="BF27" s="777">
        <v>0</v>
      </c>
      <c r="BG27" s="777">
        <v>0</v>
      </c>
      <c r="BH27" s="777">
        <v>0</v>
      </c>
      <c r="BI27" s="826" t="str">
        <f t="shared" si="26"/>
        <v xml:space="preserve"> </v>
      </c>
      <c r="BJ27" s="826" t="str">
        <f t="shared" si="27"/>
        <v>Для кого</v>
      </c>
      <c r="BK27" s="873">
        <f>ОБЩИЕ_ДАННЫЕ!$C$207</f>
        <v>0</v>
      </c>
      <c r="BL27" s="854">
        <f t="shared" si="28"/>
        <v>7710959468</v>
      </c>
      <c r="BM27" s="854">
        <f t="shared" si="29"/>
        <v>772401001</v>
      </c>
      <c r="BN27" s="777">
        <v>0</v>
      </c>
    </row>
    <row r="28" spans="1:66" ht="28.8" hidden="1">
      <c r="A28" s="812"/>
      <c r="B28" s="812"/>
      <c r="C28" s="812"/>
      <c r="D28" s="812"/>
      <c r="E28" s="826" t="str">
        <f t="shared" si="5"/>
        <v>11-27ХХ-МПКПМКИ-12.21</v>
      </c>
      <c r="F28" s="826" t="str">
        <f t="shared" si="6"/>
        <v xml:space="preserve"> </v>
      </c>
      <c r="G28" s="826" t="str">
        <f t="shared" si="7"/>
        <v xml:space="preserve">Многофункциональный спортивный центр </v>
      </c>
      <c r="H28" s="826" t="str">
        <f t="shared" si="8"/>
        <v>Тверь</v>
      </c>
      <c r="I28" s="826" t="str">
        <f t="shared" si="9"/>
        <v>ЦФО</v>
      </c>
      <c r="J28" s="826" t="str">
        <f t="shared" si="10"/>
        <v>Нулевой цикл</v>
      </c>
      <c r="K28" s="830" t="str">
        <f t="shared" si="11"/>
        <v>Новый расчет</v>
      </c>
      <c r="L28" s="826">
        <f t="shared" si="12"/>
        <v>1</v>
      </c>
      <c r="M28" s="826">
        <f t="shared" si="13"/>
        <v>1</v>
      </c>
      <c r="N28" s="826">
        <f>COUNTIF(ОБЩИЕ_ДАННЫЕ!$J$149:$J$158,"&gt;0")</f>
        <v>0</v>
      </c>
      <c r="O28" s="826">
        <v>7</v>
      </c>
      <c r="P28" s="826">
        <f>ОБЩИЕ_ДАННЫЕ!J155</f>
        <v>0</v>
      </c>
      <c r="Q28" s="880">
        <f>ОБЩИЕ_ДАННЫЕ!K155</f>
        <v>0</v>
      </c>
      <c r="R28" s="826" t="str">
        <f>IF(Q28=0,"Раскладка ГИ",Прайс!F141)</f>
        <v>Раскладка ГИ</v>
      </c>
      <c r="S28" s="777">
        <v>0</v>
      </c>
      <c r="T28" s="777">
        <v>0</v>
      </c>
      <c r="U28" s="777">
        <v>0</v>
      </c>
      <c r="V28" s="529">
        <f>IF(AND(ОБЩИЕ_ДАННЫЕ!K155&gt;0,ОБЩИЕ_ДАННЫЕ!M155&gt;0),ОБЩИЕ_ДАННЫЕ!L155*0.25,0)</f>
        <v>0</v>
      </c>
      <c r="W28" s="529">
        <f>IF(AND(ОБЩИЕ_ДАННЫЕ!K155&gt;0,ОБЩИЕ_ДАННЫЕ!N155&gt;0),ОБЩИЕ_ДАННЫЕ!L155*0.25,0)</f>
        <v>0</v>
      </c>
      <c r="X28" s="777">
        <v>0</v>
      </c>
      <c r="Y28" s="777">
        <v>0</v>
      </c>
      <c r="Z28" s="777">
        <v>0</v>
      </c>
      <c r="AA28" s="777">
        <v>0</v>
      </c>
      <c r="AB28" s="530">
        <f t="shared" si="38"/>
        <v>0</v>
      </c>
      <c r="AC28" s="828" t="str">
        <f t="shared" si="14"/>
        <v>13.12.2021</v>
      </c>
      <c r="AD28" s="828">
        <f t="shared" si="15"/>
        <v>44543</v>
      </c>
      <c r="AE28" s="826">
        <f t="shared" si="2"/>
        <v>0</v>
      </c>
      <c r="AF28" s="826" t="str">
        <f t="shared" si="16"/>
        <v>Торговый партнер</v>
      </c>
      <c r="AG28" s="531" t="str">
        <f t="shared" si="17"/>
        <v>ЦФО</v>
      </c>
      <c r="AH28" s="531">
        <f t="shared" si="18"/>
        <v>0</v>
      </c>
      <c r="AI28" s="826">
        <f t="shared" si="19"/>
        <v>0</v>
      </c>
      <c r="AJ28" s="826" t="str">
        <f t="shared" si="20"/>
        <v>менеджер</v>
      </c>
      <c r="AK28" s="826">
        <f t="shared" si="21"/>
        <v>0</v>
      </c>
      <c r="AL28" s="531">
        <f t="shared" si="39"/>
        <v>0</v>
      </c>
      <c r="AM28" s="826">
        <f t="shared" si="1"/>
        <v>0</v>
      </c>
      <c r="AN28" s="532">
        <f t="shared" si="40"/>
        <v>0</v>
      </c>
      <c r="AO28" s="533">
        <f t="shared" si="41"/>
        <v>0</v>
      </c>
      <c r="AP28" s="829" t="str">
        <f t="shared" si="22"/>
        <v>-</v>
      </c>
      <c r="AQ28" s="777">
        <v>0</v>
      </c>
      <c r="AR28" s="777">
        <v>0</v>
      </c>
      <c r="AS28" s="777">
        <v>0</v>
      </c>
      <c r="AT28" s="826" t="str">
        <f t="shared" si="23"/>
        <v>1555ХХ</v>
      </c>
      <c r="AU28" s="444">
        <f t="shared" si="24"/>
        <v>0</v>
      </c>
      <c r="AV28" s="777">
        <v>0</v>
      </c>
      <c r="AW28" s="777"/>
      <c r="AX28" s="770">
        <f t="shared" si="25"/>
        <v>0</v>
      </c>
      <c r="AY28" s="777">
        <v>0</v>
      </c>
      <c r="AZ28" s="777">
        <v>0</v>
      </c>
      <c r="BA28" s="777">
        <v>0</v>
      </c>
      <c r="BB28" s="777">
        <v>0</v>
      </c>
      <c r="BC28" s="777">
        <v>0</v>
      </c>
      <c r="BD28" s="777">
        <v>0</v>
      </c>
      <c r="BE28" s="777">
        <v>0</v>
      </c>
      <c r="BF28" s="777">
        <v>0</v>
      </c>
      <c r="BG28" s="777">
        <v>0</v>
      </c>
      <c r="BH28" s="777">
        <v>0</v>
      </c>
      <c r="BI28" s="826" t="str">
        <f t="shared" si="26"/>
        <v xml:space="preserve"> </v>
      </c>
      <c r="BJ28" s="826" t="str">
        <f t="shared" si="27"/>
        <v>Для кого</v>
      </c>
      <c r="BK28" s="873">
        <f>ОБЩИЕ_ДАННЫЕ!$C$207</f>
        <v>0</v>
      </c>
      <c r="BL28" s="854">
        <f t="shared" si="28"/>
        <v>7710959468</v>
      </c>
      <c r="BM28" s="854">
        <f t="shared" si="29"/>
        <v>772401001</v>
      </c>
      <c r="BN28" s="777">
        <v>0</v>
      </c>
    </row>
    <row r="29" spans="1:66" ht="28.8" hidden="1">
      <c r="A29" s="812"/>
      <c r="B29" s="812"/>
      <c r="C29" s="812"/>
      <c r="D29" s="812"/>
      <c r="E29" s="826" t="str">
        <f t="shared" si="5"/>
        <v>11-27ХХ-МПКПМКИ-12.21</v>
      </c>
      <c r="F29" s="826" t="str">
        <f t="shared" si="6"/>
        <v xml:space="preserve"> </v>
      </c>
      <c r="G29" s="826" t="str">
        <f t="shared" si="7"/>
        <v xml:space="preserve">Многофункциональный спортивный центр </v>
      </c>
      <c r="H29" s="826" t="str">
        <f t="shared" si="8"/>
        <v>Тверь</v>
      </c>
      <c r="I29" s="826" t="str">
        <f t="shared" si="9"/>
        <v>ЦФО</v>
      </c>
      <c r="J29" s="826" t="str">
        <f t="shared" si="10"/>
        <v>Нулевой цикл</v>
      </c>
      <c r="K29" s="830" t="str">
        <f t="shared" si="11"/>
        <v>Новый расчет</v>
      </c>
      <c r="L29" s="826">
        <f t="shared" si="12"/>
        <v>1</v>
      </c>
      <c r="M29" s="826">
        <f t="shared" si="13"/>
        <v>1</v>
      </c>
      <c r="N29" s="826">
        <f>COUNTIF(ОБЩИЕ_ДАННЫЕ!$J$149:$J$158,"&gt;0")</f>
        <v>0</v>
      </c>
      <c r="O29" s="826">
        <v>8</v>
      </c>
      <c r="P29" s="826">
        <f>ОБЩИЕ_ДАННЫЕ!J156</f>
        <v>0</v>
      </c>
      <c r="Q29" s="880">
        <f>ОБЩИЕ_ДАННЫЕ!K156</f>
        <v>0</v>
      </c>
      <c r="R29" s="826" t="str">
        <f>IF(Q29=0,"Раскладка ГИ",Прайс!F141)</f>
        <v>Раскладка ГИ</v>
      </c>
      <c r="S29" s="777">
        <v>0</v>
      </c>
      <c r="T29" s="777">
        <v>0</v>
      </c>
      <c r="U29" s="777">
        <v>0</v>
      </c>
      <c r="V29" s="529">
        <f>IF(AND(ОБЩИЕ_ДАННЫЕ!K156&gt;0,ОБЩИЕ_ДАННЫЕ!M156&gt;0),ОБЩИЕ_ДАННЫЕ!L156*0.25,0)</f>
        <v>0</v>
      </c>
      <c r="W29" s="529">
        <f>IF(AND(ОБЩИЕ_ДАННЫЕ!K156&gt;0,ОБЩИЕ_ДАННЫЕ!N156&gt;0),ОБЩИЕ_ДАННЫЕ!L156*0.25,0)</f>
        <v>0</v>
      </c>
      <c r="X29" s="777">
        <v>0</v>
      </c>
      <c r="Y29" s="777">
        <v>0</v>
      </c>
      <c r="Z29" s="777">
        <v>0</v>
      </c>
      <c r="AA29" s="777">
        <v>0</v>
      </c>
      <c r="AB29" s="530">
        <f t="shared" si="38"/>
        <v>0</v>
      </c>
      <c r="AC29" s="828" t="str">
        <f t="shared" si="14"/>
        <v>13.12.2021</v>
      </c>
      <c r="AD29" s="828">
        <f t="shared" si="15"/>
        <v>44543</v>
      </c>
      <c r="AE29" s="826">
        <f t="shared" si="2"/>
        <v>0</v>
      </c>
      <c r="AF29" s="826" t="str">
        <f t="shared" si="16"/>
        <v>Торговый партнер</v>
      </c>
      <c r="AG29" s="531" t="str">
        <f t="shared" si="17"/>
        <v>ЦФО</v>
      </c>
      <c r="AH29" s="531">
        <f t="shared" si="18"/>
        <v>0</v>
      </c>
      <c r="AI29" s="826">
        <f t="shared" si="19"/>
        <v>0</v>
      </c>
      <c r="AJ29" s="826" t="str">
        <f t="shared" si="20"/>
        <v>менеджер</v>
      </c>
      <c r="AK29" s="826">
        <f t="shared" si="21"/>
        <v>0</v>
      </c>
      <c r="AL29" s="531">
        <f t="shared" si="39"/>
        <v>0</v>
      </c>
      <c r="AM29" s="826">
        <f t="shared" si="1"/>
        <v>0</v>
      </c>
      <c r="AN29" s="532">
        <f t="shared" si="40"/>
        <v>0</v>
      </c>
      <c r="AO29" s="533">
        <f t="shared" si="41"/>
        <v>0</v>
      </c>
      <c r="AP29" s="829" t="str">
        <f t="shared" si="22"/>
        <v>-</v>
      </c>
      <c r="AQ29" s="777">
        <v>0</v>
      </c>
      <c r="AR29" s="777">
        <v>0</v>
      </c>
      <c r="AS29" s="777">
        <v>0</v>
      </c>
      <c r="AT29" s="826" t="str">
        <f t="shared" si="23"/>
        <v>1555ХХ</v>
      </c>
      <c r="AU29" s="444">
        <f t="shared" si="24"/>
        <v>0</v>
      </c>
      <c r="AV29" s="777">
        <v>0</v>
      </c>
      <c r="AW29" s="777"/>
      <c r="AX29" s="770">
        <f t="shared" si="25"/>
        <v>0</v>
      </c>
      <c r="AY29" s="777">
        <v>0</v>
      </c>
      <c r="AZ29" s="777">
        <v>0</v>
      </c>
      <c r="BA29" s="777">
        <v>0</v>
      </c>
      <c r="BB29" s="777">
        <v>0</v>
      </c>
      <c r="BC29" s="777">
        <v>0</v>
      </c>
      <c r="BD29" s="777">
        <v>0</v>
      </c>
      <c r="BE29" s="777">
        <v>0</v>
      </c>
      <c r="BF29" s="777">
        <v>0</v>
      </c>
      <c r="BG29" s="777">
        <v>0</v>
      </c>
      <c r="BH29" s="777">
        <v>0</v>
      </c>
      <c r="BI29" s="826" t="str">
        <f t="shared" si="26"/>
        <v xml:space="preserve"> </v>
      </c>
      <c r="BJ29" s="826" t="str">
        <f t="shared" si="27"/>
        <v>Для кого</v>
      </c>
      <c r="BK29" s="873">
        <f>ОБЩИЕ_ДАННЫЕ!$C$207</f>
        <v>0</v>
      </c>
      <c r="BL29" s="854">
        <f t="shared" si="28"/>
        <v>7710959468</v>
      </c>
      <c r="BM29" s="854">
        <f t="shared" si="29"/>
        <v>772401001</v>
      </c>
      <c r="BN29" s="777">
        <v>0</v>
      </c>
    </row>
    <row r="30" spans="1:66" ht="28.8" hidden="1">
      <c r="A30" s="812"/>
      <c r="B30" s="812"/>
      <c r="C30" s="812"/>
      <c r="D30" s="812"/>
      <c r="E30" s="826" t="str">
        <f t="shared" si="5"/>
        <v>11-27ХХ-МПКПМКИ-12.21</v>
      </c>
      <c r="F30" s="826" t="str">
        <f t="shared" si="6"/>
        <v xml:space="preserve"> </v>
      </c>
      <c r="G30" s="826" t="str">
        <f t="shared" si="7"/>
        <v xml:space="preserve">Многофункциональный спортивный центр </v>
      </c>
      <c r="H30" s="826" t="str">
        <f t="shared" si="8"/>
        <v>Тверь</v>
      </c>
      <c r="I30" s="826" t="str">
        <f t="shared" si="9"/>
        <v>ЦФО</v>
      </c>
      <c r="J30" s="826" t="str">
        <f t="shared" si="10"/>
        <v>Нулевой цикл</v>
      </c>
      <c r="K30" s="830" t="str">
        <f t="shared" si="11"/>
        <v>Новый расчет</v>
      </c>
      <c r="L30" s="826">
        <f t="shared" si="12"/>
        <v>1</v>
      </c>
      <c r="M30" s="826">
        <f t="shared" si="13"/>
        <v>1</v>
      </c>
      <c r="N30" s="826">
        <f>COUNTIF(ОБЩИЕ_ДАННЫЕ!$J$149:$J$158,"&gt;0")</f>
        <v>0</v>
      </c>
      <c r="O30" s="826">
        <v>9</v>
      </c>
      <c r="P30" s="826">
        <f>ОБЩИЕ_ДАННЫЕ!J157</f>
        <v>0</v>
      </c>
      <c r="Q30" s="880">
        <f>ОБЩИЕ_ДАННЫЕ!K157</f>
        <v>0</v>
      </c>
      <c r="R30" s="826" t="str">
        <f>IF(Q30=0,"Раскладка ГИ",Прайс!F141)</f>
        <v>Раскладка ГИ</v>
      </c>
      <c r="S30" s="777">
        <v>0</v>
      </c>
      <c r="T30" s="777">
        <v>0</v>
      </c>
      <c r="U30" s="777">
        <v>0</v>
      </c>
      <c r="V30" s="529">
        <f>IF(AND(ОБЩИЕ_ДАННЫЕ!K157&gt;0,ОБЩИЕ_ДАННЫЕ!M157&gt;0),ОБЩИЕ_ДАННЫЕ!L157*0.25,0)</f>
        <v>0</v>
      </c>
      <c r="W30" s="529">
        <f>IF(AND(ОБЩИЕ_ДАННЫЕ!K157&gt;0,ОБЩИЕ_ДАННЫЕ!N157&gt;0),ОБЩИЕ_ДАННЫЕ!L157*0.25,0)</f>
        <v>0</v>
      </c>
      <c r="X30" s="777">
        <v>0</v>
      </c>
      <c r="Y30" s="777">
        <v>0</v>
      </c>
      <c r="Z30" s="777">
        <v>0</v>
      </c>
      <c r="AA30" s="777">
        <v>0</v>
      </c>
      <c r="AB30" s="530">
        <f t="shared" si="38"/>
        <v>0</v>
      </c>
      <c r="AC30" s="828" t="str">
        <f t="shared" si="14"/>
        <v>13.12.2021</v>
      </c>
      <c r="AD30" s="828">
        <f t="shared" si="15"/>
        <v>44543</v>
      </c>
      <c r="AE30" s="826">
        <f t="shared" si="2"/>
        <v>0</v>
      </c>
      <c r="AF30" s="826" t="str">
        <f t="shared" si="16"/>
        <v>Торговый партнер</v>
      </c>
      <c r="AG30" s="531" t="str">
        <f t="shared" si="17"/>
        <v>ЦФО</v>
      </c>
      <c r="AH30" s="531">
        <f t="shared" si="18"/>
        <v>0</v>
      </c>
      <c r="AI30" s="826">
        <f t="shared" si="19"/>
        <v>0</v>
      </c>
      <c r="AJ30" s="826" t="str">
        <f t="shared" si="20"/>
        <v>менеджер</v>
      </c>
      <c r="AK30" s="826">
        <f t="shared" si="21"/>
        <v>0</v>
      </c>
      <c r="AL30" s="531">
        <f t="shared" si="39"/>
        <v>0</v>
      </c>
      <c r="AM30" s="826">
        <f t="shared" si="1"/>
        <v>0</v>
      </c>
      <c r="AN30" s="532">
        <f t="shared" si="40"/>
        <v>0</v>
      </c>
      <c r="AO30" s="533">
        <f t="shared" si="41"/>
        <v>0</v>
      </c>
      <c r="AP30" s="829" t="str">
        <f t="shared" si="22"/>
        <v>-</v>
      </c>
      <c r="AQ30" s="777">
        <v>0</v>
      </c>
      <c r="AR30" s="777">
        <v>0</v>
      </c>
      <c r="AS30" s="777">
        <v>0</v>
      </c>
      <c r="AT30" s="826" t="str">
        <f t="shared" si="23"/>
        <v>1555ХХ</v>
      </c>
      <c r="AU30" s="444">
        <f t="shared" si="24"/>
        <v>0</v>
      </c>
      <c r="AV30" s="777">
        <v>0</v>
      </c>
      <c r="AW30" s="777"/>
      <c r="AX30" s="770">
        <f t="shared" si="25"/>
        <v>0</v>
      </c>
      <c r="AY30" s="777">
        <v>0</v>
      </c>
      <c r="AZ30" s="777">
        <v>0</v>
      </c>
      <c r="BA30" s="777">
        <v>0</v>
      </c>
      <c r="BB30" s="777">
        <v>0</v>
      </c>
      <c r="BC30" s="777">
        <v>0</v>
      </c>
      <c r="BD30" s="777">
        <v>0</v>
      </c>
      <c r="BE30" s="777">
        <v>0</v>
      </c>
      <c r="BF30" s="777">
        <v>0</v>
      </c>
      <c r="BG30" s="777">
        <v>0</v>
      </c>
      <c r="BH30" s="777">
        <v>0</v>
      </c>
      <c r="BI30" s="826" t="str">
        <f t="shared" si="26"/>
        <v xml:space="preserve"> </v>
      </c>
      <c r="BJ30" s="826" t="str">
        <f t="shared" si="27"/>
        <v>Для кого</v>
      </c>
      <c r="BK30" s="873">
        <f>ОБЩИЕ_ДАННЫЕ!$C$207</f>
        <v>0</v>
      </c>
      <c r="BL30" s="854">
        <f t="shared" si="28"/>
        <v>7710959468</v>
      </c>
      <c r="BM30" s="854">
        <f t="shared" si="29"/>
        <v>772401001</v>
      </c>
      <c r="BN30" s="777">
        <v>0</v>
      </c>
    </row>
    <row r="31" spans="1:66" ht="28.8" hidden="1">
      <c r="A31" s="812"/>
      <c r="B31" s="812"/>
      <c r="C31" s="812"/>
      <c r="D31" s="812"/>
      <c r="E31" s="826" t="str">
        <f t="shared" si="5"/>
        <v>11-27ХХ-МПКПМКИ-12.21</v>
      </c>
      <c r="F31" s="826" t="str">
        <f t="shared" si="6"/>
        <v xml:space="preserve"> </v>
      </c>
      <c r="G31" s="826" t="str">
        <f t="shared" si="7"/>
        <v xml:space="preserve">Многофункциональный спортивный центр </v>
      </c>
      <c r="H31" s="826" t="str">
        <f t="shared" si="8"/>
        <v>Тверь</v>
      </c>
      <c r="I31" s="826" t="str">
        <f t="shared" si="9"/>
        <v>ЦФО</v>
      </c>
      <c r="J31" s="826" t="str">
        <f t="shared" si="10"/>
        <v>Нулевой цикл</v>
      </c>
      <c r="K31" s="830" t="str">
        <f t="shared" si="11"/>
        <v>Новый расчет</v>
      </c>
      <c r="L31" s="826">
        <f t="shared" si="12"/>
        <v>1</v>
      </c>
      <c r="M31" s="826">
        <f t="shared" si="13"/>
        <v>1</v>
      </c>
      <c r="N31" s="826">
        <f>COUNTIF(ОБЩИЕ_ДАННЫЕ!$J$149:$J$158,"&gt;0")</f>
        <v>0</v>
      </c>
      <c r="O31" s="826">
        <v>10</v>
      </c>
      <c r="P31" s="826">
        <f>ОБЩИЕ_ДАННЫЕ!J158</f>
        <v>0</v>
      </c>
      <c r="Q31" s="880">
        <f>ОБЩИЕ_ДАННЫЕ!K158</f>
        <v>0</v>
      </c>
      <c r="R31" s="826" t="str">
        <f>IF(Q31=0,"Раскладка ГИ",Прайс!F141)</f>
        <v>Раскладка ГИ</v>
      </c>
      <c r="S31" s="777">
        <v>0</v>
      </c>
      <c r="T31" s="777">
        <v>0</v>
      </c>
      <c r="U31" s="777">
        <v>0</v>
      </c>
      <c r="V31" s="529">
        <f>IF(AND(ОБЩИЕ_ДАННЫЕ!K158&gt;0,ОБЩИЕ_ДАННЫЕ!M158&gt;0),ОБЩИЕ_ДАННЫЕ!L158*0.25,0)</f>
        <v>0</v>
      </c>
      <c r="W31" s="529">
        <f>IF(AND(ОБЩИЕ_ДАННЫЕ!K158&gt;0,ОБЩИЕ_ДАННЫЕ!N158&gt;0),ОБЩИЕ_ДАННЫЕ!L158*0.25,0)</f>
        <v>0</v>
      </c>
      <c r="X31" s="777">
        <v>0</v>
      </c>
      <c r="Y31" s="777">
        <v>0</v>
      </c>
      <c r="Z31" s="777">
        <v>0</v>
      </c>
      <c r="AA31" s="777">
        <v>0</v>
      </c>
      <c r="AB31" s="530">
        <f>SUM(S31:AA31)</f>
        <v>0</v>
      </c>
      <c r="AC31" s="828" t="str">
        <f t="shared" si="14"/>
        <v>13.12.2021</v>
      </c>
      <c r="AD31" s="828">
        <f t="shared" si="15"/>
        <v>44543</v>
      </c>
      <c r="AE31" s="826">
        <f t="shared" si="2"/>
        <v>0</v>
      </c>
      <c r="AF31" s="826" t="str">
        <f t="shared" si="16"/>
        <v>Торговый партнер</v>
      </c>
      <c r="AG31" s="531" t="str">
        <f t="shared" si="17"/>
        <v>ЦФО</v>
      </c>
      <c r="AH31" s="531">
        <f t="shared" si="18"/>
        <v>0</v>
      </c>
      <c r="AI31" s="826">
        <f t="shared" si="19"/>
        <v>0</v>
      </c>
      <c r="AJ31" s="826" t="str">
        <f t="shared" si="20"/>
        <v>менеджер</v>
      </c>
      <c r="AK31" s="826">
        <f t="shared" si="21"/>
        <v>0</v>
      </c>
      <c r="AL31" s="531">
        <f>AM31</f>
        <v>0</v>
      </c>
      <c r="AM31" s="826">
        <f t="shared" si="1"/>
        <v>0</v>
      </c>
      <c r="AN31" s="532">
        <f>AM31</f>
        <v>0</v>
      </c>
      <c r="AO31" s="533">
        <f>AN31/0.87</f>
        <v>0</v>
      </c>
      <c r="AP31" s="829" t="str">
        <f t="shared" si="22"/>
        <v>-</v>
      </c>
      <c r="AQ31" s="777">
        <v>0</v>
      </c>
      <c r="AR31" s="777">
        <v>0</v>
      </c>
      <c r="AS31" s="777">
        <v>0</v>
      </c>
      <c r="AT31" s="826" t="str">
        <f t="shared" si="23"/>
        <v>1555ХХ</v>
      </c>
      <c r="AU31" s="444">
        <f t="shared" si="24"/>
        <v>0</v>
      </c>
      <c r="AV31" s="777">
        <v>0</v>
      </c>
      <c r="AW31" s="777"/>
      <c r="AX31" s="770">
        <f t="shared" si="25"/>
        <v>0</v>
      </c>
      <c r="AY31" s="777">
        <v>0</v>
      </c>
      <c r="AZ31" s="777">
        <v>0</v>
      </c>
      <c r="BA31" s="777">
        <v>0</v>
      </c>
      <c r="BB31" s="777">
        <v>0</v>
      </c>
      <c r="BC31" s="777">
        <v>0</v>
      </c>
      <c r="BD31" s="777">
        <v>0</v>
      </c>
      <c r="BE31" s="777">
        <v>0</v>
      </c>
      <c r="BF31" s="777">
        <v>0</v>
      </c>
      <c r="BG31" s="777">
        <v>0</v>
      </c>
      <c r="BH31" s="777">
        <v>0</v>
      </c>
      <c r="BI31" s="826" t="str">
        <f t="shared" si="26"/>
        <v xml:space="preserve"> </v>
      </c>
      <c r="BJ31" s="826" t="str">
        <f t="shared" si="27"/>
        <v>Для кого</v>
      </c>
      <c r="BK31" s="873">
        <f>ОБЩИЕ_ДАННЫЕ!$C$207</f>
        <v>0</v>
      </c>
      <c r="BL31" s="854">
        <f t="shared" si="28"/>
        <v>7710959468</v>
      </c>
      <c r="BM31" s="854">
        <f t="shared" si="29"/>
        <v>772401001</v>
      </c>
      <c r="BN31" s="777">
        <v>0</v>
      </c>
    </row>
    <row r="32" spans="1:66" ht="28.8">
      <c r="A32" s="812"/>
      <c r="B32" s="812"/>
      <c r="C32" s="812"/>
      <c r="D32" s="812"/>
      <c r="E32" s="826" t="str">
        <f t="shared" si="5"/>
        <v>11-27ХХ-МПКПМКИ-12.21</v>
      </c>
      <c r="F32" s="826" t="str">
        <f t="shared" si="6"/>
        <v xml:space="preserve"> </v>
      </c>
      <c r="G32" s="826" t="str">
        <f t="shared" si="7"/>
        <v xml:space="preserve">Многофункциональный спортивный центр </v>
      </c>
      <c r="H32" s="826" t="str">
        <f t="shared" si="8"/>
        <v>Тверь</v>
      </c>
      <c r="I32" s="826" t="str">
        <f t="shared" si="9"/>
        <v>ЦФО</v>
      </c>
      <c r="J32" s="826" t="str">
        <f t="shared" si="10"/>
        <v>Нулевой цикл</v>
      </c>
      <c r="K32" s="830" t="str">
        <f t="shared" si="11"/>
        <v>Новый расчет</v>
      </c>
      <c r="L32" s="826">
        <f t="shared" si="12"/>
        <v>1</v>
      </c>
      <c r="M32" s="826">
        <f t="shared" si="13"/>
        <v>1</v>
      </c>
      <c r="N32" s="777">
        <v>0</v>
      </c>
      <c r="O32" s="777">
        <v>0</v>
      </c>
      <c r="P32" s="531">
        <f t="shared" ref="P32:P37" ca="1" si="42">$P$3+$P$4</f>
        <v>1751</v>
      </c>
      <c r="Q32" s="777">
        <v>0</v>
      </c>
      <c r="R32" s="826" t="s">
        <v>448</v>
      </c>
      <c r="S32" s="529">
        <f>'ОБЩАЯ СПЕЦИФИКАЦИЯ'!AB6</f>
        <v>404.97660000000002</v>
      </c>
      <c r="T32" s="529">
        <f>'ОБЩАЯ СПЕЦИФИКАЦИЯ'!AC6</f>
        <v>0</v>
      </c>
      <c r="U32" s="529">
        <f>'ОБЩАЯ СПЕЦИФИКАЦИЯ'!AD6</f>
        <v>0</v>
      </c>
      <c r="V32" s="529">
        <f>'ОБЩАЯ СПЕЦИФИКАЦИЯ'!AE6</f>
        <v>2335</v>
      </c>
      <c r="W32" s="529">
        <f>'ОБЩАЯ СПЕЦИФИКАЦИЯ'!AF6</f>
        <v>0</v>
      </c>
      <c r="X32" s="529">
        <f>'ОБЩАЯ СПЕЦИФИКАЦИЯ'!AG6</f>
        <v>0</v>
      </c>
      <c r="Y32" s="529">
        <f>'ОБЩАЯ СПЕЦИФИКАЦИЯ'!AH6</f>
        <v>0</v>
      </c>
      <c r="Z32" s="777">
        <v>0</v>
      </c>
      <c r="AA32" s="777">
        <v>0</v>
      </c>
      <c r="AB32" s="530">
        <f>IF(SUM(S32:AA32)=0,0,1)</f>
        <v>1</v>
      </c>
      <c r="AC32" s="828" t="str">
        <f t="shared" si="14"/>
        <v>13.12.2021</v>
      </c>
      <c r="AD32" s="828">
        <f t="shared" si="15"/>
        <v>44543</v>
      </c>
      <c r="AE32" s="826">
        <f t="shared" si="2"/>
        <v>0</v>
      </c>
      <c r="AF32" s="826" t="str">
        <f t="shared" si="16"/>
        <v>Торговый партнер</v>
      </c>
      <c r="AG32" s="531" t="str">
        <f t="shared" si="17"/>
        <v>ЦФО</v>
      </c>
      <c r="AH32" s="531">
        <f t="shared" si="18"/>
        <v>0</v>
      </c>
      <c r="AI32" s="826">
        <f t="shared" si="19"/>
        <v>0</v>
      </c>
      <c r="AJ32" s="826" t="str">
        <f t="shared" si="20"/>
        <v>менеджер</v>
      </c>
      <c r="AK32" s="826">
        <f t="shared" si="21"/>
        <v>0</v>
      </c>
      <c r="AL32" s="777">
        <v>0</v>
      </c>
      <c r="AM32" s="826" t="s">
        <v>447</v>
      </c>
      <c r="AN32" s="777">
        <v>0</v>
      </c>
      <c r="AO32" s="777">
        <v>0</v>
      </c>
      <c r="AP32" s="829" t="str">
        <f t="shared" si="22"/>
        <v>-</v>
      </c>
      <c r="AQ32" s="777">
        <v>0</v>
      </c>
      <c r="AR32" s="777">
        <v>0</v>
      </c>
      <c r="AS32" s="777">
        <v>0</v>
      </c>
      <c r="AT32" s="826" t="str">
        <f t="shared" si="23"/>
        <v>1555ХХ</v>
      </c>
      <c r="AU32" s="444">
        <f t="shared" si="24"/>
        <v>0</v>
      </c>
      <c r="AV32" s="777">
        <v>0</v>
      </c>
      <c r="AW32" s="777"/>
      <c r="AX32" s="770">
        <f t="shared" si="25"/>
        <v>0</v>
      </c>
      <c r="AY32" s="777">
        <v>0</v>
      </c>
      <c r="AZ32" s="777">
        <v>0</v>
      </c>
      <c r="BA32" s="777">
        <v>0</v>
      </c>
      <c r="BB32" s="777">
        <v>0</v>
      </c>
      <c r="BC32" s="777">
        <v>0</v>
      </c>
      <c r="BD32" s="777">
        <v>0</v>
      </c>
      <c r="BE32" s="777">
        <v>0</v>
      </c>
      <c r="BF32" s="777">
        <v>0</v>
      </c>
      <c r="BG32" s="777">
        <v>0</v>
      </c>
      <c r="BH32" s="777">
        <v>0</v>
      </c>
      <c r="BI32" s="826" t="str">
        <f t="shared" si="26"/>
        <v xml:space="preserve"> </v>
      </c>
      <c r="BJ32" s="826" t="str">
        <f t="shared" si="27"/>
        <v>Для кого</v>
      </c>
      <c r="BK32" s="873">
        <f>ОБЩИЕ_ДАННЫЕ!$C$207</f>
        <v>0</v>
      </c>
      <c r="BL32" s="854">
        <f t="shared" si="28"/>
        <v>7710959468</v>
      </c>
      <c r="BM32" s="854">
        <f t="shared" si="29"/>
        <v>772401001</v>
      </c>
      <c r="BN32" s="777">
        <v>0</v>
      </c>
    </row>
    <row r="33" spans="1:66" ht="28.8">
      <c r="A33" s="812"/>
      <c r="B33" s="812"/>
      <c r="C33" s="812"/>
      <c r="D33" s="812"/>
      <c r="E33" s="826" t="str">
        <f t="shared" si="5"/>
        <v>11-27ХХ-МПКПМКИ-12.21</v>
      </c>
      <c r="F33" s="826" t="str">
        <f t="shared" si="6"/>
        <v xml:space="preserve"> </v>
      </c>
      <c r="G33" s="826" t="str">
        <f t="shared" si="7"/>
        <v xml:space="preserve">Многофункциональный спортивный центр </v>
      </c>
      <c r="H33" s="826" t="str">
        <f t="shared" si="8"/>
        <v>Тверь</v>
      </c>
      <c r="I33" s="826" t="str">
        <f t="shared" si="9"/>
        <v>ЦФО</v>
      </c>
      <c r="J33" s="826" t="str">
        <f t="shared" si="10"/>
        <v>Нулевой цикл</v>
      </c>
      <c r="K33" s="830" t="str">
        <f t="shared" si="11"/>
        <v>Новый расчет</v>
      </c>
      <c r="L33" s="826">
        <f t="shared" si="12"/>
        <v>1</v>
      </c>
      <c r="M33" s="826">
        <f t="shared" si="13"/>
        <v>1</v>
      </c>
      <c r="N33" s="777">
        <v>0</v>
      </c>
      <c r="O33" s="777">
        <v>0</v>
      </c>
      <c r="P33" s="531">
        <f t="shared" ca="1" si="42"/>
        <v>1751</v>
      </c>
      <c r="Q33" s="777">
        <v>0</v>
      </c>
      <c r="R33" s="826" t="s">
        <v>448</v>
      </c>
      <c r="S33" s="831">
        <f>'ОБЩАЯ СПЕЦИФИКАЦИЯ'!AB7</f>
        <v>0</v>
      </c>
      <c r="T33" s="831">
        <f>'ОБЩАЯ СПЕЦИФИКАЦИЯ'!AC7</f>
        <v>0</v>
      </c>
      <c r="U33" s="831">
        <f>'ОБЩАЯ СПЕЦИФИКАЦИЯ'!AD7</f>
        <v>0</v>
      </c>
      <c r="V33" s="831">
        <f>'ОБЩАЯ СПЕЦИФИКАЦИЯ'!AE7</f>
        <v>0</v>
      </c>
      <c r="W33" s="529">
        <f>'ОБЩАЯ СПЕЦИФИКАЦИЯ'!AF7</f>
        <v>2181</v>
      </c>
      <c r="X33" s="831">
        <f>'ОБЩАЯ СПЕЦИФИКАЦИЯ'!AG7</f>
        <v>0</v>
      </c>
      <c r="Y33" s="831">
        <f>'ОБЩАЯ СПЕЦИФИКАЦИЯ'!AH7</f>
        <v>0</v>
      </c>
      <c r="Z33" s="777">
        <v>0</v>
      </c>
      <c r="AA33" s="777">
        <v>0</v>
      </c>
      <c r="AB33" s="530">
        <f>IF(SUM(S33:AA33)=0,0,1)</f>
        <v>1</v>
      </c>
      <c r="AC33" s="828" t="str">
        <f t="shared" si="14"/>
        <v>13.12.2021</v>
      </c>
      <c r="AD33" s="828">
        <f t="shared" si="15"/>
        <v>44543</v>
      </c>
      <c r="AE33" s="826">
        <f t="shared" si="2"/>
        <v>0</v>
      </c>
      <c r="AF33" s="826" t="str">
        <f t="shared" si="16"/>
        <v>Торговый партнер</v>
      </c>
      <c r="AG33" s="531" t="str">
        <f t="shared" si="17"/>
        <v>ЦФО</v>
      </c>
      <c r="AH33" s="531">
        <f t="shared" si="18"/>
        <v>0</v>
      </c>
      <c r="AI33" s="826">
        <f t="shared" si="19"/>
        <v>0</v>
      </c>
      <c r="AJ33" s="826" t="str">
        <f t="shared" si="20"/>
        <v>менеджер</v>
      </c>
      <c r="AK33" s="826">
        <f t="shared" si="21"/>
        <v>0</v>
      </c>
      <c r="AL33" s="777">
        <v>0</v>
      </c>
      <c r="AM33" s="826" t="s">
        <v>444</v>
      </c>
      <c r="AN33" s="777">
        <v>0</v>
      </c>
      <c r="AO33" s="777">
        <v>0</v>
      </c>
      <c r="AP33" s="829" t="str">
        <f t="shared" si="22"/>
        <v>-</v>
      </c>
      <c r="AQ33" s="777">
        <v>0</v>
      </c>
      <c r="AR33" s="777">
        <v>0</v>
      </c>
      <c r="AS33" s="777">
        <v>0</v>
      </c>
      <c r="AT33" s="826" t="str">
        <f t="shared" si="23"/>
        <v>1555ХХ</v>
      </c>
      <c r="AU33" s="444">
        <f t="shared" si="24"/>
        <v>0</v>
      </c>
      <c r="AV33" s="777">
        <v>0</v>
      </c>
      <c r="AW33" s="777"/>
      <c r="AX33" s="770">
        <f t="shared" si="25"/>
        <v>0</v>
      </c>
      <c r="AY33" s="777">
        <v>0</v>
      </c>
      <c r="AZ33" s="777">
        <v>0</v>
      </c>
      <c r="BA33" s="777">
        <v>0</v>
      </c>
      <c r="BB33" s="777">
        <v>0</v>
      </c>
      <c r="BC33" s="777">
        <v>0</v>
      </c>
      <c r="BD33" s="777">
        <v>0</v>
      </c>
      <c r="BE33" s="777">
        <v>0</v>
      </c>
      <c r="BF33" s="777">
        <v>0</v>
      </c>
      <c r="BG33" s="777">
        <v>0</v>
      </c>
      <c r="BH33" s="777">
        <v>0</v>
      </c>
      <c r="BI33" s="826" t="str">
        <f t="shared" si="26"/>
        <v xml:space="preserve"> </v>
      </c>
      <c r="BJ33" s="826" t="str">
        <f t="shared" si="27"/>
        <v>Для кого</v>
      </c>
      <c r="BK33" s="873">
        <f>ОБЩИЕ_ДАННЫЕ!$C$207</f>
        <v>0</v>
      </c>
      <c r="BL33" s="854">
        <f t="shared" si="28"/>
        <v>7710959468</v>
      </c>
      <c r="BM33" s="854">
        <f t="shared" si="29"/>
        <v>772401001</v>
      </c>
      <c r="BN33" s="777">
        <v>0</v>
      </c>
    </row>
    <row r="34" spans="1:66" ht="28.8" hidden="1">
      <c r="A34" s="812"/>
      <c r="B34" s="812"/>
      <c r="C34" s="812"/>
      <c r="D34" s="812"/>
      <c r="E34" s="826" t="str">
        <f t="shared" si="5"/>
        <v>11-27ХХ-МПКПМКИ-12.21</v>
      </c>
      <c r="F34" s="826" t="str">
        <f t="shared" si="6"/>
        <v xml:space="preserve"> </v>
      </c>
      <c r="G34" s="826" t="str">
        <f t="shared" si="7"/>
        <v xml:space="preserve">Многофункциональный спортивный центр </v>
      </c>
      <c r="H34" s="826" t="str">
        <f t="shared" si="8"/>
        <v>Тверь</v>
      </c>
      <c r="I34" s="826" t="str">
        <f t="shared" si="9"/>
        <v>ЦФО</v>
      </c>
      <c r="J34" s="826" t="str">
        <f t="shared" si="10"/>
        <v>Нулевой цикл</v>
      </c>
      <c r="K34" s="830" t="str">
        <f t="shared" si="11"/>
        <v>Новый расчет</v>
      </c>
      <c r="L34" s="826">
        <f t="shared" si="12"/>
        <v>1</v>
      </c>
      <c r="M34" s="826">
        <f t="shared" si="13"/>
        <v>1</v>
      </c>
      <c r="N34" s="777">
        <v>0</v>
      </c>
      <c r="O34" s="777">
        <v>0</v>
      </c>
      <c r="P34" s="531">
        <f t="shared" ca="1" si="42"/>
        <v>1751</v>
      </c>
      <c r="Q34" s="777">
        <v>0</v>
      </c>
      <c r="R34" s="826" t="s">
        <v>448</v>
      </c>
      <c r="S34" s="831">
        <f>'ОБЩАЯ СПЕЦИФИКАЦИЯ'!AB8</f>
        <v>0</v>
      </c>
      <c r="T34" s="831">
        <f>'ОБЩАЯ СПЕЦИФИКАЦИЯ'!AC8</f>
        <v>0</v>
      </c>
      <c r="U34" s="831">
        <f>'ОБЩАЯ СПЕЦИФИКАЦИЯ'!AD8</f>
        <v>0</v>
      </c>
      <c r="V34" s="831">
        <f>'ОБЩАЯ СПЕЦИФИКАЦИЯ'!AE8</f>
        <v>0</v>
      </c>
      <c r="W34" s="529">
        <f>'ОБЩАЯ СПЕЦИФИКАЦИЯ'!AF8</f>
        <v>0</v>
      </c>
      <c r="X34" s="831">
        <f>'ОБЩАЯ СПЕЦИФИКАЦИЯ'!AG8</f>
        <v>0</v>
      </c>
      <c r="Y34" s="831">
        <f>'ОБЩАЯ СПЕЦИФИКАЦИЯ'!AH8</f>
        <v>0</v>
      </c>
      <c r="Z34" s="777">
        <v>0</v>
      </c>
      <c r="AA34" s="777">
        <v>0</v>
      </c>
      <c r="AB34" s="530">
        <f>IF(SUM(S34:AA34)=0,0,1)</f>
        <v>0</v>
      </c>
      <c r="AC34" s="828" t="str">
        <f t="shared" si="14"/>
        <v>13.12.2021</v>
      </c>
      <c r="AD34" s="828">
        <f t="shared" si="15"/>
        <v>44543</v>
      </c>
      <c r="AE34" s="826">
        <f t="shared" si="2"/>
        <v>0</v>
      </c>
      <c r="AF34" s="826" t="str">
        <f t="shared" si="16"/>
        <v>Торговый партнер</v>
      </c>
      <c r="AG34" s="531" t="str">
        <f t="shared" si="17"/>
        <v>ЦФО</v>
      </c>
      <c r="AH34" s="531">
        <f t="shared" si="18"/>
        <v>0</v>
      </c>
      <c r="AI34" s="826">
        <f t="shared" si="19"/>
        <v>0</v>
      </c>
      <c r="AJ34" s="826" t="str">
        <f t="shared" si="20"/>
        <v>менеджер</v>
      </c>
      <c r="AK34" s="826">
        <f t="shared" si="21"/>
        <v>0</v>
      </c>
      <c r="AL34" s="777">
        <v>0</v>
      </c>
      <c r="AM34" s="826" t="s">
        <v>445</v>
      </c>
      <c r="AN34" s="777">
        <v>0</v>
      </c>
      <c r="AO34" s="777">
        <v>0</v>
      </c>
      <c r="AP34" s="829" t="str">
        <f t="shared" si="22"/>
        <v>-</v>
      </c>
      <c r="AQ34" s="777">
        <v>0</v>
      </c>
      <c r="AR34" s="777">
        <v>0</v>
      </c>
      <c r="AS34" s="777">
        <v>0</v>
      </c>
      <c r="AT34" s="826" t="str">
        <f t="shared" si="23"/>
        <v>1555ХХ</v>
      </c>
      <c r="AU34" s="444">
        <f t="shared" si="24"/>
        <v>0</v>
      </c>
      <c r="AV34" s="777">
        <v>0</v>
      </c>
      <c r="AW34" s="777"/>
      <c r="AX34" s="770">
        <f t="shared" si="25"/>
        <v>0</v>
      </c>
      <c r="AY34" s="777">
        <v>0</v>
      </c>
      <c r="AZ34" s="777">
        <v>0</v>
      </c>
      <c r="BA34" s="777">
        <v>0</v>
      </c>
      <c r="BB34" s="777">
        <v>0</v>
      </c>
      <c r="BC34" s="777">
        <v>0</v>
      </c>
      <c r="BD34" s="777">
        <v>0</v>
      </c>
      <c r="BE34" s="777">
        <v>0</v>
      </c>
      <c r="BF34" s="777">
        <v>0</v>
      </c>
      <c r="BG34" s="777">
        <v>0</v>
      </c>
      <c r="BH34" s="777">
        <v>0</v>
      </c>
      <c r="BI34" s="826" t="str">
        <f t="shared" si="26"/>
        <v xml:space="preserve"> </v>
      </c>
      <c r="BJ34" s="826" t="str">
        <f t="shared" si="27"/>
        <v>Для кого</v>
      </c>
      <c r="BK34" s="873">
        <f>ОБЩИЕ_ДАННЫЕ!$C$207</f>
        <v>0</v>
      </c>
      <c r="BL34" s="854">
        <f t="shared" si="28"/>
        <v>7710959468</v>
      </c>
      <c r="BM34" s="854">
        <f t="shared" si="29"/>
        <v>772401001</v>
      </c>
      <c r="BN34" s="777">
        <v>0</v>
      </c>
    </row>
    <row r="35" spans="1:66" ht="28.8">
      <c r="A35" s="812"/>
      <c r="B35" s="812"/>
      <c r="C35" s="812"/>
      <c r="D35" s="812"/>
      <c r="E35" s="826" t="str">
        <f t="shared" si="5"/>
        <v>11-27ХХ-МПКПМКИ-12.21</v>
      </c>
      <c r="F35" s="826" t="str">
        <f t="shared" si="6"/>
        <v xml:space="preserve"> </v>
      </c>
      <c r="G35" s="826" t="str">
        <f t="shared" si="7"/>
        <v xml:space="preserve">Многофункциональный спортивный центр </v>
      </c>
      <c r="H35" s="826" t="str">
        <f t="shared" si="8"/>
        <v>Тверь</v>
      </c>
      <c r="I35" s="826" t="str">
        <f t="shared" si="9"/>
        <v>ЦФО</v>
      </c>
      <c r="J35" s="826" t="str">
        <f t="shared" si="10"/>
        <v>Нулевой цикл</v>
      </c>
      <c r="K35" s="830" t="str">
        <f t="shared" si="11"/>
        <v>Новый расчет</v>
      </c>
      <c r="L35" s="826">
        <f t="shared" si="12"/>
        <v>1</v>
      </c>
      <c r="M35" s="826">
        <f t="shared" si="13"/>
        <v>1</v>
      </c>
      <c r="N35" s="777">
        <v>0</v>
      </c>
      <c r="O35" s="777">
        <v>0</v>
      </c>
      <c r="P35" s="531">
        <f t="shared" ca="1" si="42"/>
        <v>1751</v>
      </c>
      <c r="Q35" s="777">
        <v>0</v>
      </c>
      <c r="R35" s="826" t="s">
        <v>448</v>
      </c>
      <c r="S35" s="529">
        <f>'ОБЩАЯ СПЕЦИФИКАЦИЯ'!AB9</f>
        <v>3.802</v>
      </c>
      <c r="T35" s="529">
        <f>'ОБЩАЯ СПЕЦИФИКАЦИЯ'!AC9</f>
        <v>0</v>
      </c>
      <c r="U35" s="529">
        <f>'ОБЩАЯ СПЕЦИФИКАЦИЯ'!AD9</f>
        <v>0</v>
      </c>
      <c r="V35" s="831">
        <f>'ОБЩАЯ СПЕЦИФИКАЦИЯ'!AE9</f>
        <v>0</v>
      </c>
      <c r="W35" s="831">
        <f>'ОБЩАЯ СПЕЦИФИКАЦИЯ'!AF9</f>
        <v>0</v>
      </c>
      <c r="X35" s="831">
        <f>'ОБЩАЯ СПЕЦИФИКАЦИЯ'!AG9</f>
        <v>0</v>
      </c>
      <c r="Y35" s="831">
        <f>'ОБЩАЯ СПЕЦИФИКАЦИЯ'!AH9</f>
        <v>0</v>
      </c>
      <c r="Z35" s="777">
        <v>0</v>
      </c>
      <c r="AA35" s="777">
        <v>0</v>
      </c>
      <c r="AB35" s="530">
        <f>IF(SUM(S35:AA35)=0,0,1)</f>
        <v>1</v>
      </c>
      <c r="AC35" s="828" t="str">
        <f t="shared" si="14"/>
        <v>13.12.2021</v>
      </c>
      <c r="AD35" s="828">
        <f t="shared" si="15"/>
        <v>44543</v>
      </c>
      <c r="AE35" s="826">
        <f t="shared" si="2"/>
        <v>0</v>
      </c>
      <c r="AF35" s="826" t="str">
        <f t="shared" si="16"/>
        <v>Торговый партнер</v>
      </c>
      <c r="AG35" s="531" t="str">
        <f t="shared" si="17"/>
        <v>ЦФО</v>
      </c>
      <c r="AH35" s="531">
        <f t="shared" si="18"/>
        <v>0</v>
      </c>
      <c r="AI35" s="826">
        <f t="shared" si="19"/>
        <v>0</v>
      </c>
      <c r="AJ35" s="826" t="str">
        <f t="shared" si="20"/>
        <v>менеджер</v>
      </c>
      <c r="AK35" s="826">
        <f t="shared" si="21"/>
        <v>0</v>
      </c>
      <c r="AL35" s="777">
        <v>0</v>
      </c>
      <c r="AM35" s="531" t="s">
        <v>446</v>
      </c>
      <c r="AN35" s="777">
        <v>0</v>
      </c>
      <c r="AO35" s="777">
        <v>0</v>
      </c>
      <c r="AP35" s="829" t="str">
        <f t="shared" si="22"/>
        <v>-</v>
      </c>
      <c r="AQ35" s="777">
        <v>0</v>
      </c>
      <c r="AR35" s="777">
        <v>0</v>
      </c>
      <c r="AS35" s="777">
        <v>0</v>
      </c>
      <c r="AT35" s="826" t="str">
        <f t="shared" si="23"/>
        <v>1555ХХ</v>
      </c>
      <c r="AU35" s="444">
        <f t="shared" si="24"/>
        <v>0</v>
      </c>
      <c r="AV35" s="777">
        <v>0</v>
      </c>
      <c r="AW35" s="777"/>
      <c r="AX35" s="770">
        <f t="shared" si="25"/>
        <v>0</v>
      </c>
      <c r="AY35" s="777">
        <v>0</v>
      </c>
      <c r="AZ35" s="777">
        <v>0</v>
      </c>
      <c r="BA35" s="777">
        <v>0</v>
      </c>
      <c r="BB35" s="777">
        <v>0</v>
      </c>
      <c r="BC35" s="777">
        <v>0</v>
      </c>
      <c r="BD35" s="777">
        <v>0</v>
      </c>
      <c r="BE35" s="777">
        <v>0</v>
      </c>
      <c r="BF35" s="777">
        <v>0</v>
      </c>
      <c r="BG35" s="777">
        <v>0</v>
      </c>
      <c r="BH35" s="777">
        <v>0</v>
      </c>
      <c r="BI35" s="826" t="str">
        <f t="shared" si="26"/>
        <v xml:space="preserve"> </v>
      </c>
      <c r="BJ35" s="826" t="str">
        <f t="shared" si="27"/>
        <v>Для кого</v>
      </c>
      <c r="BK35" s="873">
        <f>ОБЩИЕ_ДАННЫЕ!$C$207</f>
        <v>0</v>
      </c>
      <c r="BL35" s="854">
        <f t="shared" si="28"/>
        <v>7710959468</v>
      </c>
      <c r="BM35" s="854">
        <f t="shared" si="29"/>
        <v>772401001</v>
      </c>
      <c r="BN35" s="777">
        <v>0</v>
      </c>
    </row>
    <row r="36" spans="1:66" ht="28.8">
      <c r="A36" s="812"/>
      <c r="B36" s="812"/>
      <c r="C36" s="812"/>
      <c r="D36" s="812"/>
      <c r="E36" s="826" t="str">
        <f t="shared" si="5"/>
        <v>11-27ХХ-МПКПМКИ-12.21</v>
      </c>
      <c r="F36" s="826" t="str">
        <f t="shared" si="6"/>
        <v xml:space="preserve"> </v>
      </c>
      <c r="G36" s="826" t="str">
        <f t="shared" si="7"/>
        <v xml:space="preserve">Многофункциональный спортивный центр </v>
      </c>
      <c r="H36" s="826" t="str">
        <f t="shared" si="8"/>
        <v>Тверь</v>
      </c>
      <c r="I36" s="826" t="str">
        <f t="shared" si="9"/>
        <v>ЦФО</v>
      </c>
      <c r="J36" s="826" t="str">
        <f t="shared" si="10"/>
        <v>Нулевой цикл</v>
      </c>
      <c r="K36" s="830" t="str">
        <f t="shared" si="11"/>
        <v>Новый расчет</v>
      </c>
      <c r="L36" s="826">
        <f t="shared" si="12"/>
        <v>1</v>
      </c>
      <c r="M36" s="826">
        <f t="shared" si="13"/>
        <v>1</v>
      </c>
      <c r="N36" s="777">
        <v>0</v>
      </c>
      <c r="O36" s="777">
        <v>0</v>
      </c>
      <c r="P36" s="531">
        <f t="shared" ca="1" si="42"/>
        <v>1751</v>
      </c>
      <c r="Q36" s="777">
        <v>0</v>
      </c>
      <c r="R36" s="826" t="s">
        <v>448</v>
      </c>
      <c r="S36" s="529">
        <f>'ОБЩАЯ СПЕЦИФИКАЦИЯ'!AB10</f>
        <v>24600</v>
      </c>
      <c r="T36" s="529">
        <f>'ОБЩАЯ СПЕЦИФИКАЦИЯ'!AC10</f>
        <v>76</v>
      </c>
      <c r="U36" s="777">
        <v>0</v>
      </c>
      <c r="V36" s="777">
        <v>0</v>
      </c>
      <c r="W36" s="777">
        <v>0</v>
      </c>
      <c r="X36" s="777">
        <v>0</v>
      </c>
      <c r="Y36" s="777">
        <v>0</v>
      </c>
      <c r="Z36" s="777">
        <v>0</v>
      </c>
      <c r="AA36" s="777">
        <v>0</v>
      </c>
      <c r="AB36" s="530">
        <f>IF(SUM(T36:AA36)=0,0,1)</f>
        <v>1</v>
      </c>
      <c r="AC36" s="828" t="str">
        <f t="shared" si="14"/>
        <v>13.12.2021</v>
      </c>
      <c r="AD36" s="828">
        <f t="shared" si="15"/>
        <v>44543</v>
      </c>
      <c r="AE36" s="826">
        <f>IFERROR(AD36-AC36,0)</f>
        <v>0</v>
      </c>
      <c r="AF36" s="826" t="str">
        <f t="shared" si="16"/>
        <v>Торговый партнер</v>
      </c>
      <c r="AG36" s="531" t="str">
        <f t="shared" ref="AG36:AG37" si="43">AG35</f>
        <v>ЦФО</v>
      </c>
      <c r="AH36" s="531">
        <f t="shared" si="18"/>
        <v>0</v>
      </c>
      <c r="AI36" s="826">
        <f t="shared" si="19"/>
        <v>0</v>
      </c>
      <c r="AJ36" s="826" t="str">
        <f t="shared" si="20"/>
        <v>менеджер</v>
      </c>
      <c r="AK36" s="826">
        <f t="shared" si="21"/>
        <v>0</v>
      </c>
      <c r="AL36" s="777">
        <v>0</v>
      </c>
      <c r="AM36" s="531" t="s">
        <v>450</v>
      </c>
      <c r="AN36" s="777">
        <v>0</v>
      </c>
      <c r="AO36" s="777">
        <v>0</v>
      </c>
      <c r="AP36" s="829" t="str">
        <f t="shared" si="22"/>
        <v>-</v>
      </c>
      <c r="AQ36" s="777">
        <v>0</v>
      </c>
      <c r="AR36" s="777">
        <v>0</v>
      </c>
      <c r="AS36" s="777">
        <v>0</v>
      </c>
      <c r="AT36" s="826" t="str">
        <f t="shared" si="23"/>
        <v>1555ХХ</v>
      </c>
      <c r="AU36" s="444">
        <f t="shared" si="24"/>
        <v>0</v>
      </c>
      <c r="AV36" s="777">
        <v>0</v>
      </c>
      <c r="AW36" s="777"/>
      <c r="AX36" s="770">
        <f t="shared" si="25"/>
        <v>0</v>
      </c>
      <c r="AY36" s="777">
        <v>0</v>
      </c>
      <c r="AZ36" s="777">
        <v>0</v>
      </c>
      <c r="BA36" s="777">
        <v>0</v>
      </c>
      <c r="BB36" s="777">
        <v>0</v>
      </c>
      <c r="BC36" s="777">
        <v>0</v>
      </c>
      <c r="BD36" s="777">
        <v>0</v>
      </c>
      <c r="BE36" s="777">
        <v>0</v>
      </c>
      <c r="BF36" s="777">
        <v>0</v>
      </c>
      <c r="BG36" s="777">
        <v>0</v>
      </c>
      <c r="BH36" s="777">
        <v>0</v>
      </c>
      <c r="BI36" s="826" t="str">
        <f t="shared" si="26"/>
        <v xml:space="preserve"> </v>
      </c>
      <c r="BJ36" s="826" t="str">
        <f t="shared" si="27"/>
        <v>Для кого</v>
      </c>
      <c r="BK36" s="873">
        <f>ОБЩИЕ_ДАННЫЕ!$C$207</f>
        <v>0</v>
      </c>
      <c r="BL36" s="854">
        <f t="shared" si="28"/>
        <v>7710959468</v>
      </c>
      <c r="BM36" s="854">
        <f t="shared" si="29"/>
        <v>772401001</v>
      </c>
      <c r="BN36" s="777">
        <v>0</v>
      </c>
    </row>
    <row r="37" spans="1:66" s="522" customFormat="1" hidden="1">
      <c r="A37" s="813"/>
      <c r="B37" s="813"/>
      <c r="C37" s="813"/>
      <c r="D37" s="813"/>
      <c r="E37" s="450" t="str">
        <f t="shared" si="5"/>
        <v>11-27ХХ-МПКПМКИ-12.21</v>
      </c>
      <c r="F37" s="450" t="str">
        <f t="shared" si="6"/>
        <v xml:space="preserve"> </v>
      </c>
      <c r="G37" s="450" t="str">
        <f t="shared" si="7"/>
        <v xml:space="preserve">Многофункциональный спортивный центр </v>
      </c>
      <c r="H37" s="450" t="str">
        <f t="shared" si="8"/>
        <v>Тверь</v>
      </c>
      <c r="I37" s="450" t="str">
        <f t="shared" si="9"/>
        <v>ЦФО</v>
      </c>
      <c r="J37" s="450" t="str">
        <f t="shared" si="10"/>
        <v>Нулевой цикл</v>
      </c>
      <c r="K37" s="830" t="str">
        <f t="shared" si="11"/>
        <v>Новый расчет</v>
      </c>
      <c r="L37" s="450">
        <f t="shared" si="12"/>
        <v>1</v>
      </c>
      <c r="M37" s="450">
        <f t="shared" si="13"/>
        <v>1</v>
      </c>
      <c r="N37" s="832">
        <v>0</v>
      </c>
      <c r="O37" s="832">
        <v>0</v>
      </c>
      <c r="P37" s="531">
        <f t="shared" ca="1" si="42"/>
        <v>1751</v>
      </c>
      <c r="Q37" s="832">
        <v>0</v>
      </c>
      <c r="R37" s="450" t="s">
        <v>740</v>
      </c>
      <c r="S37" s="832">
        <v>0</v>
      </c>
      <c r="T37" s="832">
        <v>0</v>
      </c>
      <c r="U37" s="832">
        <v>0</v>
      </c>
      <c r="V37" s="832">
        <v>0</v>
      </c>
      <c r="W37" s="832">
        <v>0</v>
      </c>
      <c r="X37" s="832">
        <v>0</v>
      </c>
      <c r="Y37" s="832">
        <v>0</v>
      </c>
      <c r="Z37" s="832">
        <v>0</v>
      </c>
      <c r="AA37" s="832">
        <v>0</v>
      </c>
      <c r="AB37" s="833">
        <f ca="1">IF((COUNTIF(AY37:BH37,"&lt;&gt;0")&gt;0),1,0)</f>
        <v>0</v>
      </c>
      <c r="AC37" s="834" t="str">
        <f t="shared" si="14"/>
        <v>13.12.2021</v>
      </c>
      <c r="AD37" s="834">
        <f t="shared" si="15"/>
        <v>44543</v>
      </c>
      <c r="AE37" s="450">
        <f>IFERROR(AD37-AC37,0)</f>
        <v>0</v>
      </c>
      <c r="AF37" s="450" t="str">
        <f t="shared" si="16"/>
        <v>Торговый партнер</v>
      </c>
      <c r="AG37" s="518" t="str">
        <f t="shared" si="43"/>
        <v>ЦФО</v>
      </c>
      <c r="AH37" s="518">
        <f t="shared" si="18"/>
        <v>0</v>
      </c>
      <c r="AI37" s="450">
        <f t="shared" si="19"/>
        <v>0</v>
      </c>
      <c r="AJ37" s="450" t="str">
        <f t="shared" si="20"/>
        <v>менеджер</v>
      </c>
      <c r="AK37" s="450">
        <f t="shared" si="21"/>
        <v>0</v>
      </c>
      <c r="AL37" s="832">
        <v>0</v>
      </c>
      <c r="AM37" s="832">
        <v>0</v>
      </c>
      <c r="AN37" s="832">
        <v>0</v>
      </c>
      <c r="AO37" s="832">
        <v>0</v>
      </c>
      <c r="AP37" s="835" t="str">
        <f t="shared" si="22"/>
        <v>-</v>
      </c>
      <c r="AQ37" s="832">
        <v>0</v>
      </c>
      <c r="AR37" s="832">
        <v>0</v>
      </c>
      <c r="AS37" s="832">
        <v>0</v>
      </c>
      <c r="AT37" s="450" t="str">
        <f t="shared" si="23"/>
        <v>1555ХХ</v>
      </c>
      <c r="AU37" s="778">
        <f t="shared" si="24"/>
        <v>0</v>
      </c>
      <c r="AV37" s="832">
        <v>0</v>
      </c>
      <c r="AW37" s="832"/>
      <c r="AX37" s="776">
        <f t="shared" si="25"/>
        <v>0</v>
      </c>
      <c r="AY37" s="450">
        <f ca="1">INDIRECT("ТИП1!"&amp;"AJ20")</f>
        <v>0</v>
      </c>
      <c r="AZ37" s="450">
        <f ca="1">INDIRECT("ТИП2!"&amp;"AJ20")</f>
        <v>0</v>
      </c>
      <c r="BA37" s="450">
        <f ca="1">INDIRECT("ТИП3!"&amp;"AJ20")</f>
        <v>0</v>
      </c>
      <c r="BB37" s="450">
        <f ca="1">INDIRECT("ТИП4!"&amp;"AJ20")</f>
        <v>0</v>
      </c>
      <c r="BC37" s="450">
        <f ca="1">INDIRECT("ТИП5!"&amp;"AJ20")</f>
        <v>0</v>
      </c>
      <c r="BD37" s="450">
        <f ca="1">INDIRECT("ТИП6!"&amp;"AJ20")</f>
        <v>0</v>
      </c>
      <c r="BE37" s="450">
        <f ca="1">INDIRECT("ТИП7!"&amp;"AJ20")</f>
        <v>0</v>
      </c>
      <c r="BF37" s="450">
        <f ca="1">INDIRECT("ТИП8!"&amp;"AJ20")</f>
        <v>0</v>
      </c>
      <c r="BG37" s="450">
        <f ca="1">INDIRECT("ТИП9!"&amp;"AJ20")</f>
        <v>0</v>
      </c>
      <c r="BH37" s="450">
        <f ca="1">INDIRECT("ТИП10!"&amp;"AJ20")</f>
        <v>0</v>
      </c>
      <c r="BI37" s="826" t="str">
        <f t="shared" si="26"/>
        <v xml:space="preserve"> </v>
      </c>
      <c r="BJ37" s="826" t="str">
        <f t="shared" si="27"/>
        <v>Для кого</v>
      </c>
      <c r="BK37" s="873">
        <f>ОБЩИЕ_ДАННЫЕ!$C$207</f>
        <v>0</v>
      </c>
      <c r="BL37" s="854">
        <f t="shared" si="28"/>
        <v>7710959468</v>
      </c>
      <c r="BM37" s="854">
        <f t="shared" si="29"/>
        <v>772401001</v>
      </c>
      <c r="BN37" s="897" t="e">
        <f>#REF!</f>
        <v>#REF!</v>
      </c>
    </row>
    <row r="38" spans="1:66">
      <c r="U38" s="363"/>
    </row>
    <row r="41" spans="1:66">
      <c r="R41"/>
      <c r="S41"/>
      <c r="T41"/>
      <c r="U41"/>
      <c r="V41"/>
      <c r="W41"/>
      <c r="X41"/>
    </row>
    <row r="42" spans="1:66">
      <c r="R42"/>
      <c r="S42"/>
      <c r="T42"/>
      <c r="U42"/>
      <c r="V42"/>
      <c r="W42"/>
      <c r="X42"/>
    </row>
    <row r="43" spans="1:66">
      <c r="R43"/>
      <c r="S43"/>
      <c r="T43"/>
      <c r="U43"/>
      <c r="V43"/>
      <c r="W43"/>
      <c r="X43"/>
    </row>
    <row r="44" spans="1:66">
      <c r="R44"/>
      <c r="S44"/>
      <c r="T44"/>
      <c r="U44"/>
      <c r="V44"/>
      <c r="W44"/>
      <c r="X44"/>
    </row>
    <row r="45" spans="1:66">
      <c r="R45"/>
      <c r="S45"/>
      <c r="T45"/>
      <c r="U45"/>
      <c r="V45"/>
      <c r="W45"/>
      <c r="X45"/>
    </row>
    <row r="46" spans="1:66">
      <c r="R46"/>
      <c r="S46"/>
      <c r="T46"/>
      <c r="U46"/>
      <c r="V46"/>
      <c r="W46"/>
      <c r="X46"/>
    </row>
    <row r="47" spans="1:66">
      <c r="R47"/>
      <c r="S47"/>
      <c r="T47"/>
      <c r="U47"/>
      <c r="V47"/>
      <c r="W47"/>
      <c r="X47"/>
    </row>
    <row r="48" spans="1:66">
      <c r="R48"/>
      <c r="S48"/>
      <c r="T48"/>
      <c r="U48"/>
      <c r="V48"/>
      <c r="W48"/>
      <c r="X48"/>
    </row>
    <row r="49" spans="18:24">
      <c r="R49"/>
      <c r="S49"/>
      <c r="T49"/>
      <c r="U49"/>
      <c r="V49"/>
      <c r="W49"/>
      <c r="X49"/>
    </row>
    <row r="50" spans="18:24">
      <c r="R50"/>
      <c r="S50"/>
      <c r="T50"/>
      <c r="U50"/>
      <c r="V50"/>
      <c r="W50"/>
      <c r="X50"/>
    </row>
    <row r="51" spans="18:24">
      <c r="R51"/>
      <c r="S51"/>
      <c r="T51"/>
      <c r="U51"/>
      <c r="V51"/>
      <c r="W51"/>
      <c r="X51"/>
    </row>
    <row r="52" spans="18:24">
      <c r="R52"/>
      <c r="S52"/>
      <c r="T52"/>
      <c r="U52"/>
      <c r="V52"/>
      <c r="W52"/>
      <c r="X52"/>
    </row>
    <row r="53" spans="18:24">
      <c r="R53"/>
      <c r="S53"/>
      <c r="T53"/>
      <c r="U53"/>
      <c r="V53"/>
      <c r="W53"/>
      <c r="X53"/>
    </row>
    <row r="54" spans="18:24">
      <c r="R54"/>
      <c r="S54"/>
      <c r="T54"/>
      <c r="U54"/>
      <c r="V54"/>
      <c r="W54"/>
      <c r="X54"/>
    </row>
    <row r="55" spans="18:24">
      <c r="R55"/>
      <c r="S55"/>
      <c r="T55"/>
      <c r="U55"/>
      <c r="V55"/>
      <c r="W55"/>
      <c r="X55"/>
    </row>
    <row r="56" spans="18:24">
      <c r="R56"/>
      <c r="S56"/>
      <c r="T56"/>
      <c r="U56"/>
      <c r="V56"/>
      <c r="W56"/>
      <c r="X56"/>
    </row>
    <row r="57" spans="18:24">
      <c r="R57"/>
      <c r="S57"/>
      <c r="T57"/>
      <c r="U57"/>
    </row>
    <row r="58" spans="18:24">
      <c r="R58"/>
      <c r="S58"/>
      <c r="T58"/>
      <c r="U58"/>
    </row>
    <row r="59" spans="18:24">
      <c r="R59"/>
      <c r="S59"/>
      <c r="T59"/>
      <c r="U59"/>
    </row>
    <row r="60" spans="18:24">
      <c r="R60"/>
      <c r="S60"/>
      <c r="T60"/>
      <c r="U60"/>
    </row>
    <row r="61" spans="18:24">
      <c r="R61"/>
      <c r="S61"/>
      <c r="T61"/>
      <c r="U61"/>
    </row>
    <row r="62" spans="18:24">
      <c r="R62"/>
      <c r="S62"/>
      <c r="T62"/>
      <c r="U62"/>
    </row>
    <row r="63" spans="18:24">
      <c r="R63"/>
      <c r="S63"/>
      <c r="T63"/>
      <c r="U63"/>
    </row>
    <row r="64" spans="18:24">
      <c r="R64"/>
      <c r="S64"/>
      <c r="T64"/>
      <c r="U64"/>
    </row>
    <row r="65" spans="18:21">
      <c r="R65"/>
      <c r="S65"/>
      <c r="T65"/>
      <c r="U65"/>
    </row>
    <row r="66" spans="18:21">
      <c r="R66"/>
      <c r="S66"/>
      <c r="T66"/>
      <c r="U66"/>
    </row>
    <row r="67" spans="18:21">
      <c r="R67"/>
      <c r="S67"/>
      <c r="T67"/>
      <c r="U67"/>
    </row>
    <row r="68" spans="18:21">
      <c r="R68"/>
      <c r="S68"/>
      <c r="T68"/>
      <c r="U68"/>
    </row>
    <row r="69" spans="18:21">
      <c r="R69"/>
      <c r="S69"/>
      <c r="T69"/>
      <c r="U69"/>
    </row>
    <row r="70" spans="18:21">
      <c r="R70"/>
      <c r="S70"/>
      <c r="T70"/>
      <c r="U70"/>
    </row>
    <row r="71" spans="18:21">
      <c r="R71"/>
      <c r="S71"/>
      <c r="T71"/>
      <c r="U71"/>
    </row>
    <row r="72" spans="18:21">
      <c r="R72"/>
      <c r="S72"/>
      <c r="T72"/>
      <c r="U72"/>
    </row>
    <row r="73" spans="18:21">
      <c r="R73"/>
      <c r="S73"/>
      <c r="T73"/>
      <c r="U73"/>
    </row>
    <row r="74" spans="18:21">
      <c r="R74" s="858"/>
    </row>
    <row r="75" spans="18:21">
      <c r="R75" s="858"/>
    </row>
    <row r="76" spans="18:21">
      <c r="R76" s="858"/>
    </row>
    <row r="77" spans="18:21">
      <c r="R77" s="858"/>
    </row>
    <row r="78" spans="18:21">
      <c r="R78" s="858"/>
    </row>
    <row r="79" spans="18:21">
      <c r="R79" s="858"/>
    </row>
    <row r="80" spans="18:21">
      <c r="R80" s="858"/>
    </row>
    <row r="81" spans="18:18">
      <c r="R81" s="858"/>
    </row>
    <row r="82" spans="18:18">
      <c r="R82" s="858"/>
    </row>
    <row r="83" spans="18:18">
      <c r="R83" s="858"/>
    </row>
  </sheetData>
  <autoFilter ref="AB1:AB37">
    <filterColumn colId="0">
      <customFilters>
        <customFilter operator="greaterThan" val="0"/>
      </customFilters>
    </filterColumn>
  </autoFilter>
  <printOptions horizontalCentered="1"/>
  <pageMargins left="0.27559055118110237" right="0.27559055118110237" top="1.5748031496062993" bottom="0.59055118110236227" header="0.39370078740157483" footer="0.70866141732283472"/>
  <pageSetup paperSize="9" scale="90" orientation="portrait" r:id="rId1"/>
  <headerFooter>
    <oddHeader>&amp;L&amp;G&amp;C&amp;G</oddHeader>
  </headerFooter>
  <ignoredErrors>
    <ignoredError sqref="AE12:AE36 AE3:AE5 AE10 P4:P5" formula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>
    <tabColor rgb="FFFF0000"/>
  </sheetPr>
  <dimension ref="A1:AD142"/>
  <sheetViews>
    <sheetView workbookViewId="0"/>
  </sheetViews>
  <sheetFormatPr defaultRowHeight="14.4" outlineLevelCol="1"/>
  <cols>
    <col min="1" max="1" width="4.6640625" style="1" customWidth="1"/>
    <col min="2" max="2" width="4.109375" style="1" customWidth="1"/>
    <col min="3" max="3" width="71.6640625" bestFit="1" customWidth="1"/>
    <col min="4" max="4" width="10.109375" bestFit="1" customWidth="1"/>
    <col min="5" max="5" width="9" bestFit="1" customWidth="1"/>
    <col min="6" max="6" width="8.88671875" bestFit="1" customWidth="1"/>
    <col min="7" max="7" width="8.6640625" bestFit="1" customWidth="1"/>
    <col min="8" max="8" width="8.5546875" bestFit="1" customWidth="1"/>
    <col min="9" max="9" width="23.5546875" bestFit="1" customWidth="1"/>
    <col min="10" max="10" width="7.33203125" bestFit="1" customWidth="1"/>
    <col min="11" max="11" width="8.44140625" bestFit="1" customWidth="1"/>
    <col min="12" max="12" width="8.6640625" bestFit="1" customWidth="1"/>
    <col min="13" max="13" width="8.5546875" bestFit="1" customWidth="1"/>
    <col min="15" max="15" width="10.109375" customWidth="1"/>
    <col min="16" max="16" width="10.5546875" bestFit="1" customWidth="1"/>
    <col min="17" max="17" width="10.5546875" customWidth="1" outlineLevel="1"/>
    <col min="18" max="18" width="9.109375" customWidth="1" outlineLevel="1"/>
    <col min="19" max="19" width="10.33203125" customWidth="1" outlineLevel="1"/>
    <col min="20" max="30" width="9.109375" customWidth="1" outlineLevel="1"/>
  </cols>
  <sheetData>
    <row r="1" spans="2:30" s="1" customFormat="1" ht="18" customHeight="1" thickBot="1">
      <c r="O1" s="255"/>
      <c r="P1" s="255"/>
      <c r="Q1" s="255"/>
    </row>
    <row r="2" spans="2:30">
      <c r="B2" s="36"/>
      <c r="C2" s="1526" t="s">
        <v>8</v>
      </c>
      <c r="D2" s="1530" t="s">
        <v>9</v>
      </c>
      <c r="E2" s="1530" t="s">
        <v>10</v>
      </c>
      <c r="F2" s="1530"/>
      <c r="G2" s="1530"/>
      <c r="H2" s="1530"/>
      <c r="I2" s="1530" t="s">
        <v>11</v>
      </c>
      <c r="J2" s="1530" t="s">
        <v>12</v>
      </c>
      <c r="K2" s="1530"/>
      <c r="L2" s="1530"/>
      <c r="M2" s="1534"/>
      <c r="O2" s="256"/>
      <c r="P2" s="256"/>
      <c r="Q2" s="256"/>
    </row>
    <row r="3" spans="2:30" ht="15" thickBot="1">
      <c r="B3" s="36"/>
      <c r="C3" s="1527"/>
      <c r="D3" s="1531"/>
      <c r="E3" s="1531" t="s">
        <v>13</v>
      </c>
      <c r="F3" s="1531"/>
      <c r="G3" s="1531"/>
      <c r="H3" s="1531"/>
      <c r="I3" s="1531"/>
      <c r="J3" s="1531" t="s">
        <v>13</v>
      </c>
      <c r="K3" s="1531"/>
      <c r="L3" s="1531"/>
      <c r="M3" s="1535"/>
    </row>
    <row r="4" spans="2:30" ht="15.75" customHeight="1" thickBot="1">
      <c r="B4" s="36"/>
      <c r="C4" s="1528"/>
      <c r="D4" s="1532"/>
      <c r="E4" s="2"/>
      <c r="F4" s="2"/>
      <c r="G4" s="2"/>
      <c r="H4" s="2"/>
      <c r="I4" s="1532"/>
      <c r="J4" s="2"/>
      <c r="K4" s="2"/>
      <c r="L4" s="2"/>
      <c r="M4" s="3"/>
      <c r="Q4" s="1572" t="s">
        <v>9</v>
      </c>
      <c r="R4" s="1567" t="s">
        <v>425</v>
      </c>
      <c r="S4" s="1568"/>
      <c r="T4" s="1568"/>
      <c r="U4" s="1568"/>
      <c r="V4" s="1568"/>
      <c r="W4" s="1568"/>
      <c r="X4" s="1568"/>
      <c r="Y4" s="1569"/>
    </row>
    <row r="5" spans="2:30" ht="26.25" customHeight="1" thickBot="1">
      <c r="B5" s="36"/>
      <c r="C5" s="1529"/>
      <c r="D5" s="1533"/>
      <c r="E5" s="4" t="s">
        <v>14</v>
      </c>
      <c r="F5" s="4" t="s">
        <v>15</v>
      </c>
      <c r="G5" s="4" t="s">
        <v>16</v>
      </c>
      <c r="H5" s="4" t="s">
        <v>17</v>
      </c>
      <c r="I5" s="1533"/>
      <c r="J5" s="4" t="s">
        <v>14</v>
      </c>
      <c r="K5" s="4" t="s">
        <v>15</v>
      </c>
      <c r="L5" s="4" t="s">
        <v>16</v>
      </c>
      <c r="M5" s="13" t="s">
        <v>17</v>
      </c>
      <c r="Q5" s="1573"/>
      <c r="R5" s="1565" t="s">
        <v>14</v>
      </c>
      <c r="S5" s="1566"/>
      <c r="T5" s="1565" t="s">
        <v>15</v>
      </c>
      <c r="U5" s="1566"/>
      <c r="V5" s="1565" t="s">
        <v>16</v>
      </c>
      <c r="W5" s="1566"/>
      <c r="X5" s="1565" t="s">
        <v>17</v>
      </c>
      <c r="Y5" s="1566"/>
      <c r="AA5" s="1570" t="str">
        <f ca="1">IF(AC6=1,R5,IF(AC6=2,T5,IF(AC6=3,V5,IF(AC6=4,X5,0))))</f>
        <v xml:space="preserve">до 1000 </v>
      </c>
      <c r="AB5" s="1571"/>
      <c r="AC5" s="341">
        <f ca="1">ROUND(IF(SUM(INDIRECT({"ТИП1";"ТИП2";"ТИП3";"ТИП4";"ТИП5";"ТИП6";"ТИП7";"ТИП8";"ТИП9";"ТИП10"}&amp;"!AF13"))&gt;0,SUM(INDIRECT({"ТИП1";"ТИП2";"ТИП3";"ТИП4";"ТИП5";"ТИП6";"ТИП7";"ТИП8";"ТИП9";"ТИП10"}&amp;"!AF13")),0),0)</f>
        <v>41</v>
      </c>
      <c r="AD5" s="341">
        <f ca="1">ROUND(IF(SUM(INDIRECT({"ТИП1";"ТИП2";"ТИП3";"ТИП4";"ТИП5";"ТИП6";"ТИП7";"ТИП8";"ТИП9";"ТИП10"}&amp;"!AE13"))&gt;0,SUM(INDIRECT({"ТИП1";"ТИП2";"ТИП3";"ТИП4";"ТИП5";"ТИП6";"ТИП7";"ТИП8";"ТИП9";"ТИП10"}&amp;"!AE13")),0),0)</f>
        <v>2</v>
      </c>
    </row>
    <row r="6" spans="2:30" ht="15.75" customHeight="1" thickBot="1">
      <c r="B6" s="36"/>
      <c r="C6" s="1539" t="s">
        <v>423</v>
      </c>
      <c r="D6" s="5">
        <v>1</v>
      </c>
      <c r="E6" s="5">
        <v>0.6</v>
      </c>
      <c r="F6" s="5">
        <v>0.8</v>
      </c>
      <c r="G6" s="5">
        <v>1</v>
      </c>
      <c r="H6" s="5">
        <v>1.2</v>
      </c>
      <c r="I6" s="5">
        <v>250</v>
      </c>
      <c r="J6" s="11">
        <v>1200</v>
      </c>
      <c r="K6" s="5">
        <v>1600</v>
      </c>
      <c r="L6" s="5">
        <v>2000</v>
      </c>
      <c r="M6" s="6">
        <v>2400</v>
      </c>
      <c r="N6" s="342"/>
      <c r="Q6" s="321">
        <v>1</v>
      </c>
      <c r="R6" s="324">
        <v>1</v>
      </c>
      <c r="S6" s="325">
        <v>29</v>
      </c>
      <c r="T6" s="330">
        <v>1</v>
      </c>
      <c r="U6" s="330">
        <v>39</v>
      </c>
      <c r="V6" s="325">
        <v>1</v>
      </c>
      <c r="W6" s="325">
        <v>79</v>
      </c>
      <c r="X6" s="330">
        <v>1</v>
      </c>
      <c r="Y6" s="333">
        <v>149</v>
      </c>
      <c r="AA6" s="338">
        <f t="shared" ref="AA6:AB8" ca="1" si="0">IF($AC$6=1,R6,IF($AC$6=2,T6,IF($AC$6=3,V6,IF($AC$6=4,X6,0))))</f>
        <v>1</v>
      </c>
      <c r="AB6" s="339">
        <f t="shared" ca="1" si="0"/>
        <v>29</v>
      </c>
      <c r="AC6" s="340">
        <f ca="1">IF(AC5=0,0,IF(AC5&lt;=1000,1,IF(AND(AC5&gt;1000,AC5&lt;=5000),2,IF(AND(AC5&gt;5000,AC5&lt;=10000),3,IF(AC5&gt;10000,4,0)))))</f>
        <v>1</v>
      </c>
      <c r="AD6" s="341">
        <f ca="1">IF(SUM(INDIRECT({"ТИП1";"ТИП2";"ТИП3";"ТИП4";"ТИП5";"ТИП6";"ТИП7";"ТИП8";"ТИП9";"ТИП10"}&amp;"!AF12"))&gt;0,SUM(INDIRECT({"ТИП1";"ТИП2";"ТИП3";"ТИП4";"ТИП5";"ТИП6";"ТИП7";"ТИП8";"ТИП9";"ТИП10"}&amp;"!AF12")),0)</f>
        <v>1</v>
      </c>
    </row>
    <row r="7" spans="2:30" ht="15" thickBot="1">
      <c r="B7" s="36"/>
      <c r="C7" s="1540"/>
      <c r="D7" s="7">
        <v>2</v>
      </c>
      <c r="E7" s="7">
        <v>0.89999999999999991</v>
      </c>
      <c r="F7" s="7">
        <v>1.2000000000000002</v>
      </c>
      <c r="G7" s="7">
        <v>1.5</v>
      </c>
      <c r="H7" s="7">
        <v>1.7999999999999998</v>
      </c>
      <c r="I7" s="5">
        <v>250</v>
      </c>
      <c r="J7" s="7">
        <v>1799.9999999999998</v>
      </c>
      <c r="K7" s="7">
        <v>2400.0000000000005</v>
      </c>
      <c r="L7" s="7">
        <v>3000</v>
      </c>
      <c r="M7" s="8">
        <v>3599.9999999999995</v>
      </c>
      <c r="N7" s="263"/>
      <c r="O7" s="264">
        <v>0.5</v>
      </c>
      <c r="Q7" s="322">
        <v>2</v>
      </c>
      <c r="R7" s="326">
        <v>30</v>
      </c>
      <c r="S7" s="327">
        <v>69</v>
      </c>
      <c r="T7" s="331">
        <v>40</v>
      </c>
      <c r="U7" s="331">
        <v>149</v>
      </c>
      <c r="V7" s="327">
        <v>80</v>
      </c>
      <c r="W7" s="327">
        <v>199</v>
      </c>
      <c r="X7" s="331">
        <v>150</v>
      </c>
      <c r="Y7" s="334">
        <v>349</v>
      </c>
      <c r="AA7" s="326">
        <f t="shared" ca="1" si="0"/>
        <v>30</v>
      </c>
      <c r="AB7" s="336">
        <f t="shared" ca="1" si="0"/>
        <v>69</v>
      </c>
      <c r="AC7" s="340">
        <f ca="1">IF(AD5=0,0,IF(AD5&lt;=AB6,1,IF(AND(AD5&gt;=AA7,AD5&lt;=AB7),2,IF(AD5&gt;=AA8,3,0))))</f>
        <v>1</v>
      </c>
    </row>
    <row r="8" spans="2:30" ht="15" thickBot="1">
      <c r="B8" s="36"/>
      <c r="C8" s="1541"/>
      <c r="D8" s="9">
        <v>3</v>
      </c>
      <c r="E8" s="9">
        <v>1.2</v>
      </c>
      <c r="F8" s="9">
        <v>1.6</v>
      </c>
      <c r="G8" s="9">
        <v>2</v>
      </c>
      <c r="H8" s="9">
        <v>2.4</v>
      </c>
      <c r="I8" s="5">
        <v>250</v>
      </c>
      <c r="J8" s="9">
        <v>2400</v>
      </c>
      <c r="K8" s="9">
        <v>3200</v>
      </c>
      <c r="L8" s="9">
        <v>4000</v>
      </c>
      <c r="M8" s="10">
        <v>4800</v>
      </c>
      <c r="Q8" s="323">
        <v>3</v>
      </c>
      <c r="R8" s="328">
        <v>70</v>
      </c>
      <c r="S8" s="329" t="s">
        <v>424</v>
      </c>
      <c r="T8" s="332">
        <v>150</v>
      </c>
      <c r="U8" s="332" t="s">
        <v>424</v>
      </c>
      <c r="V8" s="329">
        <v>200</v>
      </c>
      <c r="W8" s="329" t="s">
        <v>424</v>
      </c>
      <c r="X8" s="332">
        <v>350</v>
      </c>
      <c r="Y8" s="335" t="s">
        <v>424</v>
      </c>
      <c r="AA8" s="328">
        <f t="shared" ca="1" si="0"/>
        <v>70</v>
      </c>
      <c r="AB8" s="337" t="str">
        <f t="shared" ca="1" si="0"/>
        <v>+</v>
      </c>
      <c r="AC8" s="340">
        <f ca="1">IF(OR(AC6=0,AC7=0),0,INDEX(J6:M8,AC7,AC6))</f>
        <v>1200</v>
      </c>
    </row>
    <row r="9" spans="2:30" ht="15.75" hidden="1" customHeight="1" thickBot="1">
      <c r="B9" s="36"/>
      <c r="C9" s="1542" t="s">
        <v>5</v>
      </c>
      <c r="D9" s="314">
        <v>1</v>
      </c>
      <c r="E9" s="314">
        <v>0.8</v>
      </c>
      <c r="F9" s="314">
        <v>1.1000000000000001</v>
      </c>
      <c r="G9" s="314">
        <v>1.2</v>
      </c>
      <c r="H9" s="314">
        <v>1.4</v>
      </c>
      <c r="I9" s="314">
        <v>250</v>
      </c>
      <c r="J9" s="314">
        <v>1600</v>
      </c>
      <c r="K9" s="314">
        <v>2200</v>
      </c>
      <c r="L9" s="314">
        <v>2400</v>
      </c>
      <c r="M9" s="315">
        <v>2800</v>
      </c>
      <c r="N9" s="294"/>
      <c r="O9" s="294"/>
      <c r="P9" s="1"/>
    </row>
    <row r="10" spans="2:30" ht="15" hidden="1" thickBot="1">
      <c r="B10" s="36"/>
      <c r="C10" s="1543"/>
      <c r="D10" s="316">
        <v>2</v>
      </c>
      <c r="E10" s="316">
        <f>E9*1.5</f>
        <v>1.2000000000000002</v>
      </c>
      <c r="F10" s="316">
        <f>F9*1.5</f>
        <v>1.6500000000000001</v>
      </c>
      <c r="G10" s="316">
        <f>G9*1.5</f>
        <v>1.7999999999999998</v>
      </c>
      <c r="H10" s="316">
        <f>H9*1.5</f>
        <v>2.0999999999999996</v>
      </c>
      <c r="I10" s="314">
        <v>250</v>
      </c>
      <c r="J10" s="316">
        <v>2400.0000000000005</v>
      </c>
      <c r="K10" s="316">
        <v>3300.0000000000005</v>
      </c>
      <c r="L10" s="316">
        <v>3599.9999999999995</v>
      </c>
      <c r="M10" s="317">
        <v>4199.9999999999991</v>
      </c>
      <c r="N10" s="294"/>
      <c r="O10" s="318">
        <v>0.5</v>
      </c>
      <c r="P10" s="1"/>
    </row>
    <row r="11" spans="2:30" ht="15" hidden="1" thickBot="1">
      <c r="B11" s="36"/>
      <c r="C11" s="1544"/>
      <c r="D11" s="319">
        <v>3</v>
      </c>
      <c r="E11" s="319">
        <f>E9*2</f>
        <v>1.6</v>
      </c>
      <c r="F11" s="319">
        <f>F9*2</f>
        <v>2.2000000000000002</v>
      </c>
      <c r="G11" s="319">
        <f>G9*2</f>
        <v>2.4</v>
      </c>
      <c r="H11" s="319">
        <f>H9*2</f>
        <v>2.8</v>
      </c>
      <c r="I11" s="314">
        <v>250</v>
      </c>
      <c r="J11" s="319">
        <v>3200</v>
      </c>
      <c r="K11" s="319">
        <v>4400</v>
      </c>
      <c r="L11" s="319">
        <v>4800</v>
      </c>
      <c r="M11" s="320">
        <v>5600</v>
      </c>
      <c r="N11" s="294"/>
      <c r="O11" s="294"/>
      <c r="P11" s="1"/>
    </row>
    <row r="12" spans="2:30" ht="15" hidden="1" thickBot="1">
      <c r="B12" s="36"/>
      <c r="C12" s="1542" t="s">
        <v>18</v>
      </c>
      <c r="D12" s="314">
        <v>1</v>
      </c>
      <c r="E12" s="314">
        <f>0.7</f>
        <v>0.7</v>
      </c>
      <c r="F12" s="314">
        <v>0.9</v>
      </c>
      <c r="G12" s="314">
        <v>1.1000000000000001</v>
      </c>
      <c r="H12" s="314">
        <v>1.3</v>
      </c>
      <c r="I12" s="314">
        <v>250</v>
      </c>
      <c r="J12" s="314">
        <v>1400</v>
      </c>
      <c r="K12" s="314">
        <v>1800</v>
      </c>
      <c r="L12" s="314">
        <v>2200</v>
      </c>
      <c r="M12" s="315">
        <v>2600</v>
      </c>
      <c r="N12" s="294"/>
      <c r="O12" s="294"/>
      <c r="P12" s="1"/>
    </row>
    <row r="13" spans="2:30" ht="15" hidden="1" thickBot="1">
      <c r="B13" s="36"/>
      <c r="C13" s="1543"/>
      <c r="D13" s="316">
        <v>2</v>
      </c>
      <c r="E13" s="316">
        <f>E12*1.5</f>
        <v>1.0499999999999998</v>
      </c>
      <c r="F13" s="316">
        <f>F12*1.5</f>
        <v>1.35</v>
      </c>
      <c r="G13" s="316">
        <f>G12*1.5</f>
        <v>1.6500000000000001</v>
      </c>
      <c r="H13" s="316">
        <f>H12*1.5</f>
        <v>1.9500000000000002</v>
      </c>
      <c r="I13" s="314">
        <v>250</v>
      </c>
      <c r="J13" s="316">
        <v>2099.9999999999995</v>
      </c>
      <c r="K13" s="316">
        <v>2700</v>
      </c>
      <c r="L13" s="316">
        <v>3300.0000000000005</v>
      </c>
      <c r="M13" s="317">
        <v>3900.0000000000005</v>
      </c>
      <c r="N13" s="294"/>
      <c r="O13" s="318">
        <v>0.5</v>
      </c>
      <c r="P13" s="1"/>
      <c r="R13" s="1"/>
      <c r="S13" s="1"/>
      <c r="T13" s="1"/>
      <c r="W13" s="1"/>
      <c r="X13" s="1"/>
      <c r="Y13" s="1"/>
    </row>
    <row r="14" spans="2:30" ht="15" hidden="1" thickBot="1">
      <c r="B14" s="36"/>
      <c r="C14" s="1544"/>
      <c r="D14" s="319">
        <v>3</v>
      </c>
      <c r="E14" s="319">
        <f>E12*2</f>
        <v>1.4</v>
      </c>
      <c r="F14" s="319">
        <f>F12*2</f>
        <v>1.8</v>
      </c>
      <c r="G14" s="319">
        <f>G12*2</f>
        <v>2.2000000000000002</v>
      </c>
      <c r="H14" s="319">
        <f>H12*2</f>
        <v>2.6</v>
      </c>
      <c r="I14" s="314">
        <v>250</v>
      </c>
      <c r="J14" s="319">
        <v>2800</v>
      </c>
      <c r="K14" s="319">
        <v>3600</v>
      </c>
      <c r="L14" s="319">
        <v>4400</v>
      </c>
      <c r="M14" s="320">
        <v>5200</v>
      </c>
      <c r="N14" s="294"/>
      <c r="O14" s="294"/>
      <c r="P14" s="1"/>
      <c r="Q14" s="1"/>
      <c r="R14" s="1"/>
      <c r="S14" s="1"/>
      <c r="T14" s="1"/>
      <c r="V14" s="1"/>
      <c r="W14" s="1"/>
      <c r="X14" s="1"/>
      <c r="Y14" s="1"/>
    </row>
    <row r="15" spans="2:30" ht="15" hidden="1" thickBot="1">
      <c r="B15" s="36"/>
      <c r="C15" s="1542" t="s">
        <v>19</v>
      </c>
      <c r="D15" s="314">
        <v>1</v>
      </c>
      <c r="E15" s="314">
        <f>0.9</f>
        <v>0.9</v>
      </c>
      <c r="F15" s="314">
        <v>1.2</v>
      </c>
      <c r="G15" s="314">
        <v>1.3</v>
      </c>
      <c r="H15" s="314">
        <v>1.5</v>
      </c>
      <c r="I15" s="314">
        <v>250</v>
      </c>
      <c r="J15" s="314">
        <v>1800</v>
      </c>
      <c r="K15" s="314">
        <v>2400</v>
      </c>
      <c r="L15" s="314">
        <v>2600</v>
      </c>
      <c r="M15" s="315">
        <v>3000</v>
      </c>
      <c r="N15" s="294"/>
      <c r="O15" s="294"/>
      <c r="P15" s="1"/>
      <c r="Q15" s="1"/>
      <c r="R15" s="1"/>
      <c r="S15" s="1"/>
      <c r="T15" s="1"/>
      <c r="V15" s="1"/>
      <c r="W15" s="1"/>
      <c r="X15" s="1"/>
      <c r="Y15" s="1"/>
    </row>
    <row r="16" spans="2:30" ht="15" hidden="1" thickBot="1">
      <c r="B16" s="36"/>
      <c r="C16" s="1543"/>
      <c r="D16" s="316">
        <v>2</v>
      </c>
      <c r="E16" s="316">
        <f>E15*1.5</f>
        <v>1.35</v>
      </c>
      <c r="F16" s="316">
        <f>F15*1.5</f>
        <v>1.7999999999999998</v>
      </c>
      <c r="G16" s="316">
        <f>G15*1.5</f>
        <v>1.9500000000000002</v>
      </c>
      <c r="H16" s="316">
        <f>H15*1.5</f>
        <v>2.25</v>
      </c>
      <c r="I16" s="314">
        <v>250</v>
      </c>
      <c r="J16" s="316">
        <v>2700</v>
      </c>
      <c r="K16" s="316">
        <v>3599.9999999999995</v>
      </c>
      <c r="L16" s="316">
        <v>3900.0000000000005</v>
      </c>
      <c r="M16" s="317">
        <v>4500</v>
      </c>
      <c r="N16" s="294"/>
      <c r="O16" s="318">
        <v>0.5</v>
      </c>
      <c r="P16" s="1"/>
    </row>
    <row r="17" spans="2:20" ht="15" hidden="1" thickBot="1">
      <c r="B17" s="36"/>
      <c r="C17" s="1544"/>
      <c r="D17" s="319">
        <v>3</v>
      </c>
      <c r="E17" s="319">
        <f>E15*2</f>
        <v>1.8</v>
      </c>
      <c r="F17" s="319">
        <f>F15*2</f>
        <v>2.4</v>
      </c>
      <c r="G17" s="319">
        <f>G15*2</f>
        <v>2.6</v>
      </c>
      <c r="H17" s="319">
        <f>H15*2</f>
        <v>3</v>
      </c>
      <c r="I17" s="314">
        <v>250</v>
      </c>
      <c r="J17" s="319">
        <v>3600</v>
      </c>
      <c r="K17" s="319">
        <v>4800</v>
      </c>
      <c r="L17" s="319">
        <v>5200</v>
      </c>
      <c r="M17" s="320">
        <v>6000</v>
      </c>
      <c r="N17" s="294"/>
      <c r="O17" s="294"/>
      <c r="P17" s="1"/>
    </row>
    <row r="18" spans="2:20" ht="15" thickBot="1">
      <c r="B18" s="36"/>
      <c r="C18" s="1539" t="s">
        <v>62</v>
      </c>
      <c r="D18" s="5">
        <v>1</v>
      </c>
      <c r="E18" s="5">
        <v>0.6</v>
      </c>
      <c r="F18" s="5">
        <v>0.8</v>
      </c>
      <c r="G18" s="5">
        <v>1</v>
      </c>
      <c r="H18" s="5">
        <v>1.2</v>
      </c>
      <c r="I18" s="5">
        <v>250</v>
      </c>
      <c r="J18" s="5">
        <v>1200</v>
      </c>
      <c r="K18" s="5">
        <v>1600</v>
      </c>
      <c r="L18" s="5">
        <v>2000</v>
      </c>
      <c r="M18" s="6">
        <v>2400</v>
      </c>
    </row>
    <row r="19" spans="2:20" ht="15" thickBot="1">
      <c r="B19" s="36"/>
      <c r="C19" s="1540"/>
      <c r="D19" s="7">
        <v>2</v>
      </c>
      <c r="E19" s="7">
        <f>E18*1.5</f>
        <v>0.89999999999999991</v>
      </c>
      <c r="F19" s="7">
        <f>F18*1.5</f>
        <v>1.2000000000000002</v>
      </c>
      <c r="G19" s="7">
        <f>G18*1.5</f>
        <v>1.5</v>
      </c>
      <c r="H19" s="7">
        <f>H18*1.5</f>
        <v>1.7999999999999998</v>
      </c>
      <c r="I19" s="5">
        <v>250</v>
      </c>
      <c r="J19" s="7">
        <v>1799.9999999999998</v>
      </c>
      <c r="K19" s="7">
        <v>2400.0000000000005</v>
      </c>
      <c r="L19" s="7">
        <v>3000</v>
      </c>
      <c r="M19" s="8">
        <v>3599.9999999999995</v>
      </c>
      <c r="O19" s="264">
        <v>0.5</v>
      </c>
    </row>
    <row r="20" spans="2:20" ht="15" thickBot="1">
      <c r="B20" s="36"/>
      <c r="C20" s="1541"/>
      <c r="D20" s="9">
        <v>3</v>
      </c>
      <c r="E20" s="9">
        <f>E18*2</f>
        <v>1.2</v>
      </c>
      <c r="F20" s="9">
        <f>F18*2</f>
        <v>1.6</v>
      </c>
      <c r="G20" s="9">
        <f>G18*2</f>
        <v>2</v>
      </c>
      <c r="H20" s="9">
        <f>H18*2</f>
        <v>2.4</v>
      </c>
      <c r="I20" s="5">
        <v>250</v>
      </c>
      <c r="J20" s="9">
        <v>2400</v>
      </c>
      <c r="K20" s="9">
        <v>3200</v>
      </c>
      <c r="L20" s="9">
        <v>4000</v>
      </c>
      <c r="M20" s="10">
        <v>4800</v>
      </c>
    </row>
    <row r="21" spans="2:20" s="1" customFormat="1" ht="15" thickBot="1">
      <c r="B21" s="36"/>
      <c r="C21" s="1539" t="s">
        <v>63</v>
      </c>
      <c r="D21" s="5">
        <v>1</v>
      </c>
      <c r="E21" s="5">
        <v>0.6</v>
      </c>
      <c r="F21" s="5">
        <v>0.8</v>
      </c>
      <c r="G21" s="5">
        <v>1</v>
      </c>
      <c r="H21" s="5">
        <v>1.2</v>
      </c>
      <c r="I21" s="5">
        <v>250</v>
      </c>
      <c r="J21" s="5">
        <v>1200</v>
      </c>
      <c r="K21" s="5">
        <v>1600</v>
      </c>
      <c r="L21" s="5">
        <v>2000</v>
      </c>
      <c r="M21" s="6">
        <v>2400</v>
      </c>
      <c r="T21"/>
    </row>
    <row r="22" spans="2:20" s="1" customFormat="1" ht="15" thickBot="1">
      <c r="B22" s="36"/>
      <c r="C22" s="1540"/>
      <c r="D22" s="7">
        <v>2</v>
      </c>
      <c r="E22" s="7">
        <f>E21*1.5</f>
        <v>0.89999999999999991</v>
      </c>
      <c r="F22" s="7">
        <f>F21*1.5</f>
        <v>1.2000000000000002</v>
      </c>
      <c r="G22" s="7">
        <f>G21*1.5</f>
        <v>1.5</v>
      </c>
      <c r="H22" s="7">
        <f>H21*1.5</f>
        <v>1.7999999999999998</v>
      </c>
      <c r="I22" s="5">
        <v>250</v>
      </c>
      <c r="J22" s="7">
        <v>1799.9999999999998</v>
      </c>
      <c r="K22" s="7">
        <v>2400.0000000000005</v>
      </c>
      <c r="L22" s="7">
        <v>3000</v>
      </c>
      <c r="M22" s="8">
        <v>3599.9999999999995</v>
      </c>
      <c r="O22" s="264">
        <v>0.5</v>
      </c>
    </row>
    <row r="23" spans="2:20" s="1" customFormat="1" ht="15" thickBot="1">
      <c r="B23" s="36"/>
      <c r="C23" s="1541"/>
      <c r="D23" s="9">
        <v>3</v>
      </c>
      <c r="E23" s="9">
        <f>E21*2</f>
        <v>1.2</v>
      </c>
      <c r="F23" s="9">
        <f>F21*2</f>
        <v>1.6</v>
      </c>
      <c r="G23" s="9">
        <f>G21*2</f>
        <v>2</v>
      </c>
      <c r="H23" s="9">
        <f>H21*2</f>
        <v>2.4</v>
      </c>
      <c r="I23" s="5">
        <v>250</v>
      </c>
      <c r="J23" s="9">
        <v>2400</v>
      </c>
      <c r="K23" s="9">
        <v>3200</v>
      </c>
      <c r="L23" s="9">
        <v>4000</v>
      </c>
      <c r="M23" s="10">
        <v>4800</v>
      </c>
    </row>
    <row r="24" spans="2:20" ht="15" thickBot="1">
      <c r="B24" s="36"/>
      <c r="C24" s="1539" t="s">
        <v>0</v>
      </c>
      <c r="D24" s="5">
        <v>1</v>
      </c>
      <c r="E24" s="5">
        <v>0.5</v>
      </c>
      <c r="F24" s="5">
        <v>0.5</v>
      </c>
      <c r="G24" s="5">
        <v>0.5</v>
      </c>
      <c r="H24" s="5">
        <v>0.5</v>
      </c>
      <c r="I24" s="5">
        <v>250</v>
      </c>
      <c r="J24" s="5">
        <v>2000</v>
      </c>
      <c r="K24" s="5">
        <v>2000</v>
      </c>
      <c r="L24" s="5">
        <v>2000</v>
      </c>
      <c r="M24" s="6">
        <v>2000</v>
      </c>
    </row>
    <row r="25" spans="2:20" ht="15" thickBot="1">
      <c r="B25" s="36"/>
      <c r="C25" s="1540"/>
      <c r="D25" s="7">
        <v>2</v>
      </c>
      <c r="E25" s="7">
        <f>E24*1.5</f>
        <v>0.75</v>
      </c>
      <c r="F25" s="7">
        <f>F24*1.5</f>
        <v>0.75</v>
      </c>
      <c r="G25" s="7">
        <f>G24*1.5</f>
        <v>0.75</v>
      </c>
      <c r="H25" s="7">
        <f>H24*1.5</f>
        <v>0.75</v>
      </c>
      <c r="I25" s="5">
        <v>250</v>
      </c>
      <c r="J25" s="7">
        <v>3000</v>
      </c>
      <c r="K25" s="7">
        <v>3000</v>
      </c>
      <c r="L25" s="7">
        <v>3000</v>
      </c>
      <c r="M25" s="8">
        <v>3000</v>
      </c>
      <c r="O25" s="264">
        <v>0.25</v>
      </c>
    </row>
    <row r="26" spans="2:20" ht="15" thickBot="1">
      <c r="B26" s="36"/>
      <c r="C26" s="1541"/>
      <c r="D26" s="9">
        <v>3</v>
      </c>
      <c r="E26" s="9">
        <f>E24*2</f>
        <v>1</v>
      </c>
      <c r="F26" s="9">
        <f>F24*2</f>
        <v>1</v>
      </c>
      <c r="G26" s="9">
        <f>G24*2</f>
        <v>1</v>
      </c>
      <c r="H26" s="9">
        <f>H24*2</f>
        <v>1</v>
      </c>
      <c r="I26" s="5">
        <v>250</v>
      </c>
      <c r="J26" s="9">
        <v>4000</v>
      </c>
      <c r="K26" s="9">
        <v>4000</v>
      </c>
      <c r="L26" s="9">
        <v>4000</v>
      </c>
      <c r="M26" s="10">
        <v>4000</v>
      </c>
    </row>
    <row r="27" spans="2:20" ht="15" thickBot="1">
      <c r="B27" s="36"/>
      <c r="C27" s="1539" t="s">
        <v>20</v>
      </c>
      <c r="D27" s="5">
        <v>1</v>
      </c>
      <c r="E27" s="5">
        <v>0.6</v>
      </c>
      <c r="F27" s="5">
        <v>0.8</v>
      </c>
      <c r="G27" s="5">
        <v>1</v>
      </c>
      <c r="H27" s="5">
        <v>2</v>
      </c>
      <c r="I27" s="5">
        <v>250</v>
      </c>
      <c r="J27" s="5">
        <v>1200</v>
      </c>
      <c r="K27" s="5">
        <v>1600</v>
      </c>
      <c r="L27" s="5">
        <v>2000</v>
      </c>
      <c r="M27" s="6">
        <v>4000</v>
      </c>
    </row>
    <row r="28" spans="2:20" ht="15" thickBot="1">
      <c r="B28" s="36"/>
      <c r="C28" s="1540"/>
      <c r="D28" s="7">
        <v>2</v>
      </c>
      <c r="E28" s="7">
        <f>E27*1.5</f>
        <v>0.89999999999999991</v>
      </c>
      <c r="F28" s="7">
        <f>F27*1.5</f>
        <v>1.2000000000000002</v>
      </c>
      <c r="G28" s="7">
        <f>G27*1.5</f>
        <v>1.5</v>
      </c>
      <c r="H28" s="7">
        <f>H27*1.5</f>
        <v>3</v>
      </c>
      <c r="I28" s="5">
        <v>250</v>
      </c>
      <c r="J28" s="7">
        <v>1799.9999999999998</v>
      </c>
      <c r="K28" s="7">
        <v>2400.0000000000005</v>
      </c>
      <c r="L28" s="7">
        <v>3000</v>
      </c>
      <c r="M28" s="8">
        <v>6000</v>
      </c>
      <c r="O28" s="264">
        <v>0.5</v>
      </c>
    </row>
    <row r="29" spans="2:20" ht="15" thickBot="1">
      <c r="B29" s="36"/>
      <c r="C29" s="1541"/>
      <c r="D29" s="9">
        <v>3</v>
      </c>
      <c r="E29" s="9">
        <f>E27*2</f>
        <v>1.2</v>
      </c>
      <c r="F29" s="9">
        <f>F27*2</f>
        <v>1.6</v>
      </c>
      <c r="G29" s="9">
        <f>G27*2</f>
        <v>2</v>
      </c>
      <c r="H29" s="9">
        <f>H27*2</f>
        <v>4</v>
      </c>
      <c r="I29" s="5">
        <v>250</v>
      </c>
      <c r="J29" s="9">
        <v>2400</v>
      </c>
      <c r="K29" s="9">
        <v>3200</v>
      </c>
      <c r="L29" s="9">
        <v>4000</v>
      </c>
      <c r="M29" s="10">
        <v>8000</v>
      </c>
    </row>
    <row r="30" spans="2:20" ht="15" thickBot="1">
      <c r="B30" s="36"/>
      <c r="C30" s="1539" t="s">
        <v>21</v>
      </c>
      <c r="D30" s="5">
        <v>1</v>
      </c>
      <c r="E30" s="5">
        <v>0.7</v>
      </c>
      <c r="F30" s="5">
        <v>1.2</v>
      </c>
      <c r="G30" s="5">
        <v>1.5</v>
      </c>
      <c r="H30" s="5">
        <v>2</v>
      </c>
      <c r="I30" s="5">
        <v>250</v>
      </c>
      <c r="J30" s="5">
        <v>1400</v>
      </c>
      <c r="K30" s="5">
        <v>2400</v>
      </c>
      <c r="L30" s="5">
        <v>3000</v>
      </c>
      <c r="M30" s="6">
        <v>4000</v>
      </c>
    </row>
    <row r="31" spans="2:20" ht="15" thickBot="1">
      <c r="B31" s="36"/>
      <c r="C31" s="1540"/>
      <c r="D31" s="7">
        <v>2</v>
      </c>
      <c r="E31" s="7">
        <f>E30*1.5</f>
        <v>1.0499999999999998</v>
      </c>
      <c r="F31" s="7">
        <f>F30*1.5</f>
        <v>1.7999999999999998</v>
      </c>
      <c r="G31" s="7">
        <f>G30*1.5</f>
        <v>2.25</v>
      </c>
      <c r="H31" s="7">
        <f>H30*1.5</f>
        <v>3</v>
      </c>
      <c r="I31" s="5">
        <v>250</v>
      </c>
      <c r="J31" s="7">
        <v>2099.9999999999995</v>
      </c>
      <c r="K31" s="7">
        <v>3599.9999999999995</v>
      </c>
      <c r="L31" s="7">
        <v>4500</v>
      </c>
      <c r="M31" s="8">
        <v>6000</v>
      </c>
      <c r="O31" s="264">
        <v>0.5</v>
      </c>
    </row>
    <row r="32" spans="2:20" ht="15" thickBot="1">
      <c r="B32" s="36"/>
      <c r="C32" s="1541"/>
      <c r="D32" s="9">
        <v>3</v>
      </c>
      <c r="E32" s="9">
        <f>E30*2</f>
        <v>1.4</v>
      </c>
      <c r="F32" s="9">
        <f>F30*2</f>
        <v>2.4</v>
      </c>
      <c r="G32" s="9">
        <f>G30*2</f>
        <v>3</v>
      </c>
      <c r="H32" s="9">
        <f>H30*2</f>
        <v>4</v>
      </c>
      <c r="I32" s="5">
        <v>250</v>
      </c>
      <c r="J32" s="9">
        <v>2800</v>
      </c>
      <c r="K32" s="9">
        <v>4800</v>
      </c>
      <c r="L32" s="9">
        <v>6000</v>
      </c>
      <c r="M32" s="10">
        <v>8000</v>
      </c>
    </row>
    <row r="33" spans="2:15" ht="15" thickBot="1">
      <c r="B33" s="36"/>
      <c r="C33" s="1539" t="s">
        <v>22</v>
      </c>
      <c r="D33" s="5">
        <v>1</v>
      </c>
      <c r="E33" s="5">
        <v>0.6</v>
      </c>
      <c r="F33" s="5">
        <v>0.8</v>
      </c>
      <c r="G33" s="5">
        <v>1</v>
      </c>
      <c r="H33" s="5">
        <v>2</v>
      </c>
      <c r="I33" s="5">
        <v>250</v>
      </c>
      <c r="J33" s="11">
        <v>780</v>
      </c>
      <c r="K33" s="11">
        <v>1040</v>
      </c>
      <c r="L33" s="11">
        <v>1300</v>
      </c>
      <c r="M33" s="12">
        <v>2600</v>
      </c>
    </row>
    <row r="34" spans="2:15" ht="15" thickBot="1">
      <c r="B34" s="36"/>
      <c r="C34" s="1540"/>
      <c r="D34" s="7">
        <v>2</v>
      </c>
      <c r="E34" s="7">
        <f>E33*1.5</f>
        <v>0.89999999999999991</v>
      </c>
      <c r="F34" s="7">
        <f>F33*1.5</f>
        <v>1.2000000000000002</v>
      </c>
      <c r="G34" s="7">
        <f>G33*1.5</f>
        <v>1.5</v>
      </c>
      <c r="H34" s="7">
        <f>H33*1.5</f>
        <v>3</v>
      </c>
      <c r="I34" s="5">
        <v>250</v>
      </c>
      <c r="J34" s="7">
        <v>1170</v>
      </c>
      <c r="K34" s="7">
        <v>1560.0000000000005</v>
      </c>
      <c r="L34" s="7">
        <v>1950</v>
      </c>
      <c r="M34" s="8">
        <v>3900</v>
      </c>
      <c r="O34" s="264">
        <v>0.5</v>
      </c>
    </row>
    <row r="35" spans="2:15" ht="15" thickBot="1">
      <c r="B35" s="36"/>
      <c r="C35" s="1553"/>
      <c r="D35" s="193">
        <v>3</v>
      </c>
      <c r="E35" s="193">
        <f>E33*2</f>
        <v>1.2</v>
      </c>
      <c r="F35" s="193">
        <f>F33*2</f>
        <v>1.6</v>
      </c>
      <c r="G35" s="193">
        <f>G33*2</f>
        <v>2</v>
      </c>
      <c r="H35" s="193">
        <f>H33*2</f>
        <v>4</v>
      </c>
      <c r="I35" s="194">
        <v>250</v>
      </c>
      <c r="J35" s="193">
        <v>1560</v>
      </c>
      <c r="K35" s="193">
        <v>2080</v>
      </c>
      <c r="L35" s="193">
        <v>2600</v>
      </c>
      <c r="M35" s="196">
        <v>5200</v>
      </c>
    </row>
    <row r="36" spans="2:15">
      <c r="B36" s="36"/>
      <c r="C36" s="1545" t="s">
        <v>23</v>
      </c>
      <c r="D36" s="5">
        <v>1</v>
      </c>
      <c r="E36" s="5">
        <v>0.6</v>
      </c>
      <c r="F36" s="5">
        <v>0.8</v>
      </c>
      <c r="G36" s="5">
        <v>1</v>
      </c>
      <c r="H36" s="5">
        <v>1.8</v>
      </c>
      <c r="I36" s="5">
        <v>250</v>
      </c>
      <c r="J36" s="11">
        <v>1200</v>
      </c>
      <c r="K36" s="11">
        <v>1600</v>
      </c>
      <c r="L36" s="11">
        <v>2000</v>
      </c>
      <c r="M36" s="12">
        <v>3600</v>
      </c>
    </row>
    <row r="37" spans="2:15">
      <c r="B37" s="36"/>
      <c r="C37" s="1546"/>
      <c r="D37" s="192">
        <v>2</v>
      </c>
      <c r="E37" s="192">
        <f>E36*1.5</f>
        <v>0.89999999999999991</v>
      </c>
      <c r="F37" s="192">
        <f>F36*1.5</f>
        <v>1.2000000000000002</v>
      </c>
      <c r="G37" s="192">
        <f>G36*1.5</f>
        <v>1.5</v>
      </c>
      <c r="H37" s="192">
        <f>H36*1.5</f>
        <v>2.7</v>
      </c>
      <c r="I37" s="192">
        <v>250</v>
      </c>
      <c r="J37" s="192">
        <v>1799.9999999999998</v>
      </c>
      <c r="K37" s="192">
        <v>2400.0000000000005</v>
      </c>
      <c r="L37" s="192">
        <v>3000</v>
      </c>
      <c r="M37" s="197">
        <v>5400</v>
      </c>
      <c r="O37" s="264">
        <v>0.5</v>
      </c>
    </row>
    <row r="38" spans="2:15" ht="15" thickBot="1">
      <c r="B38" s="36"/>
      <c r="C38" s="1547"/>
      <c r="D38" s="198">
        <v>3</v>
      </c>
      <c r="E38" s="198">
        <f>E36*2</f>
        <v>1.2</v>
      </c>
      <c r="F38" s="198">
        <f>F36*2</f>
        <v>1.6</v>
      </c>
      <c r="G38" s="198">
        <f>G36*2</f>
        <v>2</v>
      </c>
      <c r="H38" s="198">
        <f>H36*2</f>
        <v>3.6</v>
      </c>
      <c r="I38" s="198">
        <v>250</v>
      </c>
      <c r="J38" s="198">
        <v>2400</v>
      </c>
      <c r="K38" s="198">
        <v>3200</v>
      </c>
      <c r="L38" s="198">
        <v>4000</v>
      </c>
      <c r="M38" s="199">
        <v>7200</v>
      </c>
    </row>
    <row r="39" spans="2:15" s="1" customFormat="1">
      <c r="B39" s="36"/>
      <c r="C39" s="1545" t="s">
        <v>259</v>
      </c>
      <c r="D39" s="5">
        <v>1</v>
      </c>
      <c r="E39" s="5">
        <v>0.5</v>
      </c>
      <c r="F39" s="5">
        <v>0.5</v>
      </c>
      <c r="G39" s="5">
        <v>0.5</v>
      </c>
      <c r="H39" s="5">
        <v>0.5</v>
      </c>
      <c r="I39" s="5">
        <v>250</v>
      </c>
      <c r="J39" s="11">
        <v>1000</v>
      </c>
      <c r="K39" s="11">
        <v>1000</v>
      </c>
      <c r="L39" s="11">
        <v>1000</v>
      </c>
      <c r="M39" s="12">
        <v>1000</v>
      </c>
    </row>
    <row r="40" spans="2:15" s="1" customFormat="1">
      <c r="B40" s="36"/>
      <c r="C40" s="1546"/>
      <c r="D40" s="192">
        <v>2</v>
      </c>
      <c r="E40" s="192">
        <v>1</v>
      </c>
      <c r="F40" s="192">
        <v>1</v>
      </c>
      <c r="G40" s="192">
        <v>1</v>
      </c>
      <c r="H40" s="192">
        <v>1</v>
      </c>
      <c r="I40" s="192">
        <v>250</v>
      </c>
      <c r="J40" s="192">
        <v>2000</v>
      </c>
      <c r="K40" s="192">
        <v>2000</v>
      </c>
      <c r="L40" s="192">
        <v>2000</v>
      </c>
      <c r="M40" s="197">
        <v>2000</v>
      </c>
      <c r="O40" s="264">
        <v>0.5</v>
      </c>
    </row>
    <row r="41" spans="2:15" s="1" customFormat="1" ht="15" thickBot="1">
      <c r="B41" s="36"/>
      <c r="C41" s="1547"/>
      <c r="D41" s="198">
        <v>3</v>
      </c>
      <c r="E41" s="198">
        <v>2</v>
      </c>
      <c r="F41" s="198">
        <v>2</v>
      </c>
      <c r="G41" s="198">
        <v>2</v>
      </c>
      <c r="H41" s="198">
        <v>2</v>
      </c>
      <c r="I41" s="198">
        <v>250</v>
      </c>
      <c r="J41" s="198">
        <v>4000</v>
      </c>
      <c r="K41" s="198">
        <v>4000</v>
      </c>
      <c r="L41" s="198">
        <v>4000</v>
      </c>
      <c r="M41" s="199">
        <v>4000</v>
      </c>
    </row>
    <row r="42" spans="2:15" s="1" customFormat="1">
      <c r="B42" s="36"/>
      <c r="C42" s="1545" t="s">
        <v>273</v>
      </c>
      <c r="D42" s="5">
        <v>1</v>
      </c>
      <c r="E42" s="200">
        <v>1.5</v>
      </c>
      <c r="F42" s="200">
        <v>2</v>
      </c>
      <c r="G42" s="200">
        <v>2.8</v>
      </c>
      <c r="H42" s="200">
        <v>3.5</v>
      </c>
      <c r="I42" s="5">
        <v>250</v>
      </c>
      <c r="J42" s="5">
        <v>6000</v>
      </c>
      <c r="K42" s="5">
        <v>8000</v>
      </c>
      <c r="L42" s="5">
        <v>11200</v>
      </c>
      <c r="M42" s="6">
        <v>14000</v>
      </c>
    </row>
    <row r="43" spans="2:15" s="1" customFormat="1">
      <c r="B43" s="36"/>
      <c r="C43" s="1546"/>
      <c r="D43" s="192">
        <v>2</v>
      </c>
      <c r="E43" s="192">
        <f>E42*1.5</f>
        <v>2.25</v>
      </c>
      <c r="F43" s="192">
        <f>F42*1.5</f>
        <v>3</v>
      </c>
      <c r="G43" s="192">
        <f>G42*1.5</f>
        <v>4.1999999999999993</v>
      </c>
      <c r="H43" s="192">
        <f>H42*1.5</f>
        <v>5.25</v>
      </c>
      <c r="I43" s="192">
        <v>250</v>
      </c>
      <c r="J43" s="192">
        <v>9000</v>
      </c>
      <c r="K43" s="192">
        <v>12000</v>
      </c>
      <c r="L43" s="192">
        <v>16799.999999999996</v>
      </c>
      <c r="M43" s="197">
        <v>21000</v>
      </c>
      <c r="O43" s="264">
        <v>0.25</v>
      </c>
    </row>
    <row r="44" spans="2:15" s="1" customFormat="1" ht="15" thickBot="1">
      <c r="B44" s="36"/>
      <c r="C44" s="1547"/>
      <c r="D44" s="198">
        <v>3</v>
      </c>
      <c r="E44" s="198">
        <f>E42*2</f>
        <v>3</v>
      </c>
      <c r="F44" s="198">
        <f>F42*2</f>
        <v>4</v>
      </c>
      <c r="G44" s="198">
        <f>G42*2</f>
        <v>5.6</v>
      </c>
      <c r="H44" s="198">
        <f>H42*2</f>
        <v>7</v>
      </c>
      <c r="I44" s="198">
        <v>250</v>
      </c>
      <c r="J44" s="198">
        <v>12000</v>
      </c>
      <c r="K44" s="198">
        <v>16000</v>
      </c>
      <c r="L44" s="198">
        <v>22400</v>
      </c>
      <c r="M44" s="199">
        <v>28000</v>
      </c>
    </row>
    <row r="45" spans="2:15" s="1" customFormat="1">
      <c r="B45" s="36"/>
      <c r="C45" s="1545" t="s">
        <v>274</v>
      </c>
      <c r="D45" s="5">
        <v>1</v>
      </c>
      <c r="E45" s="5">
        <v>2</v>
      </c>
      <c r="F45" s="5">
        <v>2.5</v>
      </c>
      <c r="G45" s="5">
        <v>3</v>
      </c>
      <c r="H45" s="5">
        <v>4</v>
      </c>
      <c r="I45" s="5">
        <v>250</v>
      </c>
      <c r="J45" s="5">
        <v>8000</v>
      </c>
      <c r="K45" s="5">
        <v>10000</v>
      </c>
      <c r="L45" s="5">
        <v>12000</v>
      </c>
      <c r="M45" s="6">
        <v>16000</v>
      </c>
    </row>
    <row r="46" spans="2:15" s="1" customFormat="1">
      <c r="B46" s="36"/>
      <c r="C46" s="1546"/>
      <c r="D46" s="192">
        <v>2</v>
      </c>
      <c r="E46" s="192">
        <f>E45*1.5</f>
        <v>3</v>
      </c>
      <c r="F46" s="192">
        <f>F45*1.5</f>
        <v>3.75</v>
      </c>
      <c r="G46" s="192">
        <f>G45*1.5</f>
        <v>4.5</v>
      </c>
      <c r="H46" s="192">
        <f>H45*1.5</f>
        <v>6</v>
      </c>
      <c r="I46" s="192">
        <v>250</v>
      </c>
      <c r="J46" s="195">
        <v>12000</v>
      </c>
      <c r="K46" s="195">
        <v>15000</v>
      </c>
      <c r="L46" s="195">
        <v>18000</v>
      </c>
      <c r="M46" s="201">
        <v>24000</v>
      </c>
      <c r="O46" s="264">
        <v>0.25</v>
      </c>
    </row>
    <row r="47" spans="2:15" s="1" customFormat="1" ht="15" thickBot="1">
      <c r="B47" s="36"/>
      <c r="C47" s="1547"/>
      <c r="D47" s="198">
        <v>3</v>
      </c>
      <c r="E47" s="198">
        <f>E45*2</f>
        <v>4</v>
      </c>
      <c r="F47" s="198">
        <f>F45*2</f>
        <v>5</v>
      </c>
      <c r="G47" s="198">
        <f>G45*2</f>
        <v>6</v>
      </c>
      <c r="H47" s="198">
        <f>H45*2</f>
        <v>8</v>
      </c>
      <c r="I47" s="198">
        <v>250</v>
      </c>
      <c r="J47" s="202">
        <v>16000</v>
      </c>
      <c r="K47" s="202">
        <v>20000</v>
      </c>
      <c r="L47" s="202">
        <v>24000</v>
      </c>
      <c r="M47" s="203">
        <v>32000</v>
      </c>
    </row>
    <row r="48" spans="2:15" s="1" customFormat="1">
      <c r="B48" s="36"/>
      <c r="C48" s="1539" t="s">
        <v>685</v>
      </c>
      <c r="D48" s="5">
        <v>1</v>
      </c>
      <c r="E48" s="5">
        <v>0.4</v>
      </c>
      <c r="F48" s="5">
        <v>0.4</v>
      </c>
      <c r="G48" s="5">
        <v>0.4</v>
      </c>
      <c r="H48" s="5">
        <v>0.4</v>
      </c>
      <c r="I48" s="5">
        <v>1000</v>
      </c>
      <c r="J48" s="172">
        <f t="shared" ref="J48" si="1">IF(D48=1,E48*I48,IF(D48=2,E48*I48*1.5, E48*I48*2))</f>
        <v>400</v>
      </c>
      <c r="K48" s="172">
        <f t="shared" ref="K48" si="2">IF(D48=1,F48*I48,IF(D48=2,F48*I48*1.5, F48*I48*2))</f>
        <v>400</v>
      </c>
      <c r="L48" s="172">
        <f t="shared" ref="L48" si="3">IF(D48=1,G48*I48,IF(D48=2,G48*I48*1.5, G48*I48*2))</f>
        <v>400</v>
      </c>
      <c r="M48" s="550">
        <f t="shared" ref="M48" si="4">IF(D48=1,H48*I48,IF(D48=2,H48*I48*1.5, H48*I48*2))</f>
        <v>400</v>
      </c>
    </row>
    <row r="49" spans="2:15">
      <c r="B49" s="36"/>
      <c r="C49" s="1548"/>
      <c r="D49" s="548">
        <v>2</v>
      </c>
      <c r="E49" s="548">
        <f>E48*1.5</f>
        <v>0.60000000000000009</v>
      </c>
      <c r="F49" s="548">
        <f>F48*1.5</f>
        <v>0.60000000000000009</v>
      </c>
      <c r="G49" s="548">
        <f>G48*1.5</f>
        <v>0.60000000000000009</v>
      </c>
      <c r="H49" s="548">
        <f>H48*1.5</f>
        <v>0.60000000000000009</v>
      </c>
      <c r="I49" s="548">
        <v>1000</v>
      </c>
      <c r="J49" s="551">
        <f>E49*I49</f>
        <v>600.00000000000011</v>
      </c>
      <c r="K49" s="551">
        <f>F49*I49</f>
        <v>600.00000000000011</v>
      </c>
      <c r="L49" s="551">
        <f>G49*I49</f>
        <v>600.00000000000011</v>
      </c>
      <c r="M49" s="552">
        <f>H49*I49</f>
        <v>600.00000000000011</v>
      </c>
      <c r="O49" s="264"/>
    </row>
    <row r="50" spans="2:15" ht="15" thickBot="1">
      <c r="B50" s="36"/>
      <c r="C50" s="1549"/>
      <c r="D50" s="549">
        <v>3</v>
      </c>
      <c r="E50" s="549">
        <f>E48*2</f>
        <v>0.8</v>
      </c>
      <c r="F50" s="549">
        <f>F48*2</f>
        <v>0.8</v>
      </c>
      <c r="G50" s="549">
        <f>G48*2</f>
        <v>0.8</v>
      </c>
      <c r="H50" s="549">
        <f>H48*2</f>
        <v>0.8</v>
      </c>
      <c r="I50" s="549">
        <v>1000</v>
      </c>
      <c r="J50" s="553">
        <f>E50*I50</f>
        <v>800</v>
      </c>
      <c r="K50" s="553">
        <f>F50*I50</f>
        <v>800</v>
      </c>
      <c r="L50" s="553">
        <f>G50*I50</f>
        <v>800</v>
      </c>
      <c r="M50" s="554">
        <f>H50*I50</f>
        <v>800</v>
      </c>
    </row>
    <row r="51" spans="2:15" s="1" customFormat="1">
      <c r="B51" s="36"/>
      <c r="C51" s="1539" t="s">
        <v>898</v>
      </c>
      <c r="D51" s="5">
        <v>1</v>
      </c>
      <c r="E51" s="5"/>
      <c r="F51" s="5"/>
      <c r="G51" s="5"/>
      <c r="H51" s="5"/>
      <c r="I51" s="5"/>
      <c r="J51" s="172">
        <v>800</v>
      </c>
      <c r="K51" s="172">
        <v>800</v>
      </c>
      <c r="L51" s="172">
        <v>800</v>
      </c>
      <c r="M51" s="550">
        <v>800</v>
      </c>
      <c r="O51" s="264">
        <v>0.25</v>
      </c>
    </row>
    <row r="52" spans="2:15" s="1" customFormat="1">
      <c r="B52" s="36"/>
      <c r="C52" s="1548"/>
      <c r="D52" s="548">
        <v>2</v>
      </c>
      <c r="E52" s="548"/>
      <c r="F52" s="548"/>
      <c r="G52" s="548"/>
      <c r="H52" s="548"/>
      <c r="I52" s="548"/>
      <c r="J52" s="551">
        <v>1200</v>
      </c>
      <c r="K52" s="551">
        <v>1200</v>
      </c>
      <c r="L52" s="551">
        <v>1200</v>
      </c>
      <c r="M52" s="552">
        <v>1200</v>
      </c>
    </row>
    <row r="53" spans="2:15" s="1" customFormat="1" ht="15" thickBot="1">
      <c r="B53" s="36"/>
      <c r="C53" s="1549"/>
      <c r="D53" s="549">
        <v>3</v>
      </c>
      <c r="E53" s="549"/>
      <c r="F53" s="549"/>
      <c r="G53" s="549"/>
      <c r="H53" s="549"/>
      <c r="I53" s="549"/>
      <c r="J53" s="553">
        <v>2000</v>
      </c>
      <c r="K53" s="553">
        <v>2000</v>
      </c>
      <c r="L53" s="553">
        <v>2000</v>
      </c>
      <c r="M53" s="554">
        <v>2000</v>
      </c>
    </row>
    <row r="55" spans="2:15" ht="15" thickBot="1"/>
    <row r="56" spans="2:15">
      <c r="B56" s="36"/>
      <c r="C56" s="1554" t="s">
        <v>24</v>
      </c>
      <c r="D56" s="1536" t="s">
        <v>9</v>
      </c>
      <c r="E56" s="1557" t="s">
        <v>10</v>
      </c>
      <c r="F56" s="1558"/>
      <c r="G56" s="1558"/>
      <c r="H56" s="1559"/>
      <c r="I56" s="1536" t="s">
        <v>11</v>
      </c>
      <c r="J56" s="1530" t="s">
        <v>12</v>
      </c>
      <c r="K56" s="1530"/>
      <c r="L56" s="1530"/>
      <c r="M56" s="1534"/>
    </row>
    <row r="57" spans="2:15">
      <c r="B57" s="36"/>
      <c r="C57" s="1555"/>
      <c r="D57" s="1537"/>
      <c r="E57" s="1560" t="s">
        <v>13</v>
      </c>
      <c r="F57" s="1561"/>
      <c r="G57" s="1561"/>
      <c r="H57" s="1562"/>
      <c r="I57" s="1537"/>
      <c r="J57" s="1560" t="s">
        <v>13</v>
      </c>
      <c r="K57" s="1561"/>
      <c r="L57" s="1561"/>
      <c r="M57" s="1563"/>
    </row>
    <row r="58" spans="2:15" ht="27" thickBot="1">
      <c r="B58" s="36"/>
      <c r="C58" s="1556"/>
      <c r="D58" s="1538"/>
      <c r="E58" s="4" t="s">
        <v>25</v>
      </c>
      <c r="F58" s="4" t="s">
        <v>26</v>
      </c>
      <c r="G58" s="4" t="s">
        <v>27</v>
      </c>
      <c r="H58" s="4" t="s">
        <v>28</v>
      </c>
      <c r="I58" s="1538"/>
      <c r="J58" s="4" t="s">
        <v>25</v>
      </c>
      <c r="K58" s="4" t="s">
        <v>26</v>
      </c>
      <c r="L58" s="4" t="s">
        <v>27</v>
      </c>
      <c r="M58" s="13" t="s">
        <v>28</v>
      </c>
    </row>
    <row r="59" spans="2:15" ht="15" thickBot="1">
      <c r="B59" s="36"/>
      <c r="C59" s="1550" t="s">
        <v>29</v>
      </c>
      <c r="D59" s="5">
        <v>1</v>
      </c>
      <c r="E59" s="5">
        <v>0.6</v>
      </c>
      <c r="F59" s="5">
        <v>0.8</v>
      </c>
      <c r="G59" s="5">
        <v>1</v>
      </c>
      <c r="H59" s="5">
        <v>1.5</v>
      </c>
      <c r="I59" s="5">
        <v>250</v>
      </c>
      <c r="J59" s="5">
        <f>IF(D59=1,E59*I59,IF(D59=2,E59*I59*2, E59*I59*3))</f>
        <v>150</v>
      </c>
      <c r="K59" s="5">
        <f>IF(D59=1,F59*I59,IF(D59=2,F59*I59*2, F59*I59*3))</f>
        <v>200</v>
      </c>
      <c r="L59" s="5">
        <f>IF(D59=1,G59*I59,IF(D59=2,G59*I59*2, G59*I59*3))</f>
        <v>250</v>
      </c>
      <c r="M59" s="6">
        <f>IF(D59=1,H59*I59,IF(D59=2,H59*I59*2, H59*I59*3))</f>
        <v>375</v>
      </c>
    </row>
    <row r="60" spans="2:15" ht="15" thickBot="1">
      <c r="B60" s="36"/>
      <c r="C60" s="1551"/>
      <c r="D60" s="7">
        <v>2</v>
      </c>
      <c r="E60" s="7">
        <f>E59*2</f>
        <v>1.2</v>
      </c>
      <c r="F60" s="7">
        <f>F59*2</f>
        <v>1.6</v>
      </c>
      <c r="G60" s="7">
        <f>G59*2</f>
        <v>2</v>
      </c>
      <c r="H60" s="7">
        <v>3</v>
      </c>
      <c r="I60" s="5">
        <v>250</v>
      </c>
      <c r="J60" s="7">
        <f>E60*I60</f>
        <v>300</v>
      </c>
      <c r="K60" s="7">
        <f>F60*I60</f>
        <v>400</v>
      </c>
      <c r="L60" s="7">
        <f>G60*I60</f>
        <v>500</v>
      </c>
      <c r="M60" s="8">
        <f>H60*I60</f>
        <v>750</v>
      </c>
    </row>
    <row r="61" spans="2:15" ht="15" thickBot="1">
      <c r="B61" s="36"/>
      <c r="C61" s="1552"/>
      <c r="D61" s="9">
        <v>3</v>
      </c>
      <c r="E61" s="9">
        <f>E59*3</f>
        <v>1.7999999999999998</v>
      </c>
      <c r="F61" s="9">
        <f>F59*3</f>
        <v>2.4000000000000004</v>
      </c>
      <c r="G61" s="9">
        <f>G59*3</f>
        <v>3</v>
      </c>
      <c r="H61" s="9">
        <v>4</v>
      </c>
      <c r="I61" s="5">
        <v>250</v>
      </c>
      <c r="J61" s="9">
        <f>E61*I61</f>
        <v>449.99999999999994</v>
      </c>
      <c r="K61" s="9">
        <f>F61*I61</f>
        <v>600.00000000000011</v>
      </c>
      <c r="L61" s="9">
        <f>G61*I61</f>
        <v>750</v>
      </c>
      <c r="M61" s="10">
        <f>H61*I61</f>
        <v>1000</v>
      </c>
    </row>
    <row r="62" spans="2:15" ht="15" thickBot="1">
      <c r="B62" s="36"/>
      <c r="C62" s="1550" t="s">
        <v>30</v>
      </c>
      <c r="D62" s="5">
        <v>1</v>
      </c>
      <c r="E62" s="5">
        <v>0.3</v>
      </c>
      <c r="F62" s="5">
        <v>0.3</v>
      </c>
      <c r="G62" s="5">
        <v>0.3</v>
      </c>
      <c r="H62" s="5">
        <v>0.3</v>
      </c>
      <c r="I62" s="5">
        <v>250</v>
      </c>
      <c r="J62" s="5">
        <f>IF(D62=1,E62*I62,IF(D62=2,E62*I62*2, E62*I62*3))</f>
        <v>75</v>
      </c>
      <c r="K62" s="5">
        <f>IF(D62=1,F62*I62,IF(D62=2,F62*I62*2, F62*I62*3))</f>
        <v>75</v>
      </c>
      <c r="L62" s="5">
        <f>IF(D62=1,G62*I62,IF(D62=2,G62*I62*2, G62*I62*3))</f>
        <v>75</v>
      </c>
      <c r="M62" s="6">
        <f>IF(D62=1,H62*I62,IF(D62=2,H62*I62*2, H62*I62*3))</f>
        <v>75</v>
      </c>
    </row>
    <row r="63" spans="2:15" ht="15" thickBot="1">
      <c r="B63" s="36"/>
      <c r="C63" s="1551"/>
      <c r="D63" s="7">
        <v>2</v>
      </c>
      <c r="E63" s="7">
        <f>E62*2</f>
        <v>0.6</v>
      </c>
      <c r="F63" s="7">
        <f>F62*2</f>
        <v>0.6</v>
      </c>
      <c r="G63" s="7">
        <f>G62*2</f>
        <v>0.6</v>
      </c>
      <c r="H63" s="7">
        <f>H62*2</f>
        <v>0.6</v>
      </c>
      <c r="I63" s="5">
        <v>250</v>
      </c>
      <c r="J63" s="7">
        <f>E63*I63</f>
        <v>150</v>
      </c>
      <c r="K63" s="7">
        <f>F63*I63</f>
        <v>150</v>
      </c>
      <c r="L63" s="7">
        <f>G63*I63</f>
        <v>150</v>
      </c>
      <c r="M63" s="8">
        <f>H63*I63</f>
        <v>150</v>
      </c>
    </row>
    <row r="64" spans="2:15" ht="15" thickBot="1">
      <c r="B64" s="36"/>
      <c r="C64" s="1552"/>
      <c r="D64" s="9">
        <v>3</v>
      </c>
      <c r="E64" s="9">
        <v>0.8</v>
      </c>
      <c r="F64" s="9">
        <v>0.8</v>
      </c>
      <c r="G64" s="9">
        <v>0.8</v>
      </c>
      <c r="H64" s="9">
        <v>0.8</v>
      </c>
      <c r="I64" s="18">
        <v>250</v>
      </c>
      <c r="J64" s="9">
        <f>E64*I64</f>
        <v>200</v>
      </c>
      <c r="K64" s="9">
        <f>F64*I64</f>
        <v>200</v>
      </c>
      <c r="L64" s="9">
        <f>G64*I64</f>
        <v>200</v>
      </c>
      <c r="M64" s="10">
        <f>H64*I64</f>
        <v>200</v>
      </c>
    </row>
    <row r="68" spans="2:7" ht="15" thickBot="1"/>
    <row r="69" spans="2:7" ht="52.8">
      <c r="B69" s="36"/>
      <c r="C69" s="28" t="s">
        <v>24</v>
      </c>
      <c r="D69" s="16" t="s">
        <v>9</v>
      </c>
      <c r="E69" s="16" t="s">
        <v>10</v>
      </c>
      <c r="F69" s="16" t="s">
        <v>11</v>
      </c>
      <c r="G69" s="29" t="s">
        <v>12</v>
      </c>
    </row>
    <row r="70" spans="2:7">
      <c r="B70" s="36"/>
      <c r="C70" s="30" t="s">
        <v>31</v>
      </c>
      <c r="D70" s="7" t="s">
        <v>6</v>
      </c>
      <c r="E70" s="7">
        <v>0.3</v>
      </c>
      <c r="F70" s="7">
        <v>250</v>
      </c>
      <c r="G70" s="8">
        <v>600</v>
      </c>
    </row>
    <row r="71" spans="2:7" ht="52.8">
      <c r="B71" s="36"/>
      <c r="C71" s="31" t="s">
        <v>24</v>
      </c>
      <c r="D71" s="14" t="s">
        <v>9</v>
      </c>
      <c r="E71" s="14" t="s">
        <v>10</v>
      </c>
      <c r="F71" s="14" t="s">
        <v>11</v>
      </c>
      <c r="G71" s="32" t="s">
        <v>12</v>
      </c>
    </row>
    <row r="72" spans="2:7" ht="15" thickBot="1">
      <c r="B72" s="36"/>
      <c r="C72" s="33" t="s">
        <v>31</v>
      </c>
      <c r="D72" s="9" t="s">
        <v>6</v>
      </c>
      <c r="E72" s="9">
        <v>0.3</v>
      </c>
      <c r="F72" s="9">
        <v>250</v>
      </c>
      <c r="G72" s="10">
        <v>600</v>
      </c>
    </row>
    <row r="73" spans="2:7" ht="52.8">
      <c r="B73" s="36"/>
      <c r="C73" s="31" t="s">
        <v>24</v>
      </c>
      <c r="D73" s="526" t="s">
        <v>9</v>
      </c>
      <c r="E73" s="526" t="s">
        <v>10</v>
      </c>
      <c r="F73" s="526" t="s">
        <v>11</v>
      </c>
      <c r="G73" s="527" t="s">
        <v>12</v>
      </c>
    </row>
    <row r="74" spans="2:7" ht="15" thickBot="1">
      <c r="B74" s="36"/>
      <c r="C74" s="547" t="s">
        <v>684</v>
      </c>
      <c r="D74" s="9" t="s">
        <v>6</v>
      </c>
      <c r="E74" s="9">
        <v>0.3</v>
      </c>
      <c r="F74" s="9">
        <v>250</v>
      </c>
      <c r="G74" s="10">
        <v>600</v>
      </c>
    </row>
    <row r="76" spans="2:7" ht="15" thickBot="1"/>
    <row r="77" spans="2:7" ht="53.4" thickBot="1">
      <c r="B77" s="36"/>
      <c r="C77" s="15" t="s">
        <v>24</v>
      </c>
      <c r="D77" s="16" t="s">
        <v>9</v>
      </c>
      <c r="E77" s="16" t="s">
        <v>10</v>
      </c>
      <c r="F77" s="16" t="s">
        <v>11</v>
      </c>
      <c r="G77" s="29" t="s">
        <v>12</v>
      </c>
    </row>
    <row r="78" spans="2:7" ht="15" thickBot="1">
      <c r="B78" s="36"/>
      <c r="C78" s="17" t="s">
        <v>32</v>
      </c>
      <c r="D78" s="18" t="s">
        <v>6</v>
      </c>
      <c r="E78" s="18">
        <v>0.6</v>
      </c>
      <c r="F78" s="18">
        <v>1000</v>
      </c>
      <c r="G78" s="24">
        <v>780</v>
      </c>
    </row>
    <row r="79" spans="2:7" ht="15" thickBot="1">
      <c r="B79" s="36"/>
      <c r="C79" s="17" t="s">
        <v>33</v>
      </c>
      <c r="D79" s="18" t="s">
        <v>6</v>
      </c>
      <c r="E79" s="18">
        <v>0.6</v>
      </c>
      <c r="F79" s="18">
        <v>1000</v>
      </c>
      <c r="G79" s="24">
        <v>780</v>
      </c>
    </row>
    <row r="83" spans="2:13" ht="15" thickBot="1"/>
    <row r="84" spans="2:13" ht="53.4" thickBot="1">
      <c r="B84" s="36"/>
      <c r="C84" s="19" t="s">
        <v>24</v>
      </c>
      <c r="D84" s="20" t="s">
        <v>9</v>
      </c>
      <c r="E84" s="20" t="s">
        <v>10</v>
      </c>
      <c r="F84" s="21" t="s">
        <v>11</v>
      </c>
      <c r="G84" s="29" t="s">
        <v>12</v>
      </c>
    </row>
    <row r="85" spans="2:13" ht="15" thickBot="1">
      <c r="B85" s="36"/>
      <c r="C85" s="1539" t="s">
        <v>34</v>
      </c>
      <c r="D85" s="5">
        <v>1</v>
      </c>
      <c r="E85" s="5">
        <v>0.8</v>
      </c>
      <c r="F85" s="5">
        <v>250</v>
      </c>
      <c r="G85" s="6">
        <v>1040</v>
      </c>
    </row>
    <row r="86" spans="2:13" ht="15" thickBot="1">
      <c r="B86" s="36"/>
      <c r="C86" s="1540"/>
      <c r="D86" s="7">
        <v>2</v>
      </c>
      <c r="E86" s="7">
        <v>1</v>
      </c>
      <c r="F86" s="5">
        <v>250</v>
      </c>
      <c r="G86" s="8">
        <v>1300</v>
      </c>
    </row>
    <row r="87" spans="2:13" ht="15" thickBot="1">
      <c r="B87" s="36"/>
      <c r="C87" s="1541"/>
      <c r="D87" s="9">
        <v>3</v>
      </c>
      <c r="E87" s="9">
        <v>1.2</v>
      </c>
      <c r="F87" s="5">
        <v>250</v>
      </c>
      <c r="G87" s="10">
        <v>1560</v>
      </c>
    </row>
    <row r="88" spans="2:13" ht="15" thickBot="1">
      <c r="B88" s="36"/>
      <c r="C88" s="1539" t="s">
        <v>35</v>
      </c>
      <c r="D88" s="5">
        <v>1</v>
      </c>
      <c r="E88" s="5">
        <v>1</v>
      </c>
      <c r="F88" s="5">
        <v>250</v>
      </c>
      <c r="G88" s="12">
        <v>1300</v>
      </c>
    </row>
    <row r="89" spans="2:13" ht="15" thickBot="1">
      <c r="B89" s="36"/>
      <c r="C89" s="1540"/>
      <c r="D89" s="7">
        <v>2</v>
      </c>
      <c r="E89" s="7">
        <f>E88*1.5</f>
        <v>1.5</v>
      </c>
      <c r="F89" s="5">
        <v>250</v>
      </c>
      <c r="G89" s="34">
        <v>1950</v>
      </c>
    </row>
    <row r="90" spans="2:13" ht="15" thickBot="1">
      <c r="B90" s="36"/>
      <c r="C90" s="1541"/>
      <c r="D90" s="9">
        <v>3</v>
      </c>
      <c r="E90" s="9">
        <f>E88*2</f>
        <v>2</v>
      </c>
      <c r="F90" s="18">
        <v>250</v>
      </c>
      <c r="G90" s="35">
        <v>2600</v>
      </c>
    </row>
    <row r="94" spans="2:13" ht="15" thickBot="1"/>
    <row r="95" spans="2:13">
      <c r="B95" s="36"/>
      <c r="C95" s="1554" t="s">
        <v>24</v>
      </c>
      <c r="D95" s="1536" t="s">
        <v>9</v>
      </c>
      <c r="E95" s="1557" t="s">
        <v>10</v>
      </c>
      <c r="F95" s="1558"/>
      <c r="G95" s="1558"/>
      <c r="H95" s="1559"/>
      <c r="I95" s="1536" t="s">
        <v>36</v>
      </c>
      <c r="J95" s="1530" t="s">
        <v>12</v>
      </c>
      <c r="K95" s="1530"/>
      <c r="L95" s="1530"/>
      <c r="M95" s="1534"/>
    </row>
    <row r="96" spans="2:13">
      <c r="B96" s="36"/>
      <c r="C96" s="1555"/>
      <c r="D96" s="1537"/>
      <c r="E96" s="1560" t="s">
        <v>13</v>
      </c>
      <c r="F96" s="1561"/>
      <c r="G96" s="1561"/>
      <c r="H96" s="1562"/>
      <c r="I96" s="1537"/>
      <c r="J96" s="1560" t="s">
        <v>13</v>
      </c>
      <c r="K96" s="1561"/>
      <c r="L96" s="1561"/>
      <c r="M96" s="1563"/>
    </row>
    <row r="97" spans="2:17" ht="27" thickBot="1">
      <c r="B97" s="36"/>
      <c r="C97" s="1556"/>
      <c r="D97" s="1538"/>
      <c r="E97" s="4" t="s">
        <v>25</v>
      </c>
      <c r="F97" s="4" t="s">
        <v>37</v>
      </c>
      <c r="G97" s="4" t="s">
        <v>38</v>
      </c>
      <c r="H97" s="4" t="s">
        <v>39</v>
      </c>
      <c r="I97" s="1538"/>
      <c r="J97" s="4" t="s">
        <v>25</v>
      </c>
      <c r="K97" s="4" t="s">
        <v>37</v>
      </c>
      <c r="L97" s="4" t="s">
        <v>38</v>
      </c>
      <c r="M97" s="13" t="s">
        <v>39</v>
      </c>
    </row>
    <row r="98" spans="2:17" ht="15" thickBot="1">
      <c r="B98" s="36"/>
      <c r="C98" s="1539" t="s">
        <v>40</v>
      </c>
      <c r="D98" s="5">
        <v>1</v>
      </c>
      <c r="E98" s="5">
        <v>0.6</v>
      </c>
      <c r="F98" s="5">
        <v>0.8</v>
      </c>
      <c r="G98" s="5">
        <v>1</v>
      </c>
      <c r="H98" s="5">
        <v>2</v>
      </c>
      <c r="I98" s="5">
        <v>250</v>
      </c>
      <c r="J98" s="5">
        <v>780</v>
      </c>
      <c r="K98" s="5">
        <v>1040</v>
      </c>
      <c r="L98" s="5">
        <v>1300</v>
      </c>
      <c r="M98" s="6">
        <v>2600</v>
      </c>
    </row>
    <row r="99" spans="2:17" ht="15" thickBot="1">
      <c r="B99" s="36"/>
      <c r="C99" s="1540"/>
      <c r="D99" s="7">
        <v>2</v>
      </c>
      <c r="E99" s="7">
        <f>E98*1.5</f>
        <v>0.89999999999999991</v>
      </c>
      <c r="F99" s="7">
        <f>F98*1.5</f>
        <v>1.2000000000000002</v>
      </c>
      <c r="G99" s="7">
        <f>G98*1.5</f>
        <v>1.5</v>
      </c>
      <c r="H99" s="7">
        <f>H98*1.5</f>
        <v>3</v>
      </c>
      <c r="I99" s="5">
        <v>250</v>
      </c>
      <c r="J99" s="7">
        <v>1170</v>
      </c>
      <c r="K99" s="7">
        <v>1560.0000000000005</v>
      </c>
      <c r="L99" s="7">
        <v>1950</v>
      </c>
      <c r="M99" s="8">
        <v>3900</v>
      </c>
    </row>
    <row r="100" spans="2:17" ht="15" thickBot="1">
      <c r="B100" s="36"/>
      <c r="C100" s="1541"/>
      <c r="D100" s="9">
        <v>3</v>
      </c>
      <c r="E100" s="9">
        <f>E98*2</f>
        <v>1.2</v>
      </c>
      <c r="F100" s="9">
        <f>F98*2</f>
        <v>1.6</v>
      </c>
      <c r="G100" s="9">
        <f>G98*2</f>
        <v>2</v>
      </c>
      <c r="H100" s="9">
        <f>H98*2</f>
        <v>4</v>
      </c>
      <c r="I100" s="18">
        <v>250</v>
      </c>
      <c r="J100" s="9">
        <v>1560</v>
      </c>
      <c r="K100" s="9">
        <v>2080</v>
      </c>
      <c r="L100" s="9">
        <v>2600</v>
      </c>
      <c r="M100" s="10">
        <v>5200</v>
      </c>
    </row>
    <row r="101" spans="2:17" ht="15" thickBot="1">
      <c r="B101" s="36"/>
      <c r="C101" s="1564"/>
      <c r="D101" s="1564"/>
      <c r="E101" s="1564"/>
      <c r="F101" s="1564"/>
      <c r="G101" s="1564"/>
      <c r="H101" s="1564"/>
      <c r="I101" s="1564"/>
      <c r="J101" s="1564"/>
      <c r="K101" s="1564"/>
      <c r="L101" s="1564"/>
      <c r="M101" s="1564"/>
    </row>
    <row r="102" spans="2:17">
      <c r="B102" s="36"/>
      <c r="C102" s="1554" t="s">
        <v>24</v>
      </c>
      <c r="D102" s="1536" t="s">
        <v>9</v>
      </c>
      <c r="E102" s="1557" t="s">
        <v>10</v>
      </c>
      <c r="F102" s="1558"/>
      <c r="G102" s="1558"/>
      <c r="H102" s="1559"/>
      <c r="I102" s="1536" t="s">
        <v>36</v>
      </c>
      <c r="J102" s="1530" t="s">
        <v>12</v>
      </c>
      <c r="K102" s="1530"/>
      <c r="L102" s="1530"/>
      <c r="M102" s="1534"/>
    </row>
    <row r="103" spans="2:17">
      <c r="B103" s="36"/>
      <c r="C103" s="1555"/>
      <c r="D103" s="1537"/>
      <c r="E103" s="1560" t="s">
        <v>41</v>
      </c>
      <c r="F103" s="1561"/>
      <c r="G103" s="1561"/>
      <c r="H103" s="1562"/>
      <c r="I103" s="1537"/>
      <c r="J103" s="1560" t="s">
        <v>41</v>
      </c>
      <c r="K103" s="1561"/>
      <c r="L103" s="1561"/>
      <c r="M103" s="1563"/>
    </row>
    <row r="104" spans="2:17" ht="27" thickBot="1">
      <c r="B104" s="36"/>
      <c r="C104" s="1556"/>
      <c r="D104" s="1538"/>
      <c r="E104" s="4" t="s">
        <v>42</v>
      </c>
      <c r="F104" s="4" t="s">
        <v>43</v>
      </c>
      <c r="G104" s="4" t="s">
        <v>44</v>
      </c>
      <c r="H104" s="4" t="s">
        <v>45</v>
      </c>
      <c r="I104" s="1538"/>
      <c r="J104" s="4" t="s">
        <v>42</v>
      </c>
      <c r="K104" s="4" t="s">
        <v>43</v>
      </c>
      <c r="L104" s="4" t="s">
        <v>44</v>
      </c>
      <c r="M104" s="13" t="s">
        <v>45</v>
      </c>
    </row>
    <row r="105" spans="2:17" ht="15" thickBot="1">
      <c r="B105" s="36"/>
      <c r="C105" s="1539" t="s">
        <v>46</v>
      </c>
      <c r="D105" s="5">
        <v>1</v>
      </c>
      <c r="E105" s="5">
        <v>0.6</v>
      </c>
      <c r="F105" s="5">
        <v>0.8</v>
      </c>
      <c r="G105" s="5">
        <v>1</v>
      </c>
      <c r="H105" s="5">
        <v>2</v>
      </c>
      <c r="I105" s="5">
        <v>250</v>
      </c>
      <c r="J105" s="5">
        <v>780</v>
      </c>
      <c r="K105" s="5">
        <v>1040</v>
      </c>
      <c r="L105" s="5">
        <v>1300</v>
      </c>
      <c r="M105" s="6">
        <v>2600</v>
      </c>
    </row>
    <row r="106" spans="2:17" ht="15" thickBot="1">
      <c r="B106" s="36"/>
      <c r="C106" s="1540"/>
      <c r="D106" s="7">
        <v>2</v>
      </c>
      <c r="E106" s="7">
        <f>E105*1.5</f>
        <v>0.89999999999999991</v>
      </c>
      <c r="F106" s="7">
        <f>F105*1.5</f>
        <v>1.2000000000000002</v>
      </c>
      <c r="G106" s="7">
        <f>G105*1.5</f>
        <v>1.5</v>
      </c>
      <c r="H106" s="7">
        <f>H105*1.5</f>
        <v>3</v>
      </c>
      <c r="I106" s="5">
        <v>250</v>
      </c>
      <c r="J106" s="7">
        <v>1170</v>
      </c>
      <c r="K106" s="7">
        <v>1560.0000000000005</v>
      </c>
      <c r="L106" s="7">
        <v>1950</v>
      </c>
      <c r="M106" s="8">
        <v>3900</v>
      </c>
    </row>
    <row r="107" spans="2:17" ht="15" thickBot="1">
      <c r="B107" s="36"/>
      <c r="C107" s="1541"/>
      <c r="D107" s="9">
        <v>3</v>
      </c>
      <c r="E107" s="9">
        <f>E105*2</f>
        <v>1.2</v>
      </c>
      <c r="F107" s="9">
        <f>F105*2</f>
        <v>1.6</v>
      </c>
      <c r="G107" s="9">
        <f>G105*2</f>
        <v>2</v>
      </c>
      <c r="H107" s="9">
        <f>H105*2</f>
        <v>4</v>
      </c>
      <c r="I107" s="5">
        <v>250</v>
      </c>
      <c r="J107" s="9">
        <v>1560</v>
      </c>
      <c r="K107" s="9">
        <v>2080</v>
      </c>
      <c r="L107" s="9">
        <v>2600</v>
      </c>
      <c r="M107" s="10">
        <v>5200</v>
      </c>
    </row>
    <row r="108" spans="2:17" ht="15" thickBot="1">
      <c r="B108" s="36"/>
      <c r="C108" s="22" t="s">
        <v>47</v>
      </c>
      <c r="D108" s="23" t="s">
        <v>6</v>
      </c>
      <c r="E108" s="18">
        <v>0.3</v>
      </c>
      <c r="F108" s="18">
        <v>0.3</v>
      </c>
      <c r="G108" s="18">
        <v>0.3</v>
      </c>
      <c r="H108" s="18">
        <v>0.3</v>
      </c>
      <c r="I108" s="18">
        <v>250</v>
      </c>
      <c r="J108" s="18">
        <v>390</v>
      </c>
      <c r="K108" s="18">
        <v>390</v>
      </c>
      <c r="L108" s="18">
        <v>390</v>
      </c>
      <c r="M108" s="24">
        <v>390</v>
      </c>
    </row>
    <row r="111" spans="2:17">
      <c r="Q111" s="1"/>
    </row>
    <row r="112" spans="2:17" ht="15" thickBot="1">
      <c r="Q112" s="1"/>
    </row>
    <row r="113" spans="2:17">
      <c r="B113" s="36"/>
      <c r="C113" s="1526" t="s">
        <v>24</v>
      </c>
      <c r="D113" s="1530" t="s">
        <v>9</v>
      </c>
      <c r="E113" s="1530" t="s">
        <v>10</v>
      </c>
      <c r="F113" s="1530"/>
      <c r="G113" s="1530"/>
      <c r="H113" s="1530"/>
      <c r="I113" s="1530" t="s">
        <v>36</v>
      </c>
      <c r="J113" s="1530" t="s">
        <v>12</v>
      </c>
      <c r="K113" s="1530"/>
      <c r="L113" s="1530"/>
      <c r="M113" s="1534"/>
      <c r="Q113" s="1"/>
    </row>
    <row r="114" spans="2:17">
      <c r="B114" s="36"/>
      <c r="C114" s="1527"/>
      <c r="D114" s="1531"/>
      <c r="E114" s="1531"/>
      <c r="F114" s="1531"/>
      <c r="G114" s="1531"/>
      <c r="H114" s="1531"/>
      <c r="I114" s="1531"/>
      <c r="J114" s="1531"/>
      <c r="K114" s="1531"/>
      <c r="L114" s="1531"/>
      <c r="M114" s="1535"/>
      <c r="Q114" s="1"/>
    </row>
    <row r="115" spans="2:17">
      <c r="B115" s="36"/>
      <c r="C115" s="1527"/>
      <c r="D115" s="1531"/>
      <c r="E115" s="1531" t="s">
        <v>41</v>
      </c>
      <c r="F115" s="1531"/>
      <c r="G115" s="1531"/>
      <c r="H115" s="1531"/>
      <c r="I115" s="1531"/>
      <c r="J115" s="1531" t="s">
        <v>41</v>
      </c>
      <c r="K115" s="1531"/>
      <c r="L115" s="1531"/>
      <c r="M115" s="1535"/>
      <c r="Q115" s="1"/>
    </row>
    <row r="116" spans="2:17" ht="27" thickBot="1">
      <c r="B116" s="36"/>
      <c r="C116" s="1529"/>
      <c r="D116" s="1533"/>
      <c r="E116" s="4" t="s">
        <v>42</v>
      </c>
      <c r="F116" s="4" t="s">
        <v>43</v>
      </c>
      <c r="G116" s="4" t="s">
        <v>44</v>
      </c>
      <c r="H116" s="4" t="s">
        <v>48</v>
      </c>
      <c r="I116" s="1533"/>
      <c r="J116" s="4" t="s">
        <v>42</v>
      </c>
      <c r="K116" s="4" t="s">
        <v>43</v>
      </c>
      <c r="L116" s="4" t="s">
        <v>44</v>
      </c>
      <c r="M116" s="13" t="s">
        <v>48</v>
      </c>
      <c r="Q116" s="1"/>
    </row>
    <row r="117" spans="2:17" ht="15" thickBot="1">
      <c r="B117" s="36"/>
      <c r="C117" s="1539" t="s">
        <v>49</v>
      </c>
      <c r="D117" s="25">
        <v>1</v>
      </c>
      <c r="E117" s="5">
        <v>0.5</v>
      </c>
      <c r="F117" s="5">
        <v>0.75</v>
      </c>
      <c r="G117" s="5">
        <v>1</v>
      </c>
      <c r="H117" s="5">
        <v>2</v>
      </c>
      <c r="I117" s="5">
        <v>250</v>
      </c>
      <c r="J117" s="5">
        <v>650</v>
      </c>
      <c r="K117" s="5">
        <v>975</v>
      </c>
      <c r="L117" s="5">
        <v>1300</v>
      </c>
      <c r="M117" s="6">
        <v>2600</v>
      </c>
      <c r="Q117" s="1"/>
    </row>
    <row r="118" spans="2:17" ht="15" thickBot="1">
      <c r="B118" s="36"/>
      <c r="C118" s="1540"/>
      <c r="D118" s="26">
        <v>2</v>
      </c>
      <c r="E118" s="7">
        <f>E117*1.5</f>
        <v>0.75</v>
      </c>
      <c r="F118" s="7">
        <f>F117*1.5</f>
        <v>1.125</v>
      </c>
      <c r="G118" s="7">
        <f>G117*1.5</f>
        <v>1.5</v>
      </c>
      <c r="H118" s="7">
        <f>H117*1.5</f>
        <v>3</v>
      </c>
      <c r="I118" s="5">
        <v>250</v>
      </c>
      <c r="J118" s="7">
        <v>975</v>
      </c>
      <c r="K118" s="7">
        <v>1462.5</v>
      </c>
      <c r="L118" s="7">
        <v>1950</v>
      </c>
      <c r="M118" s="8">
        <v>3900</v>
      </c>
      <c r="Q118" s="1"/>
    </row>
    <row r="119" spans="2:17" ht="15" thickBot="1">
      <c r="B119" s="36"/>
      <c r="C119" s="1541"/>
      <c r="D119" s="27">
        <v>3</v>
      </c>
      <c r="E119" s="9">
        <f>E117*2</f>
        <v>1</v>
      </c>
      <c r="F119" s="9">
        <f>F117*2</f>
        <v>1.5</v>
      </c>
      <c r="G119" s="9">
        <f>G117*2</f>
        <v>2</v>
      </c>
      <c r="H119" s="9">
        <f>H117*2</f>
        <v>4</v>
      </c>
      <c r="I119" s="5">
        <v>250</v>
      </c>
      <c r="J119" s="9">
        <v>1300</v>
      </c>
      <c r="K119" s="9">
        <v>1950</v>
      </c>
      <c r="L119" s="9">
        <v>2600</v>
      </c>
      <c r="M119" s="10">
        <v>5200</v>
      </c>
      <c r="Q119" s="1"/>
    </row>
    <row r="120" spans="2:17" ht="15" thickBot="1">
      <c r="B120" s="36"/>
      <c r="C120" s="22" t="s">
        <v>50</v>
      </c>
      <c r="D120" s="23" t="s">
        <v>6</v>
      </c>
      <c r="E120" s="18">
        <v>0.4</v>
      </c>
      <c r="F120" s="18">
        <v>0.4</v>
      </c>
      <c r="G120" s="18">
        <v>0.4</v>
      </c>
      <c r="H120" s="18">
        <v>0.4</v>
      </c>
      <c r="I120" s="18">
        <v>250</v>
      </c>
      <c r="J120" s="18">
        <v>520</v>
      </c>
      <c r="K120" s="18">
        <v>520</v>
      </c>
      <c r="L120" s="18">
        <v>520</v>
      </c>
      <c r="M120" s="24">
        <v>520</v>
      </c>
      <c r="Q120" s="1"/>
    </row>
    <row r="121" spans="2:17">
      <c r="P121" s="1"/>
    </row>
    <row r="122" spans="2:17">
      <c r="P122" s="1"/>
    </row>
    <row r="129" spans="3:6">
      <c r="C129" s="857" t="str">
        <f>ОБЩИЕ_ДАННЫЕ!I121</f>
        <v>RUS</v>
      </c>
      <c r="D129" s="857" t="s">
        <v>973</v>
      </c>
      <c r="E129" s="857" t="s">
        <v>974</v>
      </c>
      <c r="F129" s="862" t="str">
        <f>C129</f>
        <v>RUS</v>
      </c>
    </row>
    <row r="130" spans="3:6">
      <c r="C130" s="531" t="s">
        <v>422</v>
      </c>
      <c r="D130" s="857" t="s">
        <v>958</v>
      </c>
      <c r="E130" s="857" t="s">
        <v>963</v>
      </c>
      <c r="F130" s="862" t="str">
        <f>INDEX($D$130:$E$141,MATCH(C130,$C$130:$C$141,0),MATCH($C$129,$D$129:$E$129,0))</f>
        <v>КИ</v>
      </c>
    </row>
    <row r="131" spans="3:6">
      <c r="C131" s="450" t="s">
        <v>262</v>
      </c>
      <c r="D131" s="450" t="s">
        <v>262</v>
      </c>
      <c r="E131" s="450" t="s">
        <v>964</v>
      </c>
      <c r="F131" s="863" t="str">
        <f t="shared" ref="F131:F141" si="5">INDEX($D$130:$E$141,MATCH(C131,$C$130:$C$141,0),MATCH($C$129,$D$129:$E$129,0))</f>
        <v>МПК ПМ</v>
      </c>
    </row>
    <row r="132" spans="3:6">
      <c r="C132" s="450" t="s">
        <v>263</v>
      </c>
      <c r="D132" s="450" t="s">
        <v>263</v>
      </c>
      <c r="E132" s="450" t="s">
        <v>965</v>
      </c>
      <c r="F132" s="863" t="str">
        <f t="shared" si="5"/>
        <v>МПК РМ</v>
      </c>
    </row>
    <row r="133" spans="3:6">
      <c r="C133" s="450" t="s">
        <v>1119</v>
      </c>
      <c r="D133" s="450" t="s">
        <v>1121</v>
      </c>
      <c r="E133" s="450" t="s">
        <v>1123</v>
      </c>
      <c r="F133" s="863" t="str">
        <f t="shared" si="5"/>
        <v>В ПМ</v>
      </c>
    </row>
    <row r="134" spans="3:6" s="1" customFormat="1">
      <c r="C134" s="450" t="s">
        <v>1120</v>
      </c>
      <c r="D134" s="450" t="s">
        <v>1122</v>
      </c>
      <c r="E134" s="450" t="s">
        <v>1124</v>
      </c>
      <c r="F134" s="863" t="str">
        <f t="shared" ref="F134" si="6">INDEX($D$130:$E$141,MATCH(C134,$C$130:$C$141,0),MATCH($C$129,$D$129:$E$129,0))</f>
        <v>В РМ</v>
      </c>
    </row>
    <row r="135" spans="3:6">
      <c r="C135" s="450" t="s">
        <v>837</v>
      </c>
      <c r="D135" s="450" t="s">
        <v>837</v>
      </c>
      <c r="E135" s="450" t="s">
        <v>966</v>
      </c>
      <c r="F135" s="863" t="str">
        <f t="shared" si="5"/>
        <v>Т</v>
      </c>
    </row>
    <row r="136" spans="3:6">
      <c r="C136" s="450" t="s">
        <v>952</v>
      </c>
      <c r="D136" s="450" t="s">
        <v>952</v>
      </c>
      <c r="E136" s="450" t="s">
        <v>967</v>
      </c>
      <c r="F136" s="863" t="str">
        <f t="shared" si="5"/>
        <v>Тепло</v>
      </c>
    </row>
    <row r="137" spans="3:6">
      <c r="C137" s="450" t="s">
        <v>953</v>
      </c>
      <c r="D137" s="450" t="s">
        <v>953</v>
      </c>
      <c r="E137" s="450" t="s">
        <v>968</v>
      </c>
      <c r="F137" s="863" t="str">
        <f t="shared" si="5"/>
        <v>ПАР</v>
      </c>
    </row>
    <row r="138" spans="3:6">
      <c r="C138" s="450" t="s">
        <v>954</v>
      </c>
      <c r="D138" s="450" t="s">
        <v>959</v>
      </c>
      <c r="E138" s="450" t="s">
        <v>969</v>
      </c>
      <c r="F138" s="863" t="str">
        <f t="shared" si="5"/>
        <v>А</v>
      </c>
    </row>
    <row r="139" spans="3:6">
      <c r="C139" s="450" t="s">
        <v>955</v>
      </c>
      <c r="D139" s="450" t="s">
        <v>960</v>
      </c>
      <c r="E139" s="450" t="s">
        <v>970</v>
      </c>
      <c r="F139" s="863" t="str">
        <f t="shared" si="5"/>
        <v>ОГР</v>
      </c>
    </row>
    <row r="140" spans="3:6">
      <c r="C140" s="450" t="s">
        <v>956</v>
      </c>
      <c r="D140" s="450" t="s">
        <v>961</v>
      </c>
      <c r="E140" s="450" t="s">
        <v>971</v>
      </c>
      <c r="F140" s="863" t="str">
        <f t="shared" si="5"/>
        <v>СВЗ</v>
      </c>
    </row>
    <row r="141" spans="3:6">
      <c r="C141" s="450" t="s">
        <v>957</v>
      </c>
      <c r="D141" s="450" t="s">
        <v>962</v>
      </c>
      <c r="E141" s="450" t="s">
        <v>972</v>
      </c>
      <c r="F141" s="863" t="str">
        <f t="shared" si="5"/>
        <v>РГИ</v>
      </c>
    </row>
    <row r="142" spans="3:6">
      <c r="C142" s="518" t="s">
        <v>976</v>
      </c>
      <c r="D142" s="448"/>
      <c r="E142" s="448"/>
      <c r="F142" s="861">
        <f>IF(C129=D129,1,1.5)</f>
        <v>1</v>
      </c>
    </row>
  </sheetData>
  <sheetProtection selectLockedCells="1"/>
  <mergeCells count="66">
    <mergeCell ref="V5:W5"/>
    <mergeCell ref="X5:Y5"/>
    <mergeCell ref="R4:Y4"/>
    <mergeCell ref="AA5:AB5"/>
    <mergeCell ref="Q4:Q5"/>
    <mergeCell ref="R5:S5"/>
    <mergeCell ref="T5:U5"/>
    <mergeCell ref="C117:C119"/>
    <mergeCell ref="C105:C107"/>
    <mergeCell ref="C113:C116"/>
    <mergeCell ref="D113:D116"/>
    <mergeCell ref="E113:H114"/>
    <mergeCell ref="I113:I116"/>
    <mergeCell ref="J113:M114"/>
    <mergeCell ref="E115:H115"/>
    <mergeCell ref="J115:M115"/>
    <mergeCell ref="C102:C104"/>
    <mergeCell ref="D102:D104"/>
    <mergeCell ref="E102:H102"/>
    <mergeCell ref="I102:I104"/>
    <mergeCell ref="J102:M102"/>
    <mergeCell ref="E103:H103"/>
    <mergeCell ref="J103:M103"/>
    <mergeCell ref="C101:M101"/>
    <mergeCell ref="C62:C64"/>
    <mergeCell ref="C85:C87"/>
    <mergeCell ref="C88:C90"/>
    <mergeCell ref="C95:C97"/>
    <mergeCell ref="D95:D97"/>
    <mergeCell ref="E95:H95"/>
    <mergeCell ref="I95:I97"/>
    <mergeCell ref="J95:M95"/>
    <mergeCell ref="E96:H96"/>
    <mergeCell ref="J96:M96"/>
    <mergeCell ref="C98:C100"/>
    <mergeCell ref="E56:H56"/>
    <mergeCell ref="I56:I58"/>
    <mergeCell ref="J56:M56"/>
    <mergeCell ref="E57:H57"/>
    <mergeCell ref="J57:M57"/>
    <mergeCell ref="C59:C61"/>
    <mergeCell ref="C27:C29"/>
    <mergeCell ref="C30:C32"/>
    <mergeCell ref="C33:C35"/>
    <mergeCell ref="C36:C38"/>
    <mergeCell ref="C56:C58"/>
    <mergeCell ref="C42:C44"/>
    <mergeCell ref="C45:C47"/>
    <mergeCell ref="D56:D58"/>
    <mergeCell ref="C6:C8"/>
    <mergeCell ref="C9:C11"/>
    <mergeCell ref="C12:C14"/>
    <mergeCell ref="C15:C17"/>
    <mergeCell ref="C18:C20"/>
    <mergeCell ref="C24:C26"/>
    <mergeCell ref="C21:C23"/>
    <mergeCell ref="C39:C41"/>
    <mergeCell ref="C48:C50"/>
    <mergeCell ref="C51:C53"/>
    <mergeCell ref="C2:C5"/>
    <mergeCell ref="D2:D5"/>
    <mergeCell ref="E2:H2"/>
    <mergeCell ref="I2:I5"/>
    <mergeCell ref="J2:M2"/>
    <mergeCell ref="E3:H3"/>
    <mergeCell ref="J3:M3"/>
  </mergeCells>
  <pageMargins left="0.7" right="0.7" top="0.75" bottom="0.75" header="0.3" footer="0.3"/>
  <pageSetup paperSize="9" orientation="portrait" horizontalDpi="3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Q71"/>
  <sheetViews>
    <sheetView workbookViewId="0"/>
  </sheetViews>
  <sheetFormatPr defaultColWidth="24.44140625" defaultRowHeight="14.4"/>
  <cols>
    <col min="1" max="1" width="15.109375" style="1" bestFit="1" customWidth="1"/>
    <col min="2" max="2" width="25.33203125" style="1" customWidth="1"/>
    <col min="3" max="3" width="12.88671875" style="1" customWidth="1"/>
    <col min="4" max="4" width="10.6640625" style="1" customWidth="1"/>
    <col min="5" max="5" width="13.109375" style="1" bestFit="1" customWidth="1"/>
    <col min="6" max="6" width="12.5546875" style="1" bestFit="1" customWidth="1"/>
    <col min="7" max="7" width="9.6640625" style="1" customWidth="1"/>
    <col min="8" max="8" width="14.44140625" style="1" bestFit="1" customWidth="1"/>
    <col min="9" max="9" width="13.33203125" style="1" bestFit="1" customWidth="1"/>
    <col min="10" max="10" width="10.88671875" style="1" customWidth="1"/>
    <col min="11" max="11" width="13.33203125" style="1" customWidth="1"/>
    <col min="12" max="12" width="10.88671875" style="1" customWidth="1"/>
    <col min="13" max="13" width="11.88671875" style="1" customWidth="1"/>
    <col min="14" max="14" width="24.44140625" style="1"/>
    <col min="15" max="15" width="39" style="1" bestFit="1" customWidth="1"/>
    <col min="16" max="16384" width="24.44140625" style="1"/>
  </cols>
  <sheetData>
    <row r="1" spans="1:15" ht="15" thickBot="1">
      <c r="A1" s="1" t="s">
        <v>70</v>
      </c>
      <c r="C1" s="40" t="s">
        <v>53</v>
      </c>
      <c r="D1" s="41" t="s">
        <v>54</v>
      </c>
      <c r="E1" s="41" t="s">
        <v>60</v>
      </c>
      <c r="F1" s="41" t="s">
        <v>52</v>
      </c>
      <c r="G1" s="41" t="s">
        <v>58</v>
      </c>
      <c r="H1" s="41" t="s">
        <v>64</v>
      </c>
      <c r="I1" s="42" t="s">
        <v>61</v>
      </c>
      <c r="J1" s="80" t="s">
        <v>72</v>
      </c>
      <c r="K1" s="80" t="s">
        <v>71</v>
      </c>
      <c r="L1" s="41" t="s">
        <v>59</v>
      </c>
      <c r="M1" s="39" t="s">
        <v>51</v>
      </c>
    </row>
    <row r="2" spans="1:15">
      <c r="A2" s="1586" t="s">
        <v>422</v>
      </c>
      <c r="B2" s="43" t="s">
        <v>55</v>
      </c>
      <c r="C2" s="44">
        <v>0.33333333333300003</v>
      </c>
      <c r="D2" s="44">
        <v>0.33333333333300003</v>
      </c>
      <c r="E2" s="44">
        <v>0.33333333333300003</v>
      </c>
      <c r="F2" s="43" t="s">
        <v>6</v>
      </c>
      <c r="G2" s="43" t="s">
        <v>6</v>
      </c>
      <c r="H2" s="43" t="s">
        <v>6</v>
      </c>
      <c r="I2" s="43" t="s">
        <v>6</v>
      </c>
      <c r="J2" s="81"/>
      <c r="K2" s="81"/>
      <c r="L2" s="45">
        <f t="shared" ref="L2:L16" si="0">SUM(C2:E2)</f>
        <v>0.99999999999900013</v>
      </c>
      <c r="M2" s="46"/>
      <c r="N2" s="154"/>
    </row>
    <row r="3" spans="1:15">
      <c r="A3" s="1587"/>
      <c r="B3" s="47" t="str">
        <f ca="1">IF(M6=0,0,"Кол-во")</f>
        <v>Кол-во</v>
      </c>
      <c r="C3" s="48">
        <f ca="1">IF(SUM(INDIRECT({"ТИП1";"ТИП2";"ТИП3";"ТИП4";"ТИП5";"ТИП6";"ТИП7";"ТИП8";"ТИП9";"ТИП10"}&amp;"!AB21"))&gt;0,1,0)</f>
        <v>1</v>
      </c>
      <c r="D3" s="48">
        <f ca="1">IF(SUM(INDIRECT({"ТИП1";"ТИП2";"ТИП3";"ТИП4";"ТИП5";"ТИП6";"ТИП7";"ТИП8";"ТИП9";"ТИП10"}&amp;"!AC21"))&gt;0,1,0)</f>
        <v>0</v>
      </c>
      <c r="E3" s="48">
        <f ca="1">IF(SUM(INDIRECT({"ТИП1";"ТИП2";"ТИП3";"ТИП4";"ТИП5";"ТИП6";"ТИП7";"ТИП8";"ТИП9";"ТИП10"}&amp;"!AD21"))&gt;0,1,0)</f>
        <v>0</v>
      </c>
      <c r="F3" s="47" t="s">
        <v>6</v>
      </c>
      <c r="G3" s="47" t="s">
        <v>6</v>
      </c>
      <c r="H3" s="47" t="s">
        <v>6</v>
      </c>
      <c r="I3" s="47" t="s">
        <v>6</v>
      </c>
      <c r="J3" s="82"/>
      <c r="K3" s="82"/>
      <c r="L3" s="49">
        <f t="shared" ca="1" si="0"/>
        <v>1</v>
      </c>
      <c r="M3" s="50"/>
      <c r="N3" s="154"/>
    </row>
    <row r="4" spans="1:15">
      <c r="A4" s="1587"/>
      <c r="B4" s="47" t="s">
        <v>56</v>
      </c>
      <c r="C4" s="51">
        <f ca="1">IFERROR(C3/L3*C2,0)</f>
        <v>0.33333333333300003</v>
      </c>
      <c r="D4" s="51">
        <f ca="1">IFERROR(D3/L3*D2,0)</f>
        <v>0</v>
      </c>
      <c r="E4" s="51">
        <f ca="1">IFERROR(E3/L3*E2,0)</f>
        <v>0</v>
      </c>
      <c r="F4" s="47" t="s">
        <v>6</v>
      </c>
      <c r="G4" s="47" t="s">
        <v>6</v>
      </c>
      <c r="H4" s="47" t="s">
        <v>6</v>
      </c>
      <c r="I4" s="47" t="s">
        <v>6</v>
      </c>
      <c r="J4" s="82"/>
      <c r="K4" s="82"/>
      <c r="L4" s="52">
        <f t="shared" ca="1" si="0"/>
        <v>0.33333333333300003</v>
      </c>
      <c r="M4" s="53"/>
      <c r="N4" s="154"/>
      <c r="O4" s="85"/>
    </row>
    <row r="5" spans="1:15">
      <c r="A5" s="1587"/>
      <c r="B5" s="47" t="s">
        <v>57</v>
      </c>
      <c r="C5" s="51">
        <f ca="1">IFERROR(C4*L2/L4,0)</f>
        <v>0.99999999999900013</v>
      </c>
      <c r="D5" s="51">
        <f ca="1">IFERROR(D4*L2/L4,0)</f>
        <v>0</v>
      </c>
      <c r="E5" s="51">
        <f ca="1">IFERROR(E4*L2/L4,0)</f>
        <v>0</v>
      </c>
      <c r="F5" s="47" t="s">
        <v>6</v>
      </c>
      <c r="G5" s="47" t="s">
        <v>6</v>
      </c>
      <c r="H5" s="47" t="s">
        <v>6</v>
      </c>
      <c r="I5" s="47" t="s">
        <v>6</v>
      </c>
      <c r="J5" s="82"/>
      <c r="K5" s="82"/>
      <c r="L5" s="52">
        <f t="shared" ca="1" si="0"/>
        <v>0.99999999999900013</v>
      </c>
      <c r="M5" s="53"/>
      <c r="N5" s="154"/>
    </row>
    <row r="6" spans="1:15" ht="15" thickBot="1">
      <c r="A6" s="1588"/>
      <c r="B6" s="54" t="str">
        <f ca="1">IF(M6=0,0,"Стоимость")</f>
        <v>Стоимость</v>
      </c>
      <c r="C6" s="61">
        <f ca="1">$M$6*C5</f>
        <v>599.99999999940007</v>
      </c>
      <c r="D6" s="61">
        <f ca="1">$M$6*D5</f>
        <v>0</v>
      </c>
      <c r="E6" s="61">
        <f ca="1">$M$6*E5</f>
        <v>0</v>
      </c>
      <c r="F6" s="54"/>
      <c r="G6" s="54"/>
      <c r="H6" s="54"/>
      <c r="I6" s="54"/>
      <c r="J6" s="83"/>
      <c r="K6" s="83"/>
      <c r="L6" s="55">
        <f t="shared" ca="1" si="0"/>
        <v>599.99999999940007</v>
      </c>
      <c r="M6" s="63">
        <f ca="1">ОБЩИЕ_ДАННЫЕ!P34*0.5</f>
        <v>600</v>
      </c>
      <c r="N6" s="154"/>
      <c r="O6" s="143"/>
    </row>
    <row r="7" spans="1:15" hidden="1">
      <c r="A7" s="1589" t="s">
        <v>420</v>
      </c>
      <c r="B7" s="296" t="s">
        <v>55</v>
      </c>
      <c r="C7" s="297">
        <v>0.33333333333300003</v>
      </c>
      <c r="D7" s="297">
        <v>0.33333333333300003</v>
      </c>
      <c r="E7" s="297">
        <v>0.33333333333300003</v>
      </c>
      <c r="F7" s="296" t="s">
        <v>6</v>
      </c>
      <c r="G7" s="296" t="s">
        <v>6</v>
      </c>
      <c r="H7" s="296" t="s">
        <v>6</v>
      </c>
      <c r="I7" s="296" t="s">
        <v>6</v>
      </c>
      <c r="J7" s="298"/>
      <c r="K7" s="298"/>
      <c r="L7" s="299">
        <f t="shared" si="0"/>
        <v>0.99999999999900013</v>
      </c>
      <c r="M7" s="300"/>
    </row>
    <row r="8" spans="1:15" hidden="1">
      <c r="A8" s="1590"/>
      <c r="B8" s="301" t="e">
        <f>IF(M11=0,0,"Кол-во")</f>
        <v>#REF!</v>
      </c>
      <c r="C8" s="302">
        <f ca="1">IF(SUM(INDIRECT({"ТИП1";"ТИП2";"ТИП3";"ТИП4";"ТИП5";"ТИП6";"ТИП7";"ТИП8";"ТИП9";"ТИП10"}&amp;"!AB21"))&gt;0,1,0)</f>
        <v>1</v>
      </c>
      <c r="D8" s="302">
        <f ca="1">IF(SUM(INDIRECT({"ТИП1";"ТИП2";"ТИП3";"ТИП4";"ТИП5";"ТИП6";"ТИП7";"ТИП8";"ТИП9";"ТИП10"}&amp;"!AC21"))&gt;0,1,0)</f>
        <v>0</v>
      </c>
      <c r="E8" s="302">
        <f ca="1">IF(SUM(INDIRECT({"ТИП1";"ТИП2";"ТИП3";"ТИП4";"ТИП5";"ТИП6";"ТИП7";"ТИП8";"ТИП9";"ТИП10"}&amp;"!AD21"))&gt;0,1,0)</f>
        <v>0</v>
      </c>
      <c r="F8" s="301" t="s">
        <v>6</v>
      </c>
      <c r="G8" s="301" t="s">
        <v>6</v>
      </c>
      <c r="H8" s="301" t="s">
        <v>6</v>
      </c>
      <c r="I8" s="301" t="s">
        <v>6</v>
      </c>
      <c r="J8" s="303"/>
      <c r="K8" s="303"/>
      <c r="L8" s="304">
        <f t="shared" ca="1" si="0"/>
        <v>1</v>
      </c>
      <c r="M8" s="305"/>
    </row>
    <row r="9" spans="1:15" hidden="1">
      <c r="A9" s="1590"/>
      <c r="B9" s="301" t="s">
        <v>56</v>
      </c>
      <c r="C9" s="306">
        <f ca="1">IFERROR(C8/L8*C7,0)</f>
        <v>0.33333333333300003</v>
      </c>
      <c r="D9" s="306">
        <f ca="1">IFERROR(D8/L8*D7,0)</f>
        <v>0</v>
      </c>
      <c r="E9" s="306">
        <f ca="1">IFERROR(E8/L8*E7,0)</f>
        <v>0</v>
      </c>
      <c r="F9" s="301" t="s">
        <v>6</v>
      </c>
      <c r="G9" s="301" t="s">
        <v>6</v>
      </c>
      <c r="H9" s="301" t="s">
        <v>6</v>
      </c>
      <c r="I9" s="301" t="s">
        <v>6</v>
      </c>
      <c r="J9" s="303"/>
      <c r="K9" s="303"/>
      <c r="L9" s="307">
        <f t="shared" ca="1" si="0"/>
        <v>0.33333333333300003</v>
      </c>
      <c r="M9" s="308"/>
      <c r="O9" s="85"/>
    </row>
    <row r="10" spans="1:15" hidden="1">
      <c r="A10" s="1590"/>
      <c r="B10" s="301" t="s">
        <v>57</v>
      </c>
      <c r="C10" s="306">
        <f ca="1">IFERROR(C9*L7/L9,0)</f>
        <v>0.99999999999900013</v>
      </c>
      <c r="D10" s="306">
        <f ca="1">IFERROR(D9*L7/L9,0)</f>
        <v>0</v>
      </c>
      <c r="E10" s="306">
        <f ca="1">IFERROR(E9*L7/L9,0)</f>
        <v>0</v>
      </c>
      <c r="F10" s="301" t="s">
        <v>6</v>
      </c>
      <c r="G10" s="301" t="s">
        <v>6</v>
      </c>
      <c r="H10" s="301" t="s">
        <v>6</v>
      </c>
      <c r="I10" s="301" t="s">
        <v>6</v>
      </c>
      <c r="J10" s="303"/>
      <c r="K10" s="303"/>
      <c r="L10" s="307">
        <f t="shared" ca="1" si="0"/>
        <v>0.99999999999900013</v>
      </c>
      <c r="M10" s="308"/>
    </row>
    <row r="11" spans="1:15" ht="15" hidden="1" thickBot="1">
      <c r="A11" s="1591"/>
      <c r="B11" s="309" t="e">
        <f>IF(M11=0,0,"Стоимость")</f>
        <v>#REF!</v>
      </c>
      <c r="C11" s="310" t="e">
        <f ca="1">$M$11*C10</f>
        <v>#REF!</v>
      </c>
      <c r="D11" s="310" t="e">
        <f ca="1">$M$11*D10</f>
        <v>#REF!</v>
      </c>
      <c r="E11" s="310" t="e">
        <f ca="1">$M$11*E10</f>
        <v>#REF!</v>
      </c>
      <c r="F11" s="309"/>
      <c r="G11" s="309"/>
      <c r="H11" s="309"/>
      <c r="I11" s="309"/>
      <c r="J11" s="311"/>
      <c r="K11" s="311"/>
      <c r="L11" s="312" t="e">
        <f t="shared" ca="1" si="0"/>
        <v>#REF!</v>
      </c>
      <c r="M11" s="313" t="e">
        <f>(ОБЩИЕ_ДАННЫЕ!#REF!)*0.5</f>
        <v>#REF!</v>
      </c>
      <c r="O11" s="143"/>
    </row>
    <row r="12" spans="1:15" hidden="1">
      <c r="A12" s="1592" t="s">
        <v>421</v>
      </c>
      <c r="B12" s="296" t="s">
        <v>55</v>
      </c>
      <c r="C12" s="297">
        <v>0.33333333333300003</v>
      </c>
      <c r="D12" s="297">
        <v>0.33333333333300003</v>
      </c>
      <c r="E12" s="297">
        <v>0.33333333333300003</v>
      </c>
      <c r="F12" s="296" t="s">
        <v>6</v>
      </c>
      <c r="G12" s="296" t="s">
        <v>6</v>
      </c>
      <c r="H12" s="296" t="s">
        <v>6</v>
      </c>
      <c r="I12" s="296" t="s">
        <v>6</v>
      </c>
      <c r="J12" s="298"/>
      <c r="K12" s="298"/>
      <c r="L12" s="299">
        <f t="shared" si="0"/>
        <v>0.99999999999900013</v>
      </c>
      <c r="M12" s="300"/>
    </row>
    <row r="13" spans="1:15" hidden="1">
      <c r="A13" s="1593"/>
      <c r="B13" s="301" t="e">
        <f>IF(M16=0,0,"Кол-во")</f>
        <v>#REF!</v>
      </c>
      <c r="C13" s="302">
        <f ca="1">IF(SUM(INDIRECT({"ТИП1";"ТИП2";"ТИП3";"ТИП4";"ТИП5";"ТИП6";"ТИП7";"ТИП8";"ТИП9";"ТИП10"}&amp;"!AB21"))&gt;0,1,0)</f>
        <v>1</v>
      </c>
      <c r="D13" s="302">
        <f ca="1">IF(SUM(INDIRECT({"ТИП1";"ТИП2";"ТИП3";"ТИП4";"ТИП5";"ТИП6";"ТИП7";"ТИП8";"ТИП9";"ТИП10"}&amp;"!AC21"))&gt;0,1,0)</f>
        <v>0</v>
      </c>
      <c r="E13" s="302">
        <f ca="1">IF(SUM(INDIRECT({"ТИП1";"ТИП2";"ТИП3";"ТИП4";"ТИП5";"ТИП6";"ТИП7";"ТИП8";"ТИП9";"ТИП10"}&amp;"!AD21"))&gt;0,1,0)</f>
        <v>0</v>
      </c>
      <c r="F13" s="301" t="s">
        <v>6</v>
      </c>
      <c r="G13" s="301" t="s">
        <v>6</v>
      </c>
      <c r="H13" s="301" t="s">
        <v>6</v>
      </c>
      <c r="I13" s="301" t="s">
        <v>6</v>
      </c>
      <c r="J13" s="303"/>
      <c r="K13" s="303"/>
      <c r="L13" s="304">
        <f t="shared" ca="1" si="0"/>
        <v>1</v>
      </c>
      <c r="M13" s="305"/>
    </row>
    <row r="14" spans="1:15" hidden="1">
      <c r="A14" s="1593"/>
      <c r="B14" s="301" t="s">
        <v>56</v>
      </c>
      <c r="C14" s="306">
        <f ca="1">IFERROR(C13/L13*C12,0)</f>
        <v>0.33333333333300003</v>
      </c>
      <c r="D14" s="306">
        <f ca="1">IFERROR(D13/L13*D12,0)</f>
        <v>0</v>
      </c>
      <c r="E14" s="306">
        <f ca="1">IFERROR(E13/L13*E12,0)</f>
        <v>0</v>
      </c>
      <c r="F14" s="301" t="s">
        <v>6</v>
      </c>
      <c r="G14" s="301" t="s">
        <v>6</v>
      </c>
      <c r="H14" s="301" t="s">
        <v>6</v>
      </c>
      <c r="I14" s="301" t="s">
        <v>6</v>
      </c>
      <c r="J14" s="303"/>
      <c r="K14" s="303"/>
      <c r="L14" s="307">
        <f t="shared" ca="1" si="0"/>
        <v>0.33333333333300003</v>
      </c>
      <c r="M14" s="308"/>
      <c r="O14" s="85"/>
    </row>
    <row r="15" spans="1:15" hidden="1">
      <c r="A15" s="1593"/>
      <c r="B15" s="301" t="s">
        <v>57</v>
      </c>
      <c r="C15" s="306">
        <f ca="1">IFERROR(C14*L12/L14,0)</f>
        <v>0.99999999999900013</v>
      </c>
      <c r="D15" s="306">
        <f ca="1">IFERROR(D14*L12/L14,0)</f>
        <v>0</v>
      </c>
      <c r="E15" s="306">
        <f ca="1">IFERROR(E14*L12/L14,0)</f>
        <v>0</v>
      </c>
      <c r="F15" s="301" t="s">
        <v>6</v>
      </c>
      <c r="G15" s="301" t="s">
        <v>6</v>
      </c>
      <c r="H15" s="301" t="s">
        <v>6</v>
      </c>
      <c r="I15" s="301" t="s">
        <v>6</v>
      </c>
      <c r="J15" s="303"/>
      <c r="K15" s="303"/>
      <c r="L15" s="307">
        <f t="shared" ca="1" si="0"/>
        <v>0.99999999999900013</v>
      </c>
      <c r="M15" s="308"/>
    </row>
    <row r="16" spans="1:15" ht="15" hidden="1" thickBot="1">
      <c r="A16" s="1594"/>
      <c r="B16" s="309" t="e">
        <f>IF(M16=0,0,"Стоимость")</f>
        <v>#REF!</v>
      </c>
      <c r="C16" s="310" t="e">
        <f ca="1">$M$16*C15</f>
        <v>#REF!</v>
      </c>
      <c r="D16" s="310" t="e">
        <f ca="1">$M$16*D15</f>
        <v>#REF!</v>
      </c>
      <c r="E16" s="310" t="e">
        <f ca="1">$M$16*E15</f>
        <v>#REF!</v>
      </c>
      <c r="F16" s="309"/>
      <c r="G16" s="309"/>
      <c r="H16" s="309"/>
      <c r="I16" s="309"/>
      <c r="J16" s="311"/>
      <c r="K16" s="311"/>
      <c r="L16" s="312" t="e">
        <f t="shared" ca="1" si="0"/>
        <v>#REF!</v>
      </c>
      <c r="M16" s="313" t="e">
        <f>(ОБЩИЕ_ДАННЫЕ!#REF!)*0.5</f>
        <v>#REF!</v>
      </c>
      <c r="O16" s="143"/>
    </row>
    <row r="17" spans="1:17" ht="15" customHeight="1">
      <c r="A17" s="1586" t="s">
        <v>276</v>
      </c>
      <c r="B17" s="43" t="s">
        <v>55</v>
      </c>
      <c r="C17" s="57">
        <v>0.15</v>
      </c>
      <c r="D17" s="57">
        <v>0.15</v>
      </c>
      <c r="E17" s="57">
        <v>0.15</v>
      </c>
      <c r="F17" s="57">
        <v>0.35</v>
      </c>
      <c r="G17" s="57">
        <v>0.15</v>
      </c>
      <c r="H17" s="57">
        <v>0.05</v>
      </c>
      <c r="I17" s="43" t="s">
        <v>6</v>
      </c>
      <c r="J17" s="81"/>
      <c r="K17" s="81"/>
      <c r="L17" s="58">
        <f t="shared" ref="L17:L22" si="1">SUM(C17:H17)</f>
        <v>1</v>
      </c>
      <c r="M17" s="46"/>
      <c r="N17" s="154"/>
      <c r="O17" s="154"/>
      <c r="P17" s="155"/>
      <c r="Q17" s="155"/>
    </row>
    <row r="18" spans="1:17">
      <c r="A18" s="1587"/>
      <c r="B18" s="47" t="str">
        <f ca="1">IF(M21=0,0,"Кол-во")</f>
        <v>Кол-во</v>
      </c>
      <c r="C18" s="48">
        <f>IF(ОБЩИЕ_ДАННЫЕ!H119=0,0,IF(AND(SUMIF('ОБЩАЯ СПЕЦИФИКАЦИЯ'!J29:J126,"&gt;0")&gt;0,ОБЩИЕ_ДАННЫЕ!O35&gt;0),1,0))</f>
        <v>1</v>
      </c>
      <c r="D18" s="48">
        <f>IF(ОБЩИЕ_ДАННЫЕ!I119=0,0,IF(AND(SUMIF('ОБЩАЯ СПЕЦИФИКАЦИЯ'!J133:J155,"&gt;0")&gt;0,ОБЩИЕ_ДАННЫЕ!O35&gt;0),1,0))</f>
        <v>0</v>
      </c>
      <c r="E18" s="48">
        <f>IF(ОБЩИЕ_ДАННЫЕ!J119=0,0,IF(AND(SUMIF('ОБЩАЯ СПЕЦИФИКАЦИЯ'!J156:J174,"&gt;0")&gt;0,ОБЩИЕ_ДАННЫЕ!O35&gt;0),1,0))</f>
        <v>0</v>
      </c>
      <c r="F18" s="48">
        <f>IF(ОБЩИЕ_ДАННЫЕ!K119=0,0,IF(ОБЩИЕ_ДАННЫЕ!O35&gt;0,1,0))</f>
        <v>1</v>
      </c>
      <c r="G18" s="48">
        <f>IF(ОБЩИЕ_ДАННЫЕ!L119=0,0,IF(AND(OR(SUMIF('ОБЩАЯ СПЕЦИФИКАЦИЯ'!J16:J23,"&gt;0")&gt;0,SUMIF('ОБЩАЯ СПЕЦИФИКАЦИЯ'!J205:J211,"&gt;0")&gt;0,SUMIF('ОБЩАЯ СПЕЦИФИКАЦИЯ'!J213:J216,"&gt;0"),SUMIF('ОБЩАЯ СПЕЦИФИКАЦИЯ'!J217:J222,"&gt;0")&gt;0),ОБЩИЕ_ДАННЫЕ!O35&gt;0),1,0))</f>
        <v>1</v>
      </c>
      <c r="H18" s="177">
        <f>IF(ОБЩИЕ_ДАННЫЕ!M119=0,0,IF(AND(OR('ОБЩАЯ СПЕЦИФИКАЦИЯ'!J212&gt;0,'ОБЩАЯ СПЕЦИФИКАЦИЯ'!J203&gt;0),ОБЩИЕ_ДАННЫЕ!O35&gt;0),1,0))</f>
        <v>0</v>
      </c>
      <c r="I18" s="47" t="s">
        <v>6</v>
      </c>
      <c r="J18" s="82"/>
      <c r="K18" s="82"/>
      <c r="L18" s="49">
        <f>SUM(C18:H18)</f>
        <v>3</v>
      </c>
      <c r="M18" s="50"/>
      <c r="N18" s="154"/>
      <c r="O18" s="85"/>
      <c r="P18" s="155"/>
      <c r="Q18" s="155"/>
    </row>
    <row r="19" spans="1:17" ht="15" customHeight="1">
      <c r="A19" s="1587"/>
      <c r="B19" s="47" t="s">
        <v>56</v>
      </c>
      <c r="C19" s="51">
        <f>IFERROR(C18/L18*C17,0)</f>
        <v>4.9999999999999996E-2</v>
      </c>
      <c r="D19" s="51">
        <f>IFERROR(D18/L18*D17,0)</f>
        <v>0</v>
      </c>
      <c r="E19" s="51">
        <f>IFERROR(E18/L18*E17,0)</f>
        <v>0</v>
      </c>
      <c r="F19" s="51">
        <f>IFERROR(F18/L18*F17,0)</f>
        <v>0.11666666666666665</v>
      </c>
      <c r="G19" s="51">
        <f>IFERROR(G18/L18*G17,0)</f>
        <v>4.9999999999999996E-2</v>
      </c>
      <c r="H19" s="51">
        <f>IFERROR(H18/L18*H17,0)</f>
        <v>0</v>
      </c>
      <c r="I19" s="47" t="s">
        <v>6</v>
      </c>
      <c r="J19" s="82"/>
      <c r="K19" s="82"/>
      <c r="L19" s="59">
        <f>SUM(C19:H19)</f>
        <v>0.21666666666666665</v>
      </c>
      <c r="M19" s="60"/>
      <c r="N19" s="154"/>
      <c r="O19" s="144"/>
      <c r="P19" s="155"/>
      <c r="Q19" s="155"/>
    </row>
    <row r="20" spans="1:17" ht="15" customHeight="1">
      <c r="A20" s="1587"/>
      <c r="B20" s="47" t="s">
        <v>57</v>
      </c>
      <c r="C20" s="51">
        <f>IFERROR(C19*L17/L19,0)</f>
        <v>0.23076923076923078</v>
      </c>
      <c r="D20" s="51">
        <f>IFERROR(D19*L17/L19,0)</f>
        <v>0</v>
      </c>
      <c r="E20" s="51">
        <f>IFERROR(E19*L17/L19,0)</f>
        <v>0</v>
      </c>
      <c r="F20" s="51">
        <f>IFERROR(F19*L17/L19,0)</f>
        <v>0.53846153846153844</v>
      </c>
      <c r="G20" s="51">
        <f>IFERROR(G19*L17/L19,0)</f>
        <v>0.23076923076923078</v>
      </c>
      <c r="H20" s="51">
        <f>IFERROR(H19*L17/L19,0)</f>
        <v>0</v>
      </c>
      <c r="I20" s="47" t="s">
        <v>6</v>
      </c>
      <c r="J20" s="82"/>
      <c r="K20" s="82"/>
      <c r="L20" s="59">
        <f t="shared" si="1"/>
        <v>1</v>
      </c>
      <c r="M20" s="60"/>
      <c r="N20" s="154"/>
      <c r="O20" s="85"/>
      <c r="P20" s="155"/>
      <c r="Q20" s="155"/>
    </row>
    <row r="21" spans="1:17" ht="15" thickBot="1">
      <c r="A21" s="1588"/>
      <c r="B21" s="54" t="str">
        <f ca="1">IF(M21=0,0,"Стоимость")</f>
        <v>Стоимость</v>
      </c>
      <c r="C21" s="61">
        <f t="shared" ref="C21:H21" ca="1" si="2">$M$21*C20</f>
        <v>332.30769230769238</v>
      </c>
      <c r="D21" s="61">
        <f t="shared" ca="1" si="2"/>
        <v>0</v>
      </c>
      <c r="E21" s="61">
        <f t="shared" ca="1" si="2"/>
        <v>0</v>
      </c>
      <c r="F21" s="61">
        <f t="shared" ca="1" si="2"/>
        <v>775.38461538461547</v>
      </c>
      <c r="G21" s="61">
        <f t="shared" ca="1" si="2"/>
        <v>332.30769230769238</v>
      </c>
      <c r="H21" s="61">
        <f t="shared" ca="1" si="2"/>
        <v>0</v>
      </c>
      <c r="I21" s="54"/>
      <c r="J21" s="83"/>
      <c r="K21" s="83"/>
      <c r="L21" s="62">
        <f t="shared" ca="1" si="1"/>
        <v>1440.0000000000002</v>
      </c>
      <c r="M21" s="63">
        <f ca="1">ОБЩИЕ_ДАННЫЕ!P35*0.5</f>
        <v>1440.0000000000002</v>
      </c>
      <c r="N21" s="154"/>
      <c r="O21" s="85"/>
      <c r="P21" s="155"/>
      <c r="Q21" s="155"/>
    </row>
    <row r="22" spans="1:17">
      <c r="A22" s="1586" t="s">
        <v>275</v>
      </c>
      <c r="B22" s="43" t="s">
        <v>55</v>
      </c>
      <c r="C22" s="64">
        <v>0.183333333333</v>
      </c>
      <c r="D22" s="64">
        <v>0.183333333333</v>
      </c>
      <c r="E22" s="64">
        <v>0.183333333333</v>
      </c>
      <c r="F22" s="64" t="s">
        <v>6</v>
      </c>
      <c r="G22" s="64">
        <v>0.4</v>
      </c>
      <c r="H22" s="44">
        <v>0.05</v>
      </c>
      <c r="I22" s="43" t="s">
        <v>6</v>
      </c>
      <c r="J22" s="81"/>
      <c r="K22" s="81"/>
      <c r="L22" s="65">
        <f t="shared" si="1"/>
        <v>0.99999999999900002</v>
      </c>
      <c r="M22" s="46"/>
      <c r="N22" s="154"/>
      <c r="O22" s="85"/>
      <c r="P22" s="155"/>
      <c r="Q22" s="155"/>
    </row>
    <row r="23" spans="1:17">
      <c r="A23" s="1587"/>
      <c r="B23" s="47">
        <f>IF(M26=0,0,"Кол-во")</f>
        <v>0</v>
      </c>
      <c r="C23" s="48">
        <f>IF(ОБЩИЕ_ДАННЫЕ!H119=0,0,IF(AND(SUMIF('ОБЩАЯ СПЕЦИФИКАЦИЯ'!J29:J126,"&gt;0")&gt;0,ОБЩИЕ_ДАННЫЕ!O36&gt;0),1,0))</f>
        <v>0</v>
      </c>
      <c r="D23" s="48">
        <f>IF(ОБЩИЕ_ДАННЫЕ!I119=0,0,IF(AND(SUMIF('ОБЩАЯ СПЕЦИФИКАЦИЯ'!J133:J155,"&gt;0")&gt;0,ОБЩИЕ_ДАННЫЕ!O36&gt;0),1,0))</f>
        <v>0</v>
      </c>
      <c r="E23" s="48">
        <f>IF(ОБЩИЕ_ДАННЫЕ!J119=0,0,IF(AND(SUMIF('ОБЩАЯ СПЕЦИФИКАЦИЯ'!J156:J174,"&gt;0")&gt;0,ОБЩИЕ_ДАННЫЕ!O36&gt;0),1,0))</f>
        <v>0</v>
      </c>
      <c r="F23" s="66" t="s">
        <v>6</v>
      </c>
      <c r="G23" s="48">
        <f>IF(ОБЩИЕ_ДАННЫЕ!L119=0,0,IF(ОБЩИЕ_ДАННЫЕ!O36&gt;0,1,0))</f>
        <v>0</v>
      </c>
      <c r="H23" s="177">
        <f>IF(ОБЩИЕ_ДАННЫЕ!M119=0,0,IF(AND(OR('ОБЩАЯ СПЕЦИФИКАЦИЯ'!J212&gt;0,'ОБЩАЯ СПЕЦИФИКАЦИЯ'!J203&gt;0),ОБЩИЕ_ДАННЫЕ!O36&gt;0),1,0))</f>
        <v>0</v>
      </c>
      <c r="I23" s="47" t="s">
        <v>6</v>
      </c>
      <c r="J23" s="82"/>
      <c r="K23" s="82"/>
      <c r="L23" s="145">
        <f>SUM(C23:H23)</f>
        <v>0</v>
      </c>
      <c r="M23" s="50"/>
      <c r="N23" s="154"/>
      <c r="O23" s="85"/>
    </row>
    <row r="24" spans="1:17">
      <c r="A24" s="1587"/>
      <c r="B24" s="47" t="s">
        <v>56</v>
      </c>
      <c r="C24" s="51">
        <f>IFERROR(C23/L23*C22,0)</f>
        <v>0</v>
      </c>
      <c r="D24" s="51">
        <f>IFERROR(D23/L23*D22,0)</f>
        <v>0</v>
      </c>
      <c r="E24" s="51">
        <f>IFERROR(E23/L23*E22,0)</f>
        <v>0</v>
      </c>
      <c r="F24" s="66" t="s">
        <v>6</v>
      </c>
      <c r="G24" s="51">
        <f>IFERROR(G23/L23*$G$22,0)</f>
        <v>0</v>
      </c>
      <c r="H24" s="51">
        <f>IFERROR(H23/L23*$H$22,0)</f>
        <v>0</v>
      </c>
      <c r="I24" s="47" t="s">
        <v>6</v>
      </c>
      <c r="J24" s="82"/>
      <c r="K24" s="82"/>
      <c r="L24" s="67">
        <f>SUM(C24:H24)</f>
        <v>0</v>
      </c>
      <c r="M24" s="53"/>
      <c r="N24" s="154"/>
      <c r="O24" s="85"/>
    </row>
    <row r="25" spans="1:17">
      <c r="A25" s="1587"/>
      <c r="B25" s="47" t="s">
        <v>57</v>
      </c>
      <c r="C25" s="51">
        <f>IFERROR(C24*L22/L24,0)</f>
        <v>0</v>
      </c>
      <c r="D25" s="51">
        <f>IFERROR(D24*L22/L24,0)</f>
        <v>0</v>
      </c>
      <c r="E25" s="51">
        <f>IFERROR(E24*L22/L24,0)</f>
        <v>0</v>
      </c>
      <c r="F25" s="66" t="s">
        <v>6</v>
      </c>
      <c r="G25" s="51">
        <f>IFERROR(G24*L$22/L$24,0)</f>
        <v>0</v>
      </c>
      <c r="H25" s="51">
        <f>IFERROR(H24*L$22/L$24,0)</f>
        <v>0</v>
      </c>
      <c r="I25" s="47" t="s">
        <v>6</v>
      </c>
      <c r="J25" s="82"/>
      <c r="K25" s="82"/>
      <c r="L25" s="68">
        <f>SUM(C25:H25)</f>
        <v>0</v>
      </c>
      <c r="M25" s="53"/>
      <c r="N25" s="154"/>
    </row>
    <row r="26" spans="1:17" ht="15" thickBot="1">
      <c r="A26" s="1588"/>
      <c r="B26" s="54">
        <f>IF(M26=0,0,"Стоимость")</f>
        <v>0</v>
      </c>
      <c r="C26" s="61">
        <f>$M$26*C25</f>
        <v>0</v>
      </c>
      <c r="D26" s="61">
        <f>$M$26*D25</f>
        <v>0</v>
      </c>
      <c r="E26" s="61">
        <f>$M$26*E25</f>
        <v>0</v>
      </c>
      <c r="F26" s="69"/>
      <c r="G26" s="61">
        <f>$M$26*G25</f>
        <v>0</v>
      </c>
      <c r="H26" s="61">
        <f>$M$26*H25</f>
        <v>0</v>
      </c>
      <c r="I26" s="54"/>
      <c r="J26" s="83"/>
      <c r="K26" s="83"/>
      <c r="L26" s="70">
        <f>$M$26*L25</f>
        <v>0</v>
      </c>
      <c r="M26" s="56">
        <f>ОБЩИЕ_ДАННЫЕ!P36*0.5</f>
        <v>0</v>
      </c>
      <c r="N26" s="154"/>
      <c r="O26" s="212"/>
    </row>
    <row r="27" spans="1:17">
      <c r="A27" s="1580" t="s">
        <v>1119</v>
      </c>
      <c r="B27" s="43" t="s">
        <v>55</v>
      </c>
      <c r="C27" s="43" t="s">
        <v>6</v>
      </c>
      <c r="D27" s="43" t="s">
        <v>6</v>
      </c>
      <c r="E27" s="43" t="s">
        <v>6</v>
      </c>
      <c r="F27" s="44">
        <v>1</v>
      </c>
      <c r="G27" s="43" t="s">
        <v>6</v>
      </c>
      <c r="H27" s="43" t="s">
        <v>6</v>
      </c>
      <c r="I27" s="43" t="s">
        <v>6</v>
      </c>
      <c r="J27" s="81"/>
      <c r="K27" s="81"/>
      <c r="L27" s="65">
        <f t="shared" ref="L27:L36" si="3">SUM(F27:G27)</f>
        <v>1</v>
      </c>
      <c r="M27" s="46"/>
      <c r="O27" s="85"/>
    </row>
    <row r="28" spans="1:17">
      <c r="A28" s="1575"/>
      <c r="B28" s="47">
        <f>IF(M31=0,0,"Кол-во")</f>
        <v>0</v>
      </c>
      <c r="C28" s="47" t="s">
        <v>6</v>
      </c>
      <c r="D28" s="47" t="s">
        <v>6</v>
      </c>
      <c r="E28" s="47" t="s">
        <v>6</v>
      </c>
      <c r="F28" s="48">
        <f>IF(ОБЩИЕ_ДАННЫЕ!O37&gt;0,1,0)</f>
        <v>0</v>
      </c>
      <c r="G28" s="47" t="s">
        <v>6</v>
      </c>
      <c r="H28" s="47" t="s">
        <v>6</v>
      </c>
      <c r="I28" s="47" t="s">
        <v>6</v>
      </c>
      <c r="J28" s="82"/>
      <c r="K28" s="82"/>
      <c r="L28" s="49">
        <f t="shared" si="3"/>
        <v>0</v>
      </c>
      <c r="M28" s="50"/>
      <c r="O28" s="85"/>
    </row>
    <row r="29" spans="1:17">
      <c r="A29" s="1575"/>
      <c r="B29" s="47" t="s">
        <v>56</v>
      </c>
      <c r="C29" s="47" t="s">
        <v>6</v>
      </c>
      <c r="D29" s="47" t="s">
        <v>6</v>
      </c>
      <c r="E29" s="47" t="s">
        <v>6</v>
      </c>
      <c r="F29" s="51">
        <f>IFERROR(F28/$L$28*F27,0)</f>
        <v>0</v>
      </c>
      <c r="G29" s="47" t="s">
        <v>6</v>
      </c>
      <c r="H29" s="47" t="s">
        <v>6</v>
      </c>
      <c r="I29" s="47" t="s">
        <v>6</v>
      </c>
      <c r="J29" s="82"/>
      <c r="K29" s="82"/>
      <c r="L29" s="71">
        <f t="shared" si="3"/>
        <v>0</v>
      </c>
      <c r="M29" s="53"/>
    </row>
    <row r="30" spans="1:17">
      <c r="A30" s="1575"/>
      <c r="B30" s="47" t="s">
        <v>57</v>
      </c>
      <c r="C30" s="47" t="s">
        <v>6</v>
      </c>
      <c r="D30" s="47" t="s">
        <v>6</v>
      </c>
      <c r="E30" s="47" t="s">
        <v>6</v>
      </c>
      <c r="F30" s="51">
        <f>IFERROR(F29*$L$27/$L$29,0)</f>
        <v>0</v>
      </c>
      <c r="G30" s="47" t="s">
        <v>6</v>
      </c>
      <c r="H30" s="47" t="s">
        <v>6</v>
      </c>
      <c r="I30" s="47" t="s">
        <v>6</v>
      </c>
      <c r="J30" s="82"/>
      <c r="K30" s="82"/>
      <c r="L30" s="71">
        <f t="shared" si="3"/>
        <v>0</v>
      </c>
      <c r="M30" s="53"/>
      <c r="O30" s="85"/>
    </row>
    <row r="31" spans="1:17" ht="15" thickBot="1">
      <c r="A31" s="1576"/>
      <c r="B31" s="54">
        <f>IF(M31=0,0,"Стоимость")</f>
        <v>0</v>
      </c>
      <c r="C31" s="72"/>
      <c r="D31" s="72"/>
      <c r="E31" s="54"/>
      <c r="F31" s="73">
        <f>F30*M31</f>
        <v>0</v>
      </c>
      <c r="G31" s="47" t="s">
        <v>6</v>
      </c>
      <c r="H31" s="47" t="s">
        <v>6</v>
      </c>
      <c r="I31" s="47" t="s">
        <v>6</v>
      </c>
      <c r="J31" s="83"/>
      <c r="K31" s="83"/>
      <c r="L31" s="74">
        <f t="shared" si="3"/>
        <v>0</v>
      </c>
      <c r="M31" s="56">
        <f>IF(F28=1,(ОБЩИЕ_ДАННЫЕ!P37*0.25),0)</f>
        <v>0</v>
      </c>
    </row>
    <row r="32" spans="1:17">
      <c r="A32" s="1580" t="s">
        <v>1120</v>
      </c>
      <c r="B32" s="43" t="s">
        <v>55</v>
      </c>
      <c r="C32" s="43" t="s">
        <v>6</v>
      </c>
      <c r="D32" s="43" t="s">
        <v>6</v>
      </c>
      <c r="E32" s="43" t="s">
        <v>6</v>
      </c>
      <c r="F32" s="47" t="s">
        <v>6</v>
      </c>
      <c r="G32" s="44">
        <v>1</v>
      </c>
      <c r="H32" s="43" t="s">
        <v>6</v>
      </c>
      <c r="I32" s="43" t="s">
        <v>6</v>
      </c>
      <c r="J32" s="81"/>
      <c r="K32" s="81"/>
      <c r="L32" s="65">
        <f t="shared" si="3"/>
        <v>1</v>
      </c>
      <c r="M32" s="46"/>
    </row>
    <row r="33" spans="1:15">
      <c r="A33" s="1575"/>
      <c r="B33" s="47">
        <f>IF(M36=0,0,"Кол-во")</f>
        <v>0</v>
      </c>
      <c r="C33" s="47" t="s">
        <v>6</v>
      </c>
      <c r="D33" s="47" t="s">
        <v>6</v>
      </c>
      <c r="E33" s="47" t="s">
        <v>6</v>
      </c>
      <c r="F33" s="47" t="s">
        <v>6</v>
      </c>
      <c r="G33" s="48">
        <f>IF(ОБЩИЕ_ДАННЫЕ!O38&gt;0,1,0)</f>
        <v>0</v>
      </c>
      <c r="H33" s="47" t="s">
        <v>6</v>
      </c>
      <c r="I33" s="47" t="s">
        <v>6</v>
      </c>
      <c r="J33" s="82"/>
      <c r="K33" s="82"/>
      <c r="L33" s="49">
        <f t="shared" si="3"/>
        <v>0</v>
      </c>
      <c r="M33" s="50"/>
    </row>
    <row r="34" spans="1:15">
      <c r="A34" s="1575"/>
      <c r="B34" s="47" t="s">
        <v>56</v>
      </c>
      <c r="C34" s="47" t="s">
        <v>6</v>
      </c>
      <c r="D34" s="47" t="s">
        <v>6</v>
      </c>
      <c r="E34" s="47" t="s">
        <v>6</v>
      </c>
      <c r="F34" s="47" t="s">
        <v>6</v>
      </c>
      <c r="G34" s="51">
        <f>IFERROR(G33/$L$33*G32,0)</f>
        <v>0</v>
      </c>
      <c r="H34" s="47" t="s">
        <v>6</v>
      </c>
      <c r="I34" s="47" t="s">
        <v>6</v>
      </c>
      <c r="J34" s="82"/>
      <c r="K34" s="82"/>
      <c r="L34" s="71">
        <f t="shared" si="3"/>
        <v>0</v>
      </c>
      <c r="M34" s="53"/>
    </row>
    <row r="35" spans="1:15">
      <c r="A35" s="1575"/>
      <c r="B35" s="47" t="s">
        <v>57</v>
      </c>
      <c r="C35" s="47" t="s">
        <v>6</v>
      </c>
      <c r="D35" s="47" t="s">
        <v>6</v>
      </c>
      <c r="E35" s="47" t="s">
        <v>6</v>
      </c>
      <c r="F35" s="47" t="s">
        <v>6</v>
      </c>
      <c r="G35" s="51">
        <f>IFERROR(G34*L32/L34,0)</f>
        <v>0</v>
      </c>
      <c r="H35" s="47" t="s">
        <v>6</v>
      </c>
      <c r="I35" s="47" t="s">
        <v>6</v>
      </c>
      <c r="J35" s="82"/>
      <c r="K35" s="82"/>
      <c r="L35" s="71">
        <f t="shared" si="3"/>
        <v>0</v>
      </c>
      <c r="M35" s="53"/>
    </row>
    <row r="36" spans="1:15" ht="15" thickBot="1">
      <c r="A36" s="1576"/>
      <c r="B36" s="54">
        <f>IF(M36=0,0,"Стоимость")</f>
        <v>0</v>
      </c>
      <c r="C36" s="47" t="s">
        <v>6</v>
      </c>
      <c r="D36" s="47" t="s">
        <v>6</v>
      </c>
      <c r="E36" s="47" t="s">
        <v>6</v>
      </c>
      <c r="F36" s="47" t="s">
        <v>6</v>
      </c>
      <c r="G36" s="73">
        <f>G35*M36</f>
        <v>0</v>
      </c>
      <c r="H36" s="47" t="s">
        <v>6</v>
      </c>
      <c r="I36" s="47" t="s">
        <v>6</v>
      </c>
      <c r="J36" s="83"/>
      <c r="K36" s="83"/>
      <c r="L36" s="74">
        <f t="shared" si="3"/>
        <v>0</v>
      </c>
      <c r="M36" s="56">
        <f>IF(G33=1,(ОБЩИЕ_ДАННЫЕ!P38*0.25),0)</f>
        <v>0</v>
      </c>
    </row>
    <row r="37" spans="1:15">
      <c r="A37" s="1574" t="s">
        <v>899</v>
      </c>
      <c r="B37" s="43" t="s">
        <v>55</v>
      </c>
      <c r="C37" s="64">
        <v>0.33333333333332998</v>
      </c>
      <c r="D37" s="64">
        <v>0.33333333333332998</v>
      </c>
      <c r="E37" s="64">
        <v>0.33333333333332998</v>
      </c>
      <c r="F37" s="43" t="s">
        <v>6</v>
      </c>
      <c r="G37" s="43" t="s">
        <v>6</v>
      </c>
      <c r="H37" s="43" t="s">
        <v>6</v>
      </c>
      <c r="I37" s="43" t="s">
        <v>6</v>
      </c>
      <c r="J37" s="81"/>
      <c r="K37" s="81"/>
      <c r="L37" s="75">
        <f>SUM(C37:E37)</f>
        <v>0.99999999999999001</v>
      </c>
      <c r="M37" s="46"/>
    </row>
    <row r="38" spans="1:15">
      <c r="A38" s="1575"/>
      <c r="B38" s="47">
        <f>IF(M41=0,0,"Кол-во")</f>
        <v>0</v>
      </c>
      <c r="C38" s="48">
        <f>ОБЩИЕ_ДАННЫЕ!W39</f>
        <v>0</v>
      </c>
      <c r="D38" s="48">
        <f>ОБЩИЕ_ДАННЫЕ!X39</f>
        <v>0</v>
      </c>
      <c r="E38" s="48">
        <f>ОБЩИЕ_ДАННЫЕ!Y39</f>
        <v>0</v>
      </c>
      <c r="F38" s="47" t="s">
        <v>6</v>
      </c>
      <c r="G38" s="47" t="s">
        <v>6</v>
      </c>
      <c r="H38" s="47" t="s">
        <v>6</v>
      </c>
      <c r="I38" s="47" t="s">
        <v>6</v>
      </c>
      <c r="J38" s="82"/>
      <c r="K38" s="82"/>
      <c r="L38" s="79">
        <f>SUM(C38:E38)</f>
        <v>0</v>
      </c>
      <c r="M38" s="50"/>
    </row>
    <row r="39" spans="1:15">
      <c r="A39" s="1575"/>
      <c r="B39" s="47" t="s">
        <v>56</v>
      </c>
      <c r="C39" s="51">
        <f>IFERROR(C38/L38*C37,0)</f>
        <v>0</v>
      </c>
      <c r="D39" s="51">
        <f>IFERROR(D38/L38*D37,0)</f>
        <v>0</v>
      </c>
      <c r="E39" s="51">
        <f>IFERROR(E38/L38*E37,0)</f>
        <v>0</v>
      </c>
      <c r="F39" s="47" t="s">
        <v>6</v>
      </c>
      <c r="G39" s="47" t="s">
        <v>6</v>
      </c>
      <c r="H39" s="47" t="s">
        <v>6</v>
      </c>
      <c r="I39" s="47" t="s">
        <v>6</v>
      </c>
      <c r="J39" s="82"/>
      <c r="K39" s="82"/>
      <c r="L39" s="71">
        <f>SUM(C39:E39)</f>
        <v>0</v>
      </c>
      <c r="M39" s="76"/>
      <c r="O39" s="154"/>
    </row>
    <row r="40" spans="1:15">
      <c r="A40" s="1575"/>
      <c r="B40" s="47" t="s">
        <v>57</v>
      </c>
      <c r="C40" s="51">
        <f>IFERROR(C39*L37/L39,0)</f>
        <v>0</v>
      </c>
      <c r="D40" s="51">
        <f>IFERROR(D39*L37/L39,0)</f>
        <v>0</v>
      </c>
      <c r="E40" s="51">
        <f>IFERROR(E39*L37/L39,0)</f>
        <v>0</v>
      </c>
      <c r="F40" s="47" t="s">
        <v>6</v>
      </c>
      <c r="G40" s="47" t="s">
        <v>6</v>
      </c>
      <c r="H40" s="47" t="s">
        <v>6</v>
      </c>
      <c r="I40" s="47" t="s">
        <v>6</v>
      </c>
      <c r="J40" s="82"/>
      <c r="K40" s="82"/>
      <c r="L40" s="71">
        <f>SUM(C40:E40)</f>
        <v>0</v>
      </c>
      <c r="M40" s="76"/>
    </row>
    <row r="41" spans="1:15" ht="15" thickBot="1">
      <c r="A41" s="1576"/>
      <c r="B41" s="54">
        <f>IF(M41=0,0,"Стоимость")</f>
        <v>0</v>
      </c>
      <c r="C41" s="78">
        <f>IFERROR($M$41*C40,0)</f>
        <v>0</v>
      </c>
      <c r="D41" s="78">
        <f>$M$41*D40</f>
        <v>0</v>
      </c>
      <c r="E41" s="78">
        <f>$M$41*E40</f>
        <v>0</v>
      </c>
      <c r="F41" s="54"/>
      <c r="G41" s="54"/>
      <c r="H41" s="54"/>
      <c r="I41" s="54"/>
      <c r="J41" s="83"/>
      <c r="K41" s="83"/>
      <c r="L41" s="77">
        <f>SUM(C41:E41)</f>
        <v>0</v>
      </c>
      <c r="M41" s="56">
        <f>ОБЩИЕ_ДАННЫЕ!P39*0.5</f>
        <v>0</v>
      </c>
    </row>
    <row r="42" spans="1:15">
      <c r="A42" s="1583" t="s">
        <v>259</v>
      </c>
      <c r="B42" s="172" t="s">
        <v>55</v>
      </c>
      <c r="C42" s="173">
        <v>0.19</v>
      </c>
      <c r="D42" s="173">
        <v>0.19</v>
      </c>
      <c r="E42" s="173">
        <v>0.19</v>
      </c>
      <c r="F42" s="173">
        <v>0.19</v>
      </c>
      <c r="G42" s="173">
        <v>0.19</v>
      </c>
      <c r="H42" s="173">
        <v>0.05</v>
      </c>
      <c r="I42" s="173"/>
      <c r="J42" s="173"/>
      <c r="K42" s="173"/>
      <c r="L42" s="174">
        <f>SUM(C42:K42)</f>
        <v>1</v>
      </c>
      <c r="M42" s="175"/>
    </row>
    <row r="43" spans="1:15">
      <c r="A43" s="1584"/>
      <c r="B43" s="176" t="str">
        <f ca="1">IF(M46=0,0,"Кол-во")</f>
        <v>Кол-во</v>
      </c>
      <c r="C43" s="177">
        <f t="shared" ref="C43:H43" ca="1" si="4">IF(SUM(C3,C18,C23,C28,C38)&gt;0,1,0)</f>
        <v>1</v>
      </c>
      <c r="D43" s="177">
        <f t="shared" ca="1" si="4"/>
        <v>0</v>
      </c>
      <c r="E43" s="177">
        <f t="shared" ca="1" si="4"/>
        <v>0</v>
      </c>
      <c r="F43" s="177">
        <f t="shared" si="4"/>
        <v>1</v>
      </c>
      <c r="G43" s="177">
        <f t="shared" si="4"/>
        <v>1</v>
      </c>
      <c r="H43" s="177">
        <f t="shared" si="4"/>
        <v>0</v>
      </c>
      <c r="I43" s="178"/>
      <c r="J43" s="178"/>
      <c r="K43" s="178"/>
      <c r="L43" s="177">
        <f ca="1">SUM(C43:H43)</f>
        <v>3</v>
      </c>
      <c r="M43" s="179"/>
    </row>
    <row r="44" spans="1:15">
      <c r="A44" s="1584"/>
      <c r="B44" s="176" t="s">
        <v>56</v>
      </c>
      <c r="C44" s="180">
        <f ca="1">IFERROR(C43/L43*C42,0)</f>
        <v>6.3333333333333325E-2</v>
      </c>
      <c r="D44" s="180">
        <f ca="1">IFERROR(D43/L43*D42,0)</f>
        <v>0</v>
      </c>
      <c r="E44" s="180">
        <f ca="1">IFERROR(E43/$L$43*E42,0)</f>
        <v>0</v>
      </c>
      <c r="F44" s="180">
        <f ca="1">IFERROR(F43/$L$43*F42,0)</f>
        <v>6.3333333333333325E-2</v>
      </c>
      <c r="G44" s="180">
        <f ca="1">IFERROR(G43/$L$43*G42,0)</f>
        <v>6.3333333333333325E-2</v>
      </c>
      <c r="H44" s="180">
        <f ca="1">IFERROR(H43/$L$43*H42,0)</f>
        <v>0</v>
      </c>
      <c r="I44" s="176" t="s">
        <v>6</v>
      </c>
      <c r="J44" s="181"/>
      <c r="K44" s="181"/>
      <c r="L44" s="182">
        <f ca="1">SUM(C44:H44)</f>
        <v>0.18999999999999997</v>
      </c>
      <c r="M44" s="183"/>
    </row>
    <row r="45" spans="1:15">
      <c r="A45" s="1584"/>
      <c r="B45" s="176" t="s">
        <v>57</v>
      </c>
      <c r="C45" s="180">
        <f ca="1">IFERROR(C44*L42/L44,0)</f>
        <v>0.33333333333333331</v>
      </c>
      <c r="D45" s="180">
        <f ca="1">IFERROR(D44*L42/L44,0)</f>
        <v>0</v>
      </c>
      <c r="E45" s="180">
        <f ca="1">IFERROR(E44*$L$42/$L$44,0)</f>
        <v>0</v>
      </c>
      <c r="F45" s="180">
        <f ca="1">IFERROR(F44*$L$42/$L$44,0)</f>
        <v>0.33333333333333331</v>
      </c>
      <c r="G45" s="180">
        <f ca="1">IFERROR(G44*$L$42/$L$44,0)</f>
        <v>0.33333333333333331</v>
      </c>
      <c r="H45" s="180">
        <f ca="1">IFERROR(H44*$L$42/$L$44,0)</f>
        <v>0</v>
      </c>
      <c r="I45" s="176" t="s">
        <v>6</v>
      </c>
      <c r="J45" s="181"/>
      <c r="K45" s="181"/>
      <c r="L45" s="182">
        <f ca="1">SUM(C45:H45)</f>
        <v>1</v>
      </c>
      <c r="M45" s="183"/>
    </row>
    <row r="46" spans="1:15" ht="15" thickBot="1">
      <c r="A46" s="1585"/>
      <c r="B46" s="184" t="str">
        <f ca="1">IF(M46=0,0,"Стоимость")</f>
        <v>Стоимость</v>
      </c>
      <c r="C46" s="185">
        <f ca="1">IFERROR($M$46*C45,0)</f>
        <v>166.66666666666666</v>
      </c>
      <c r="D46" s="185">
        <f ca="1">$M$46*D45</f>
        <v>0</v>
      </c>
      <c r="E46" s="185">
        <f ca="1">$M$46*E45</f>
        <v>0</v>
      </c>
      <c r="F46" s="185">
        <f ca="1">$M$46*F45</f>
        <v>166.66666666666666</v>
      </c>
      <c r="G46" s="185">
        <f ca="1">$M$46*G45</f>
        <v>166.66666666666666</v>
      </c>
      <c r="H46" s="185">
        <f ca="1">$M$46*H45</f>
        <v>0</v>
      </c>
      <c r="I46" s="184"/>
      <c r="J46" s="186"/>
      <c r="K46" s="186"/>
      <c r="L46" s="187">
        <f ca="1">SUM(C46:H46)</f>
        <v>500</v>
      </c>
      <c r="M46" s="188">
        <f ca="1">ОБЩИЕ_ДАННЫЕ!P33*0.5</f>
        <v>500</v>
      </c>
    </row>
    <row r="47" spans="1:15">
      <c r="A47" s="1580" t="s">
        <v>277</v>
      </c>
      <c r="B47" s="43" t="s">
        <v>55</v>
      </c>
      <c r="C47" s="43" t="s">
        <v>6</v>
      </c>
      <c r="D47" s="43" t="s">
        <v>6</v>
      </c>
      <c r="E47" s="43" t="s">
        <v>6</v>
      </c>
      <c r="F47" s="44">
        <v>0.5</v>
      </c>
      <c r="G47" s="44">
        <v>0.5</v>
      </c>
      <c r="H47" s="43" t="s">
        <v>6</v>
      </c>
      <c r="I47" s="43" t="s">
        <v>6</v>
      </c>
      <c r="J47" s="81"/>
      <c r="K47" s="81"/>
      <c r="L47" s="65">
        <f t="shared" ref="L47:L56" si="5">SUM(F47:G47)</f>
        <v>1</v>
      </c>
      <c r="M47" s="46"/>
      <c r="O47" s="85"/>
    </row>
    <row r="48" spans="1:15">
      <c r="A48" s="1575"/>
      <c r="B48" s="47">
        <f>IF(M51=0,0,"Кол-во")</f>
        <v>0</v>
      </c>
      <c r="C48" s="47" t="s">
        <v>6</v>
      </c>
      <c r="D48" s="47" t="s">
        <v>6</v>
      </c>
      <c r="E48" s="47" t="s">
        <v>6</v>
      </c>
      <c r="F48" s="48">
        <f>IF(ОБЩИЕ_ДАННЫЕ!Z43&gt;0,1,0)</f>
        <v>0</v>
      </c>
      <c r="G48" s="48">
        <f>IF(ОБЩИЕ_ДАННЫЕ!AA43&gt;0,1,0)</f>
        <v>0</v>
      </c>
      <c r="H48" s="47" t="s">
        <v>6</v>
      </c>
      <c r="I48" s="47" t="s">
        <v>6</v>
      </c>
      <c r="J48" s="82"/>
      <c r="K48" s="82"/>
      <c r="L48" s="49">
        <f t="shared" si="5"/>
        <v>0</v>
      </c>
      <c r="M48" s="50"/>
      <c r="O48" s="85"/>
    </row>
    <row r="49" spans="1:15">
      <c r="A49" s="1575"/>
      <c r="B49" s="47" t="s">
        <v>56</v>
      </c>
      <c r="C49" s="47" t="s">
        <v>6</v>
      </c>
      <c r="D49" s="47" t="s">
        <v>6</v>
      </c>
      <c r="E49" s="47" t="s">
        <v>6</v>
      </c>
      <c r="F49" s="51">
        <f>IFERROR(F48/$L$48*F47,0)</f>
        <v>0</v>
      </c>
      <c r="G49" s="51">
        <f>IFERROR(G48/$L$48*G47,0)</f>
        <v>0</v>
      </c>
      <c r="H49" s="47" t="s">
        <v>6</v>
      </c>
      <c r="I49" s="47" t="s">
        <v>6</v>
      </c>
      <c r="J49" s="82"/>
      <c r="K49" s="82"/>
      <c r="L49" s="71">
        <f t="shared" si="5"/>
        <v>0</v>
      </c>
      <c r="M49" s="53"/>
    </row>
    <row r="50" spans="1:15">
      <c r="A50" s="1575"/>
      <c r="B50" s="47" t="s">
        <v>57</v>
      </c>
      <c r="C50" s="47" t="s">
        <v>6</v>
      </c>
      <c r="D50" s="47" t="s">
        <v>6</v>
      </c>
      <c r="E50" s="47" t="s">
        <v>6</v>
      </c>
      <c r="F50" s="51">
        <f>IFERROR(F49*$L$47/$L$49,0)</f>
        <v>0</v>
      </c>
      <c r="G50" s="51">
        <f>IFERROR(G49*L47/L49,0)</f>
        <v>0</v>
      </c>
      <c r="H50" s="47" t="s">
        <v>6</v>
      </c>
      <c r="I50" s="47" t="s">
        <v>6</v>
      </c>
      <c r="J50" s="82"/>
      <c r="K50" s="82"/>
      <c r="L50" s="71">
        <f t="shared" si="5"/>
        <v>0</v>
      </c>
      <c r="M50" s="53"/>
      <c r="O50" s="85"/>
    </row>
    <row r="51" spans="1:15" ht="15" thickBot="1">
      <c r="A51" s="1576"/>
      <c r="B51" s="54">
        <f>IF(M51=0,0,"Стоимость")</f>
        <v>0</v>
      </c>
      <c r="C51" s="72"/>
      <c r="D51" s="72"/>
      <c r="E51" s="54"/>
      <c r="F51" s="73">
        <f>F50*M51</f>
        <v>0</v>
      </c>
      <c r="G51" s="73">
        <f>G50*M51</f>
        <v>0</v>
      </c>
      <c r="H51" s="54"/>
      <c r="I51" s="54"/>
      <c r="J51" s="83"/>
      <c r="K51" s="83"/>
      <c r="L51" s="74">
        <f>SUM(F51:G51)</f>
        <v>0</v>
      </c>
      <c r="M51" s="56">
        <f>IF(OR(F48=1,G48=1),(ОБЩИЕ_ДАННЫЕ!P43*0.25),0)</f>
        <v>0</v>
      </c>
    </row>
    <row r="52" spans="1:15">
      <c r="A52" s="1574" t="s">
        <v>278</v>
      </c>
      <c r="B52" s="43" t="s">
        <v>55</v>
      </c>
      <c r="C52" s="43" t="s">
        <v>6</v>
      </c>
      <c r="D52" s="43" t="s">
        <v>6</v>
      </c>
      <c r="E52" s="43" t="s">
        <v>6</v>
      </c>
      <c r="F52" s="44">
        <v>0.5</v>
      </c>
      <c r="G52" s="44">
        <v>0.5</v>
      </c>
      <c r="H52" s="43" t="s">
        <v>6</v>
      </c>
      <c r="I52" s="43" t="s">
        <v>6</v>
      </c>
      <c r="J52" s="81"/>
      <c r="K52" s="81"/>
      <c r="L52" s="65">
        <f t="shared" si="5"/>
        <v>1</v>
      </c>
      <c r="M52" s="46"/>
      <c r="O52" s="85"/>
    </row>
    <row r="53" spans="1:15">
      <c r="A53" s="1581"/>
      <c r="B53" s="47">
        <f>IF(M56=0,0,"Кол-во")</f>
        <v>0</v>
      </c>
      <c r="C53" s="47" t="s">
        <v>6</v>
      </c>
      <c r="D53" s="47" t="s">
        <v>6</v>
      </c>
      <c r="E53" s="47" t="s">
        <v>6</v>
      </c>
      <c r="F53" s="48">
        <f>IF(ОБЩИЕ_ДАННЫЕ!Z44&gt;0,1,0)</f>
        <v>0</v>
      </c>
      <c r="G53" s="48">
        <f>IF(ОБЩИЕ_ДАННЫЕ!AA44&gt;0,1,0)</f>
        <v>0</v>
      </c>
      <c r="H53" s="47" t="s">
        <v>6</v>
      </c>
      <c r="I53" s="47" t="s">
        <v>6</v>
      </c>
      <c r="J53" s="82"/>
      <c r="K53" s="82"/>
      <c r="L53" s="49">
        <f t="shared" si="5"/>
        <v>0</v>
      </c>
      <c r="M53" s="50"/>
      <c r="O53" s="85"/>
    </row>
    <row r="54" spans="1:15">
      <c r="A54" s="1581"/>
      <c r="B54" s="47" t="s">
        <v>56</v>
      </c>
      <c r="C54" s="47" t="s">
        <v>6</v>
      </c>
      <c r="D54" s="47" t="s">
        <v>6</v>
      </c>
      <c r="E54" s="47" t="s">
        <v>6</v>
      </c>
      <c r="F54" s="51">
        <f>IFERROR(F53/$L$53*F52,0)</f>
        <v>0</v>
      </c>
      <c r="G54" s="51">
        <f>IFERROR(G53/$L$53*G52,0)</f>
        <v>0</v>
      </c>
      <c r="H54" s="47" t="s">
        <v>6</v>
      </c>
      <c r="I54" s="47" t="s">
        <v>6</v>
      </c>
      <c r="J54" s="82"/>
      <c r="K54" s="82"/>
      <c r="L54" s="71">
        <f t="shared" si="5"/>
        <v>0</v>
      </c>
      <c r="M54" s="53"/>
    </row>
    <row r="55" spans="1:15">
      <c r="A55" s="1581"/>
      <c r="B55" s="47" t="s">
        <v>57</v>
      </c>
      <c r="C55" s="47" t="s">
        <v>6</v>
      </c>
      <c r="D55" s="47" t="s">
        <v>6</v>
      </c>
      <c r="E55" s="47" t="s">
        <v>6</v>
      </c>
      <c r="F55" s="51">
        <f>IFERROR(F54*$L$52/$L$54,0)</f>
        <v>0</v>
      </c>
      <c r="G55" s="51">
        <f>IFERROR(G54*L52/L54,0)</f>
        <v>0</v>
      </c>
      <c r="H55" s="47" t="s">
        <v>6</v>
      </c>
      <c r="I55" s="47" t="s">
        <v>6</v>
      </c>
      <c r="J55" s="82"/>
      <c r="K55" s="82"/>
      <c r="L55" s="71">
        <f t="shared" si="5"/>
        <v>0</v>
      </c>
      <c r="M55" s="53"/>
      <c r="O55" s="85"/>
    </row>
    <row r="56" spans="1:15" ht="15" thickBot="1">
      <c r="A56" s="1582"/>
      <c r="B56" s="54">
        <f>IF(M56=0,0,"Стоимость")</f>
        <v>0</v>
      </c>
      <c r="C56" s="72"/>
      <c r="D56" s="72"/>
      <c r="E56" s="54"/>
      <c r="F56" s="73">
        <f>F55*M56</f>
        <v>0</v>
      </c>
      <c r="G56" s="73">
        <f>G55*M56</f>
        <v>0</v>
      </c>
      <c r="H56" s="54"/>
      <c r="I56" s="54"/>
      <c r="J56" s="83"/>
      <c r="K56" s="83"/>
      <c r="L56" s="74">
        <f t="shared" si="5"/>
        <v>0</v>
      </c>
      <c r="M56" s="56">
        <f>IF(OR(F53=1,G53=1),(ОБЩИЕ_ДАННЫЕ!P44*0.25),0)</f>
        <v>0</v>
      </c>
    </row>
    <row r="57" spans="1:15">
      <c r="A57" s="1574" t="s">
        <v>684</v>
      </c>
      <c r="B57" s="43" t="s">
        <v>55</v>
      </c>
      <c r="C57" s="43" t="s">
        <v>6</v>
      </c>
      <c r="D57" s="43" t="s">
        <v>6</v>
      </c>
      <c r="E57" s="43" t="s">
        <v>6</v>
      </c>
      <c r="F57" s="43" t="s">
        <v>6</v>
      </c>
      <c r="G57" s="44">
        <v>1</v>
      </c>
      <c r="H57" s="43" t="s">
        <v>6</v>
      </c>
      <c r="I57" s="43" t="s">
        <v>6</v>
      </c>
      <c r="J57" s="81"/>
      <c r="K57" s="81"/>
      <c r="L57" s="75">
        <f>G57</f>
        <v>1</v>
      </c>
      <c r="M57" s="46"/>
    </row>
    <row r="58" spans="1:15">
      <c r="A58" s="1577"/>
      <c r="B58" s="536">
        <f>IF(M61=0,0,"Кол-во")</f>
        <v>0</v>
      </c>
      <c r="C58" s="536" t="s">
        <v>6</v>
      </c>
      <c r="D58" s="536" t="s">
        <v>6</v>
      </c>
      <c r="E58" s="536" t="s">
        <v>6</v>
      </c>
      <c r="F58" s="536" t="s">
        <v>6</v>
      </c>
      <c r="G58" s="48">
        <f>IF(ОБЩИЕ_ДАННЫЕ!O41&gt;0,1,0)</f>
        <v>0</v>
      </c>
      <c r="H58" s="536" t="s">
        <v>6</v>
      </c>
      <c r="I58" s="536" t="s">
        <v>6</v>
      </c>
      <c r="J58" s="537"/>
      <c r="K58" s="537"/>
      <c r="L58" s="538">
        <f>G58</f>
        <v>0</v>
      </c>
      <c r="M58" s="539"/>
    </row>
    <row r="59" spans="1:15">
      <c r="A59" s="1577"/>
      <c r="B59" s="536" t="s">
        <v>56</v>
      </c>
      <c r="C59" s="536" t="s">
        <v>6</v>
      </c>
      <c r="D59" s="536" t="s">
        <v>6</v>
      </c>
      <c r="E59" s="540" t="s">
        <v>6</v>
      </c>
      <c r="F59" s="536" t="s">
        <v>6</v>
      </c>
      <c r="G59" s="540">
        <f>IFERROR(G58/L58*G57,0)</f>
        <v>0</v>
      </c>
      <c r="H59" s="536" t="s">
        <v>6</v>
      </c>
      <c r="I59" s="536" t="s">
        <v>6</v>
      </c>
      <c r="J59" s="537"/>
      <c r="K59" s="537"/>
      <c r="L59" s="541">
        <f>G59</f>
        <v>0</v>
      </c>
      <c r="M59" s="542"/>
    </row>
    <row r="60" spans="1:15">
      <c r="A60" s="1577"/>
      <c r="B60" s="536" t="s">
        <v>57</v>
      </c>
      <c r="C60" s="536" t="s">
        <v>6</v>
      </c>
      <c r="D60" s="536" t="s">
        <v>6</v>
      </c>
      <c r="E60" s="51"/>
      <c r="F60" s="536" t="s">
        <v>6</v>
      </c>
      <c r="G60" s="51">
        <f>IFERROR(G59*L57/L59,0)</f>
        <v>0</v>
      </c>
      <c r="H60" s="536" t="s">
        <v>6</v>
      </c>
      <c r="I60" s="536" t="s">
        <v>6</v>
      </c>
      <c r="J60" s="537"/>
      <c r="K60" s="537"/>
      <c r="L60" s="541">
        <f>G60</f>
        <v>0</v>
      </c>
      <c r="M60" s="542"/>
    </row>
    <row r="61" spans="1:15" ht="15" thickBot="1">
      <c r="A61" s="1578"/>
      <c r="B61" s="556">
        <f>IF(M61=0,0,"Стоимость")</f>
        <v>0</v>
      </c>
      <c r="C61" s="556" t="s">
        <v>6</v>
      </c>
      <c r="D61" s="556" t="s">
        <v>6</v>
      </c>
      <c r="E61" s="555"/>
      <c r="F61" s="556" t="s">
        <v>6</v>
      </c>
      <c r="G61" s="555">
        <f>$M$61*G60</f>
        <v>0</v>
      </c>
      <c r="H61" s="556"/>
      <c r="I61" s="556"/>
      <c r="J61" s="557"/>
      <c r="K61" s="557"/>
      <c r="L61" s="558">
        <f>G61</f>
        <v>0</v>
      </c>
      <c r="M61" s="559">
        <f>ОБЩИЕ_ДАННЫЕ!P41*0.5</f>
        <v>0</v>
      </c>
    </row>
    <row r="62" spans="1:15">
      <c r="A62" s="1574" t="s">
        <v>685</v>
      </c>
      <c r="B62" s="43" t="s">
        <v>55</v>
      </c>
      <c r="C62" s="43"/>
      <c r="D62" s="43"/>
      <c r="E62" s="43"/>
      <c r="F62" s="57">
        <v>1</v>
      </c>
      <c r="G62" s="560"/>
      <c r="H62" s="560"/>
      <c r="I62" s="560"/>
      <c r="J62" s="560"/>
      <c r="K62" s="560"/>
      <c r="L62" s="75">
        <f>F62</f>
        <v>1</v>
      </c>
      <c r="M62" s="46"/>
    </row>
    <row r="63" spans="1:15">
      <c r="A63" s="1577"/>
      <c r="B63" s="536" t="str">
        <f>IF(M66=0,0,"Кол-во")</f>
        <v>Кол-во</v>
      </c>
      <c r="C63" s="536"/>
      <c r="D63" s="536"/>
      <c r="E63" s="540"/>
      <c r="F63" s="561">
        <f>IF(ОБЩИЕ_ДАННЫЕ!O42&gt;0,1,0)</f>
        <v>1</v>
      </c>
      <c r="G63" s="448"/>
      <c r="H63" s="448"/>
      <c r="I63" s="448"/>
      <c r="J63" s="448"/>
      <c r="K63" s="448"/>
      <c r="L63" s="538">
        <f>F63</f>
        <v>1</v>
      </c>
      <c r="M63" s="539"/>
    </row>
    <row r="64" spans="1:15">
      <c r="A64" s="1577"/>
      <c r="B64" s="536" t="s">
        <v>56</v>
      </c>
      <c r="C64" s="536"/>
      <c r="D64" s="536"/>
      <c r="E64" s="540"/>
      <c r="F64" s="540">
        <f>IFERROR(F63/L63*F62,0)</f>
        <v>1</v>
      </c>
      <c r="G64" s="448"/>
      <c r="H64" s="448"/>
      <c r="I64" s="448"/>
      <c r="J64" s="448"/>
      <c r="K64" s="448"/>
      <c r="L64" s="541">
        <f>F64</f>
        <v>1</v>
      </c>
      <c r="M64" s="542"/>
    </row>
    <row r="65" spans="1:13">
      <c r="A65" s="1577"/>
      <c r="B65" s="536" t="s">
        <v>57</v>
      </c>
      <c r="C65" s="536"/>
      <c r="D65" s="536"/>
      <c r="E65" s="540"/>
      <c r="F65" s="540">
        <f>IFERROR(F64*L62/L64,0)</f>
        <v>1</v>
      </c>
      <c r="G65" s="448"/>
      <c r="H65" s="448"/>
      <c r="I65" s="448"/>
      <c r="J65" s="448"/>
      <c r="K65" s="448"/>
      <c r="L65" s="541">
        <f>F65</f>
        <v>1</v>
      </c>
      <c r="M65" s="542"/>
    </row>
    <row r="66" spans="1:13" ht="15" thickBot="1">
      <c r="A66" s="1579"/>
      <c r="B66" s="543" t="str">
        <f>IF(M66=0,0,"Стоимость")</f>
        <v>Стоимость</v>
      </c>
      <c r="C66" s="543"/>
      <c r="D66" s="543"/>
      <c r="E66" s="562"/>
      <c r="F66" s="563">
        <f>$M$66*F65</f>
        <v>600.00000000000011</v>
      </c>
      <c r="G66" s="564"/>
      <c r="H66" s="564"/>
      <c r="I66" s="564"/>
      <c r="J66" s="564"/>
      <c r="K66" s="564"/>
      <c r="L66" s="544">
        <f>F66</f>
        <v>600.00000000000011</v>
      </c>
      <c r="M66" s="545">
        <f>ОБЩИЕ_ДАННЫЕ!P42</f>
        <v>600.00000000000011</v>
      </c>
    </row>
    <row r="67" spans="1:13">
      <c r="A67" s="1574" t="s">
        <v>900</v>
      </c>
      <c r="B67" s="43" t="s">
        <v>55</v>
      </c>
      <c r="C67" s="64">
        <v>0.33333333333332998</v>
      </c>
      <c r="D67" s="64">
        <v>0.33333333333332998</v>
      </c>
      <c r="E67" s="64">
        <v>0.33333333333332998</v>
      </c>
      <c r="F67" s="43" t="s">
        <v>6</v>
      </c>
      <c r="G67" s="43" t="s">
        <v>6</v>
      </c>
      <c r="H67" s="43" t="s">
        <v>6</v>
      </c>
      <c r="I67" s="43" t="s">
        <v>6</v>
      </c>
      <c r="J67" s="81"/>
      <c r="K67" s="81"/>
      <c r="L67" s="75">
        <f>SUM(C67:E67)</f>
        <v>0.99999999999999001</v>
      </c>
      <c r="M67" s="46"/>
    </row>
    <row r="68" spans="1:13">
      <c r="A68" s="1575"/>
      <c r="B68" s="47">
        <f>IF(M71=0,0,"Кол-во")</f>
        <v>0</v>
      </c>
      <c r="C68" s="48">
        <f>ОБЩИЕ_ДАННЫЕ!W40</f>
        <v>0</v>
      </c>
      <c r="D68" s="48">
        <f>ОБЩИЕ_ДАННЫЕ!X40</f>
        <v>0</v>
      </c>
      <c r="E68" s="48">
        <f>ОБЩИЕ_ДАННЫЕ!Y40</f>
        <v>0</v>
      </c>
      <c r="F68" s="47" t="s">
        <v>6</v>
      </c>
      <c r="G68" s="47" t="s">
        <v>6</v>
      </c>
      <c r="H68" s="47" t="s">
        <v>6</v>
      </c>
      <c r="I68" s="47" t="s">
        <v>6</v>
      </c>
      <c r="J68" s="82"/>
      <c r="K68" s="82"/>
      <c r="L68" s="79">
        <f>SUM(C68:E68)</f>
        <v>0</v>
      </c>
      <c r="M68" s="50"/>
    </row>
    <row r="69" spans="1:13">
      <c r="A69" s="1575"/>
      <c r="B69" s="47" t="s">
        <v>56</v>
      </c>
      <c r="C69" s="51">
        <f>IFERROR(C68/L68*C67,0)</f>
        <v>0</v>
      </c>
      <c r="D69" s="51">
        <f>IFERROR(D68/L68*D67,0)</f>
        <v>0</v>
      </c>
      <c r="E69" s="51">
        <f>IFERROR(E68/L68*E67,0)</f>
        <v>0</v>
      </c>
      <c r="F69" s="47" t="s">
        <v>6</v>
      </c>
      <c r="G69" s="47" t="s">
        <v>6</v>
      </c>
      <c r="H69" s="47" t="s">
        <v>6</v>
      </c>
      <c r="I69" s="47" t="s">
        <v>6</v>
      </c>
      <c r="J69" s="82"/>
      <c r="K69" s="82"/>
      <c r="L69" s="71">
        <f>SUM(C69:E69)</f>
        <v>0</v>
      </c>
      <c r="M69" s="76"/>
    </row>
    <row r="70" spans="1:13">
      <c r="A70" s="1575"/>
      <c r="B70" s="47" t="s">
        <v>57</v>
      </c>
      <c r="C70" s="51">
        <f>IFERROR(C69*L67/L69,0)</f>
        <v>0</v>
      </c>
      <c r="D70" s="51">
        <f>IFERROR(D69*L67/L69,0)</f>
        <v>0</v>
      </c>
      <c r="E70" s="51">
        <f>IFERROR(E69*L67/L69,0)</f>
        <v>0</v>
      </c>
      <c r="F70" s="47" t="s">
        <v>6</v>
      </c>
      <c r="G70" s="47" t="s">
        <v>6</v>
      </c>
      <c r="H70" s="47" t="s">
        <v>6</v>
      </c>
      <c r="I70" s="47" t="s">
        <v>6</v>
      </c>
      <c r="J70" s="82"/>
      <c r="K70" s="82"/>
      <c r="L70" s="71">
        <f>SUM(C70:E70)</f>
        <v>0</v>
      </c>
      <c r="M70" s="76"/>
    </row>
    <row r="71" spans="1:13" ht="15" thickBot="1">
      <c r="A71" s="1576"/>
      <c r="B71" s="54">
        <f>IF(M71=0,0,"Стоимость")</f>
        <v>0</v>
      </c>
      <c r="C71" s="78">
        <f>IFERROR($M$71*C70,0)</f>
        <v>0</v>
      </c>
      <c r="D71" s="78">
        <f>$M$71*D70</f>
        <v>0</v>
      </c>
      <c r="E71" s="78">
        <f>$M$71*E70</f>
        <v>0</v>
      </c>
      <c r="F71" s="54"/>
      <c r="G71" s="54"/>
      <c r="H71" s="54"/>
      <c r="I71" s="54"/>
      <c r="J71" s="83"/>
      <c r="K71" s="83"/>
      <c r="L71" s="77">
        <f>SUM(C71:E71)</f>
        <v>0</v>
      </c>
      <c r="M71" s="56">
        <f>ОБЩИЕ_ДАННЫЕ!P40</f>
        <v>0</v>
      </c>
    </row>
  </sheetData>
  <sheetProtection selectLockedCells="1"/>
  <autoFilter ref="A1:M41"/>
  <mergeCells count="14">
    <mergeCell ref="A42:A46"/>
    <mergeCell ref="A37:A41"/>
    <mergeCell ref="A2:A6"/>
    <mergeCell ref="A17:A21"/>
    <mergeCell ref="A22:A26"/>
    <mergeCell ref="A27:A31"/>
    <mergeCell ref="A7:A11"/>
    <mergeCell ref="A12:A16"/>
    <mergeCell ref="A32:A36"/>
    <mergeCell ref="A67:A71"/>
    <mergeCell ref="A57:A61"/>
    <mergeCell ref="A62:A66"/>
    <mergeCell ref="A47:A51"/>
    <mergeCell ref="A52:A56"/>
  </mergeCells>
  <conditionalFormatting sqref="A2:B6 A17:B31 A37:B41">
    <cfRule type="cellIs" dxfId="9" priority="56" operator="equal">
      <formula>0</formula>
    </cfRule>
    <cfRule type="colorScale" priority="57">
      <colorScale>
        <cfvo type="num" val="0"/>
        <cfvo type="max"/>
        <color rgb="FFC00000"/>
        <color theme="0"/>
      </colorScale>
    </cfRule>
  </conditionalFormatting>
  <conditionalFormatting sqref="A42:B46">
    <cfRule type="cellIs" dxfId="8" priority="17" operator="equal">
      <formula>0</formula>
    </cfRule>
    <cfRule type="colorScale" priority="18">
      <colorScale>
        <cfvo type="num" val="0"/>
        <cfvo type="max"/>
        <color rgb="FFC00000"/>
        <color theme="0"/>
      </colorScale>
    </cfRule>
  </conditionalFormatting>
  <conditionalFormatting sqref="A47:B51">
    <cfRule type="cellIs" dxfId="7" priority="15" operator="equal">
      <formula>0</formula>
    </cfRule>
    <cfRule type="colorScale" priority="16">
      <colorScale>
        <cfvo type="num" val="0"/>
        <cfvo type="max"/>
        <color rgb="FFC00000"/>
        <color theme="0"/>
      </colorScale>
    </cfRule>
  </conditionalFormatting>
  <conditionalFormatting sqref="A52:B56">
    <cfRule type="cellIs" dxfId="6" priority="13" operator="equal">
      <formula>0</formula>
    </cfRule>
    <cfRule type="colorScale" priority="14">
      <colorScale>
        <cfvo type="num" val="0"/>
        <cfvo type="max"/>
        <color rgb="FFC00000"/>
        <color theme="0"/>
      </colorScale>
    </cfRule>
  </conditionalFormatting>
  <conditionalFormatting sqref="A7:B11">
    <cfRule type="cellIs" dxfId="5" priority="11" operator="equal">
      <formula>0</formula>
    </cfRule>
    <cfRule type="colorScale" priority="12">
      <colorScale>
        <cfvo type="num" val="0"/>
        <cfvo type="max"/>
        <color rgb="FFC00000"/>
        <color theme="0"/>
      </colorScale>
    </cfRule>
  </conditionalFormatting>
  <conditionalFormatting sqref="A12:B16">
    <cfRule type="cellIs" dxfId="4" priority="9" operator="equal">
      <formula>0</formula>
    </cfRule>
    <cfRule type="colorScale" priority="10">
      <colorScale>
        <cfvo type="num" val="0"/>
        <cfvo type="max"/>
        <color rgb="FFC00000"/>
        <color theme="0"/>
      </colorScale>
    </cfRule>
  </conditionalFormatting>
  <conditionalFormatting sqref="A57:B61">
    <cfRule type="cellIs" dxfId="3" priority="7" operator="equal">
      <formula>0</formula>
    </cfRule>
    <cfRule type="colorScale" priority="8">
      <colorScale>
        <cfvo type="num" val="0"/>
        <cfvo type="max"/>
        <color rgb="FFC00000"/>
        <color theme="0"/>
      </colorScale>
    </cfRule>
  </conditionalFormatting>
  <conditionalFormatting sqref="A62:B66">
    <cfRule type="cellIs" dxfId="2" priority="5" operator="equal">
      <formula>0</formula>
    </cfRule>
    <cfRule type="colorScale" priority="6">
      <colorScale>
        <cfvo type="num" val="0"/>
        <cfvo type="max"/>
        <color rgb="FFC00000"/>
        <color theme="0"/>
      </colorScale>
    </cfRule>
  </conditionalFormatting>
  <conditionalFormatting sqref="A67:B71">
    <cfRule type="cellIs" dxfId="1" priority="3" operator="equal">
      <formula>0</formula>
    </cfRule>
    <cfRule type="colorScale" priority="4">
      <colorScale>
        <cfvo type="num" val="0"/>
        <cfvo type="max"/>
        <color rgb="FFC00000"/>
        <color theme="0"/>
      </colorScale>
    </cfRule>
  </conditionalFormatting>
  <conditionalFormatting sqref="A32:B36">
    <cfRule type="cellIs" dxfId="0" priority="1" operator="equal">
      <formula>0</formula>
    </cfRule>
    <cfRule type="colorScale" priority="2">
      <colorScale>
        <cfvo type="num" val="0"/>
        <cfvo type="max"/>
        <color rgb="FFC00000"/>
        <color theme="0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AM270"/>
  <sheetViews>
    <sheetView workbookViewId="0">
      <selection activeCell="AO6" sqref="AO6"/>
    </sheetView>
  </sheetViews>
  <sheetFormatPr defaultColWidth="4.88671875" defaultRowHeight="15" outlineLevelRow="1" outlineLevelCol="1"/>
  <cols>
    <col min="1" max="1" width="2.6640625" style="37" customWidth="1"/>
    <col min="2" max="2" width="65.109375" style="37" customWidth="1"/>
    <col min="3" max="6" width="12" style="37" customWidth="1"/>
    <col min="7" max="7" width="3.6640625" style="89" customWidth="1"/>
    <col min="8" max="8" width="8.109375" style="37" hidden="1" customWidth="1" outlineLevel="1"/>
    <col min="9" max="9" width="7.5546875" style="37" hidden="1" customWidth="1" outlineLevel="1"/>
    <col min="10" max="10" width="9.33203125" style="37" hidden="1" customWidth="1" outlineLevel="1"/>
    <col min="11" max="11" width="8.44140625" style="37" hidden="1" customWidth="1" outlineLevel="1"/>
    <col min="12" max="12" width="9" style="37" hidden="1" customWidth="1" outlineLevel="1"/>
    <col min="13" max="13" width="8.44140625" style="37" hidden="1" customWidth="1" outlineLevel="1"/>
    <col min="14" max="14" width="8.88671875" style="37" hidden="1" customWidth="1" outlineLevel="1"/>
    <col min="15" max="18" width="12.5546875" style="37" hidden="1" customWidth="1" outlineLevel="1"/>
    <col min="19" max="19" width="3.44140625" style="37" hidden="1" customWidth="1" outlineLevel="1"/>
    <col min="20" max="20" width="1.6640625" style="37" hidden="1" customWidth="1" outlineLevel="1"/>
    <col min="21" max="21" width="2.5546875" style="37" hidden="1" customWidth="1" outlineLevel="1"/>
    <col min="22" max="22" width="2.109375" style="37" hidden="1" customWidth="1" outlineLevel="1"/>
    <col min="23" max="23" width="8.33203125" style="37" hidden="1" customWidth="1" outlineLevel="1"/>
    <col min="24" max="24" width="8.5546875" style="37" hidden="1" customWidth="1" outlineLevel="1"/>
    <col min="25" max="25" width="8.109375" style="37" hidden="1" customWidth="1" outlineLevel="1"/>
    <col min="26" max="26" width="12" style="37" hidden="1" customWidth="1" collapsed="1"/>
    <col min="27" max="27" width="8.109375" style="37" hidden="1" customWidth="1"/>
    <col min="28" max="28" width="9.109375" style="37" hidden="1" customWidth="1"/>
    <col min="29" max="29" width="11.6640625" style="37" hidden="1" customWidth="1"/>
    <col min="30" max="30" width="11.5546875" style="37" hidden="1" customWidth="1"/>
    <col min="31" max="31" width="10.5546875" style="37" hidden="1" customWidth="1"/>
    <col min="32" max="32" width="8.6640625" style="37" hidden="1" customWidth="1"/>
    <col min="33" max="35" width="0" style="37" hidden="1" customWidth="1"/>
    <col min="36" max="38" width="5.88671875" style="37" bestFit="1" customWidth="1"/>
    <col min="39" max="39" width="8.33203125" style="37" customWidth="1"/>
    <col min="40" max="40" width="8.109375" style="37" bestFit="1" customWidth="1"/>
    <col min="41" max="41" width="6.33203125" style="37" bestFit="1" customWidth="1"/>
    <col min="42" max="42" width="8.6640625" style="37" bestFit="1" customWidth="1"/>
    <col min="43" max="16384" width="4.88671875" style="37"/>
  </cols>
  <sheetData>
    <row r="1" spans="1:39" ht="95.1" customHeight="1" thickBot="1">
      <c r="A1" s="1055"/>
      <c r="B1" s="1055"/>
      <c r="C1" s="1055"/>
      <c r="D1" s="1055"/>
      <c r="E1" s="1055"/>
      <c r="F1" s="1055"/>
      <c r="H1" s="801" t="s">
        <v>878</v>
      </c>
    </row>
    <row r="2" spans="1:39" ht="24.9" customHeight="1" thickBot="1">
      <c r="B2" s="1057" t="s">
        <v>715</v>
      </c>
      <c r="C2" s="1057"/>
      <c r="D2" s="1057"/>
      <c r="E2" s="1057"/>
      <c r="F2" s="1057"/>
      <c r="H2" s="1074" t="s">
        <v>90</v>
      </c>
      <c r="I2" s="1074"/>
      <c r="J2" s="86" t="s">
        <v>83</v>
      </c>
      <c r="K2" s="1077" t="s">
        <v>539</v>
      </c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90"/>
      <c r="X2" s="1072" t="s">
        <v>96</v>
      </c>
      <c r="Y2" s="1073"/>
      <c r="AM2" s="1"/>
    </row>
    <row r="3" spans="1:39" ht="18" customHeight="1">
      <c r="B3" s="574" t="s">
        <v>722</v>
      </c>
      <c r="C3" s="1058" t="str">
        <f>IFERROR(LEFT(C196,FIND(" ",C196)-1)," ")</f>
        <v>13.12.2021</v>
      </c>
      <c r="D3" s="1058"/>
      <c r="E3" s="1058"/>
      <c r="F3" s="1058"/>
      <c r="H3" s="1074"/>
      <c r="I3" s="1074"/>
      <c r="J3" s="1076" t="s">
        <v>87</v>
      </c>
      <c r="K3" s="1077" t="s">
        <v>542</v>
      </c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AM3" s="1"/>
    </row>
    <row r="4" spans="1:39" ht="18" customHeight="1">
      <c r="B4" s="574" t="s">
        <v>721</v>
      </c>
      <c r="C4" s="1058">
        <f>IF(C195=0," ",C195)</f>
        <v>44543</v>
      </c>
      <c r="D4" s="1058"/>
      <c r="E4" s="1058"/>
      <c r="F4" s="1058"/>
      <c r="H4" s="1074"/>
      <c r="I4" s="1074"/>
      <c r="J4" s="1076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</row>
    <row r="5" spans="1:39" ht="18" customHeight="1">
      <c r="B5" s="574" t="s">
        <v>522</v>
      </c>
      <c r="C5" s="1059" t="s">
        <v>1556</v>
      </c>
      <c r="D5" s="1059"/>
      <c r="E5" s="1059"/>
      <c r="F5" s="1059"/>
      <c r="H5" s="1075"/>
      <c r="I5" s="1075"/>
      <c r="J5" s="1091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</row>
    <row r="6" spans="1:39" ht="18" customHeight="1">
      <c r="B6" s="574" t="s">
        <v>720</v>
      </c>
      <c r="C6" s="1059" t="s">
        <v>1555</v>
      </c>
      <c r="D6" s="1059"/>
      <c r="E6" s="1059"/>
      <c r="F6" s="1059"/>
      <c r="H6" s="1074"/>
      <c r="I6" s="1074"/>
      <c r="J6" s="1076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  <c r="W6" s="1077"/>
    </row>
    <row r="7" spans="1:39" ht="18" customHeight="1">
      <c r="B7" s="574" t="s">
        <v>1</v>
      </c>
      <c r="C7" s="1060" t="str">
        <f>IF(C214=0," ",C214)</f>
        <v xml:space="preserve"> </v>
      </c>
      <c r="D7" s="1060"/>
      <c r="E7" s="1060"/>
      <c r="F7" s="1060"/>
      <c r="H7" s="1074"/>
      <c r="I7" s="1074"/>
      <c r="J7" s="1093" t="s">
        <v>88</v>
      </c>
      <c r="K7" s="1094" t="s">
        <v>541</v>
      </c>
      <c r="L7" s="1081"/>
      <c r="M7" s="1081"/>
      <c r="N7" s="1081"/>
      <c r="O7" s="1081"/>
      <c r="P7" s="1081"/>
      <c r="Q7" s="1081"/>
      <c r="R7" s="1081"/>
      <c r="S7" s="1081"/>
      <c r="T7" s="1081"/>
      <c r="U7" s="1081"/>
      <c r="V7" s="1081"/>
      <c r="W7" s="1095"/>
    </row>
    <row r="8" spans="1:39" ht="18" customHeight="1">
      <c r="B8" s="574" t="s">
        <v>799</v>
      </c>
      <c r="C8" s="1060" t="str">
        <f>IF(C216=0," ",C216)</f>
        <v xml:space="preserve"> </v>
      </c>
      <c r="D8" s="1060"/>
      <c r="E8" s="1060"/>
      <c r="F8" s="1060"/>
      <c r="H8" s="1075"/>
      <c r="I8" s="1075"/>
      <c r="J8" s="1078"/>
      <c r="K8" s="1083"/>
      <c r="L8" s="1084"/>
      <c r="M8" s="1084"/>
      <c r="N8" s="1084"/>
      <c r="O8" s="1084"/>
      <c r="P8" s="1084"/>
      <c r="Q8" s="1084"/>
      <c r="R8" s="1084"/>
      <c r="S8" s="1084"/>
      <c r="T8" s="1084"/>
      <c r="U8" s="1084"/>
      <c r="V8" s="1084"/>
      <c r="W8" s="1085"/>
    </row>
    <row r="9" spans="1:39" ht="45" customHeight="1">
      <c r="B9" s="574" t="s">
        <v>719</v>
      </c>
      <c r="C9" s="1061" t="s">
        <v>1551</v>
      </c>
      <c r="D9" s="1061"/>
      <c r="E9" s="1061"/>
      <c r="F9" s="1061"/>
      <c r="H9" s="1074"/>
      <c r="I9" s="1074"/>
      <c r="J9" s="1078"/>
      <c r="K9" s="1083"/>
      <c r="L9" s="1084"/>
      <c r="M9" s="1084"/>
      <c r="N9" s="1084"/>
      <c r="O9" s="1084"/>
      <c r="P9" s="1084"/>
      <c r="Q9" s="1084"/>
      <c r="R9" s="1084"/>
      <c r="S9" s="1084"/>
      <c r="T9" s="1084"/>
      <c r="U9" s="1084"/>
      <c r="V9" s="1084"/>
      <c r="W9" s="1085"/>
    </row>
    <row r="10" spans="1:39" ht="39.9" customHeight="1">
      <c r="B10" s="574" t="s">
        <v>723</v>
      </c>
      <c r="C10" s="1061" t="s">
        <v>1552</v>
      </c>
      <c r="D10" s="1061"/>
      <c r="E10" s="1061"/>
      <c r="F10" s="575" t="str">
        <f>IFERROR(INDEX(I87:I102,MATCH(C223,J87:J102,0)),"н/д")</f>
        <v>ЦФО</v>
      </c>
      <c r="H10" s="1074"/>
      <c r="I10" s="1074"/>
      <c r="J10" s="1076" t="s">
        <v>89</v>
      </c>
      <c r="K10" s="1077" t="s">
        <v>540</v>
      </c>
      <c r="L10" s="1077"/>
      <c r="M10" s="1077"/>
      <c r="N10" s="1077"/>
      <c r="O10" s="1077"/>
      <c r="P10" s="1077"/>
      <c r="Q10" s="1077"/>
      <c r="R10" s="1077"/>
      <c r="S10" s="1077"/>
      <c r="T10" s="1077"/>
      <c r="U10" s="1077"/>
      <c r="V10" s="1077"/>
      <c r="W10" s="1077"/>
    </row>
    <row r="11" spans="1:39" ht="15.75" customHeight="1">
      <c r="B11" s="574" t="s">
        <v>724</v>
      </c>
      <c r="C11" s="1060" t="str">
        <f>IF(C203=0," ",C203)</f>
        <v>Торговый партнер</v>
      </c>
      <c r="D11" s="1060"/>
      <c r="E11" s="1060"/>
      <c r="F11" s="576" t="str">
        <f>IFERROR(INDEX(I87:I102,MATCH(C209,J87:J102,0)),"н/д")</f>
        <v>ЦФО</v>
      </c>
      <c r="H11" s="1074"/>
      <c r="I11" s="1074"/>
      <c r="J11" s="1076"/>
      <c r="K11" s="1077"/>
      <c r="L11" s="1077"/>
      <c r="M11" s="1077"/>
      <c r="N11" s="1077"/>
      <c r="O11" s="1077"/>
      <c r="P11" s="1077"/>
      <c r="Q11" s="1077"/>
      <c r="R11" s="1077"/>
      <c r="S11" s="1077"/>
      <c r="T11" s="1077"/>
      <c r="U11" s="1077"/>
      <c r="V11" s="1077"/>
      <c r="W11" s="1077"/>
    </row>
    <row r="12" spans="1:39" ht="15.75" customHeight="1">
      <c r="B12" s="574" t="s">
        <v>892</v>
      </c>
      <c r="C12" s="1052"/>
      <c r="D12" s="1053"/>
      <c r="E12" s="1053" t="str">
        <f>IF(B207=0," ",LEFT(B207,(LEN(B207)-1)))</f>
        <v>Для кого</v>
      </c>
      <c r="F12" s="1054"/>
      <c r="H12" s="1096" t="s">
        <v>91</v>
      </c>
      <c r="I12" s="1097"/>
      <c r="J12" s="1089" t="s">
        <v>87</v>
      </c>
      <c r="K12" s="1080" t="s">
        <v>110</v>
      </c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2"/>
    </row>
    <row r="13" spans="1:39" ht="15.75" customHeight="1">
      <c r="B13" s="574" t="s">
        <v>725</v>
      </c>
      <c r="C13" s="1060"/>
      <c r="D13" s="1060"/>
      <c r="E13" s="1060"/>
      <c r="F13" s="1060"/>
      <c r="H13" s="1098"/>
      <c r="I13" s="1099"/>
      <c r="J13" s="1078"/>
      <c r="K13" s="1083"/>
      <c r="L13" s="1084"/>
      <c r="M13" s="1084"/>
      <c r="N13" s="1084"/>
      <c r="O13" s="1084"/>
      <c r="P13" s="1084"/>
      <c r="Q13" s="1084"/>
      <c r="R13" s="1084"/>
      <c r="S13" s="1084"/>
      <c r="T13" s="1084"/>
      <c r="U13" s="1084"/>
      <c r="V13" s="1084"/>
      <c r="W13" s="1085"/>
    </row>
    <row r="14" spans="1:39" ht="15.75" customHeight="1">
      <c r="B14" s="574" t="s">
        <v>726</v>
      </c>
      <c r="C14" s="1060" t="str">
        <f>IF(C200=0," ",C200)</f>
        <v>менеджер</v>
      </c>
      <c r="D14" s="1060"/>
      <c r="E14" s="1060"/>
      <c r="F14" s="1060"/>
      <c r="H14" s="1098"/>
      <c r="I14" s="1099"/>
      <c r="J14" s="1078"/>
      <c r="K14" s="1083"/>
      <c r="L14" s="1084"/>
      <c r="M14" s="1084"/>
      <c r="N14" s="1084"/>
      <c r="O14" s="1084"/>
      <c r="P14" s="1084"/>
      <c r="Q14" s="1084"/>
      <c r="R14" s="1084"/>
      <c r="S14" s="1084"/>
      <c r="T14" s="1084"/>
      <c r="U14" s="1084"/>
      <c r="V14" s="1084"/>
      <c r="W14" s="1085"/>
    </row>
    <row r="15" spans="1:39" ht="15.75" customHeight="1">
      <c r="B15" s="574" t="s">
        <v>65</v>
      </c>
      <c r="C15" s="1059"/>
      <c r="D15" s="1059"/>
      <c r="E15" s="1059"/>
      <c r="F15" s="1059"/>
      <c r="H15" s="1098"/>
      <c r="I15" s="1099"/>
      <c r="J15" s="1079"/>
      <c r="K15" s="1086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8"/>
    </row>
    <row r="16" spans="1:39" ht="15.75" customHeight="1">
      <c r="B16" s="574" t="s">
        <v>2</v>
      </c>
      <c r="C16" s="1060">
        <f ca="1">IF(SUMPRODUCT(SUM(INDIRECT({"ТИП1";"ТИП2";"ТИП3";"ТИП4";"ТИП5";"ТИП6";"ТИП7";"ТИП8";"ТИП9";"ТИП10"}&amp;"!P3")))=0,IF(SUM(J133:J142)=0,SUM(J149:J158),SUM(J133:J142)),SUM(INDIRECT({"ТИП1";"ТИП2";"ТИП3";"ТИП4";"ТИП5";"ТИП6";"ТИП7";"ТИП8";"ТИП9";"ТИП10"}&amp;"!P3")))</f>
        <v>1751</v>
      </c>
      <c r="D16" s="1060"/>
      <c r="E16" s="1060"/>
      <c r="F16" s="1060"/>
      <c r="H16" s="1098"/>
      <c r="I16" s="1099"/>
      <c r="J16" s="1078" t="s">
        <v>88</v>
      </c>
      <c r="K16" s="1080" t="s">
        <v>92</v>
      </c>
      <c r="L16" s="1081"/>
      <c r="M16" s="1081"/>
      <c r="N16" s="1081"/>
      <c r="O16" s="1081"/>
      <c r="P16" s="1081"/>
      <c r="Q16" s="1081"/>
      <c r="R16" s="1081"/>
      <c r="S16" s="1081"/>
      <c r="T16" s="1081"/>
      <c r="U16" s="1081"/>
      <c r="V16" s="1081"/>
      <c r="W16" s="1082"/>
    </row>
    <row r="17" spans="2:29" s="38" customFormat="1" ht="15" customHeight="1">
      <c r="B17" s="574" t="s">
        <v>727</v>
      </c>
      <c r="C17" s="1060" t="str">
        <f>IF(C221=0,"Нет данных ",C221)</f>
        <v>Нулевой цикл</v>
      </c>
      <c r="D17" s="1060"/>
      <c r="E17" s="1060"/>
      <c r="F17" s="1060"/>
      <c r="G17" s="89"/>
      <c r="H17" s="1098"/>
      <c r="I17" s="1099"/>
      <c r="J17" s="1078"/>
      <c r="K17" s="1083"/>
      <c r="L17" s="1084"/>
      <c r="M17" s="1084"/>
      <c r="N17" s="1084"/>
      <c r="O17" s="1084"/>
      <c r="P17" s="1084"/>
      <c r="Q17" s="1084"/>
      <c r="R17" s="1084"/>
      <c r="S17" s="1084"/>
      <c r="T17" s="1084"/>
      <c r="U17" s="1084"/>
      <c r="V17" s="1084"/>
      <c r="W17" s="1085"/>
    </row>
    <row r="18" spans="2:29" s="38" customFormat="1" ht="15.75" customHeight="1">
      <c r="B18" s="574" t="s">
        <v>70</v>
      </c>
      <c r="C18" s="1060" t="str">
        <f>IF(C205=0," ",C205)</f>
        <v>Новый расчет</v>
      </c>
      <c r="D18" s="1060"/>
      <c r="E18" s="1060"/>
      <c r="F18" s="1060"/>
      <c r="G18" s="90"/>
      <c r="H18" s="1098"/>
      <c r="I18" s="1099"/>
      <c r="J18" s="1079"/>
      <c r="K18" s="1086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8"/>
    </row>
    <row r="19" spans="2:29" s="38" customFormat="1" ht="20.100000000000001" customHeight="1">
      <c r="B19" s="574" t="s">
        <v>95</v>
      </c>
      <c r="C19" s="807">
        <v>1</v>
      </c>
      <c r="D19" s="1060" t="s">
        <v>104</v>
      </c>
      <c r="E19" s="1060"/>
      <c r="F19" s="807">
        <v>1</v>
      </c>
      <c r="G19" s="90"/>
      <c r="H19" s="1098"/>
      <c r="I19" s="1099"/>
      <c r="J19" s="1102" t="s">
        <v>89</v>
      </c>
      <c r="K19" s="1080" t="s">
        <v>93</v>
      </c>
      <c r="L19" s="1081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2"/>
    </row>
    <row r="20" spans="2:29" s="38" customFormat="1" ht="15" customHeight="1">
      <c r="B20" s="574" t="s">
        <v>108</v>
      </c>
      <c r="C20" s="1060">
        <f ca="1">IF(SUM(INDIRECT({"ТИП1";"ТИП2";"ТИП3";"ТИП4";"ТИП5";"ТИП6";"ТИП7";"ТИП8";"ТИП9";"ТИП10"}&amp;"!AC20"))&gt;0,SUM(INDIRECT({"ТИП1";"ТИП2";"ТИП3";"ТИП4";"ТИП5";"ТИП6";"ТИП7";"ТИП8";"ТИП9";"ТИП10"}&amp;"!AC20")),0)</f>
        <v>2</v>
      </c>
      <c r="D20" s="1060"/>
      <c r="E20" s="1060"/>
      <c r="F20" s="1060"/>
      <c r="G20" s="90"/>
      <c r="H20" s="1100"/>
      <c r="I20" s="1101"/>
      <c r="J20" s="1079"/>
      <c r="K20" s="1086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8"/>
    </row>
    <row r="21" spans="2:29" s="38" customFormat="1" ht="15" customHeight="1">
      <c r="B21" s="92"/>
      <c r="C21" s="92"/>
      <c r="D21" s="92"/>
      <c r="E21" s="92"/>
      <c r="F21" s="92"/>
      <c r="G21" s="90"/>
      <c r="H21" s="1149" t="s">
        <v>86</v>
      </c>
      <c r="I21" s="1150"/>
      <c r="J21" s="1089" t="s">
        <v>87</v>
      </c>
      <c r="K21" s="1132" t="s">
        <v>543</v>
      </c>
      <c r="L21" s="1133"/>
      <c r="M21" s="1133"/>
      <c r="N21" s="1133"/>
      <c r="O21" s="1133"/>
      <c r="P21" s="1133"/>
      <c r="Q21" s="1133"/>
      <c r="R21" s="1133"/>
      <c r="S21" s="1133"/>
      <c r="T21" s="1133"/>
      <c r="U21" s="1133"/>
      <c r="V21" s="1133"/>
      <c r="W21" s="1134"/>
    </row>
    <row r="22" spans="2:29" s="38" customFormat="1" ht="24.9" customHeight="1">
      <c r="B22" s="1056" t="s">
        <v>716</v>
      </c>
      <c r="C22" s="1056"/>
      <c r="D22" s="1056"/>
      <c r="E22" s="1056"/>
      <c r="F22" s="1056"/>
      <c r="G22" s="90"/>
      <c r="H22" s="1098"/>
      <c r="I22" s="1099"/>
      <c r="J22" s="1078"/>
      <c r="K22" s="1135"/>
      <c r="L22" s="1136"/>
      <c r="M22" s="1136"/>
      <c r="N22" s="1136"/>
      <c r="O22" s="1136"/>
      <c r="P22" s="1136"/>
      <c r="Q22" s="1136"/>
      <c r="R22" s="1136"/>
      <c r="S22" s="1136"/>
      <c r="T22" s="1136"/>
      <c r="U22" s="1136"/>
      <c r="V22" s="1136"/>
      <c r="W22" s="1137"/>
    </row>
    <row r="23" spans="2:29" s="38" customFormat="1" ht="20.100000000000001" customHeight="1">
      <c r="B23" s="1147" t="s">
        <v>79</v>
      </c>
      <c r="C23" s="1147"/>
      <c r="D23" s="580" t="s">
        <v>80</v>
      </c>
      <c r="E23" s="1147" t="s">
        <v>81</v>
      </c>
      <c r="F23" s="1147"/>
      <c r="G23" s="90"/>
      <c r="H23" s="1098"/>
      <c r="I23" s="1099"/>
      <c r="J23" s="1078"/>
      <c r="K23" s="1135"/>
      <c r="L23" s="1136"/>
      <c r="M23" s="1136"/>
      <c r="N23" s="1136"/>
      <c r="O23" s="1136"/>
      <c r="P23" s="1136"/>
      <c r="Q23" s="1136"/>
      <c r="R23" s="1136"/>
      <c r="S23" s="1136"/>
      <c r="T23" s="1136"/>
      <c r="U23" s="1136"/>
      <c r="V23" s="1136"/>
      <c r="W23" s="1137"/>
    </row>
    <row r="24" spans="2:29" s="38" customFormat="1" ht="15.75" customHeight="1">
      <c r="B24" s="1128" t="s">
        <v>82</v>
      </c>
      <c r="C24" s="1128"/>
      <c r="D24" s="581" t="s">
        <v>88</v>
      </c>
      <c r="E24" s="1144" t="str">
        <f>IF(D24="Т0",N88,IF(D24="Т1",N89,IF(D24="Т2",N90,IF(D24="Т3",N91,""))))</f>
        <v>5-25%</v>
      </c>
      <c r="F24" s="1144"/>
      <c r="G24" s="90"/>
      <c r="H24" s="1098"/>
      <c r="I24" s="1099"/>
      <c r="J24" s="1078"/>
      <c r="K24" s="1135"/>
      <c r="L24" s="1136"/>
      <c r="M24" s="1136"/>
      <c r="N24" s="1136"/>
      <c r="O24" s="1136"/>
      <c r="P24" s="1136"/>
      <c r="Q24" s="1136"/>
      <c r="R24" s="1136"/>
      <c r="S24" s="1136"/>
      <c r="T24" s="1136"/>
      <c r="U24" s="1136"/>
      <c r="V24" s="1136"/>
      <c r="W24" s="1137"/>
    </row>
    <row r="25" spans="2:29" s="38" customFormat="1" ht="15.75" customHeight="1">
      <c r="B25" s="1128" t="s">
        <v>84</v>
      </c>
      <c r="C25" s="1128"/>
      <c r="D25" s="581" t="s">
        <v>88</v>
      </c>
      <c r="E25" s="1144" t="str">
        <f>IF(D25="Т0",N88,IF(D25="Т1",N93,IF(D25="Т2",N94,IF(D25="Т3",N95,""))))</f>
        <v>5-15%</v>
      </c>
      <c r="F25" s="1144"/>
      <c r="G25" s="90"/>
      <c r="H25" s="1098"/>
      <c r="I25" s="1099"/>
      <c r="J25" s="1079"/>
      <c r="K25" s="1138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0"/>
    </row>
    <row r="26" spans="2:29" s="38" customFormat="1" ht="31.5" customHeight="1" thickBot="1">
      <c r="B26" s="1062" t="s">
        <v>85</v>
      </c>
      <c r="C26" s="1062"/>
      <c r="D26" s="577" t="str">
        <f ca="1">IF((O34)=1,"Т2",IF(O34=2,"Т2",IF(O34=3,"Т1","0")))</f>
        <v>Т2</v>
      </c>
      <c r="E26" s="1145" t="str">
        <f ca="1">IF(D26="Т0",N88,IF(D26="Т1",N97,IF(D26="Т2",N98,IF(D26="Т3",N99,""))))</f>
        <v>Клин.плиты 5-8% Доб.плиты 5-10%</v>
      </c>
      <c r="F26" s="1145"/>
      <c r="G26" s="90"/>
      <c r="H26" s="1098"/>
      <c r="I26" s="1099"/>
      <c r="J26" s="259" t="s">
        <v>89</v>
      </c>
      <c r="K26" s="1129" t="s">
        <v>94</v>
      </c>
      <c r="L26" s="1130"/>
      <c r="M26" s="1130"/>
      <c r="N26" s="1130"/>
      <c r="O26" s="1130"/>
      <c r="P26" s="1130"/>
      <c r="Q26" s="1130"/>
      <c r="R26" s="1130"/>
      <c r="S26" s="1130"/>
      <c r="T26" s="1130"/>
      <c r="U26" s="1130"/>
      <c r="V26" s="1130"/>
      <c r="W26" s="1131"/>
    </row>
    <row r="27" spans="2:29" s="38" customFormat="1" ht="15.75" hidden="1" customHeight="1" thickBot="1">
      <c r="B27" s="1126" t="s">
        <v>1126</v>
      </c>
      <c r="C27" s="1146"/>
      <c r="D27" s="581">
        <v>0</v>
      </c>
      <c r="E27" s="1118" t="str">
        <f>IF(D27="Т0",N88,IF(D27="Т1",N101,IF(D27="Т3",N102,"")))</f>
        <v/>
      </c>
      <c r="F27" s="1118"/>
      <c r="G27" s="90"/>
      <c r="H27" s="1116" t="s">
        <v>377</v>
      </c>
      <c r="I27" s="1117"/>
      <c r="J27" s="1119" t="s">
        <v>6</v>
      </c>
      <c r="K27" s="1120"/>
      <c r="L27" s="1151"/>
      <c r="M27" s="1152"/>
      <c r="N27" s="1152"/>
      <c r="O27" s="1152"/>
      <c r="P27" s="1152"/>
      <c r="Q27" s="1152"/>
      <c r="R27" s="1152"/>
      <c r="S27" s="1152"/>
      <c r="T27" s="1152"/>
      <c r="U27" s="1152"/>
      <c r="V27" s="1152"/>
      <c r="W27" s="1153"/>
    </row>
    <row r="28" spans="2:29" s="38" customFormat="1" ht="15" customHeight="1">
      <c r="B28" s="578"/>
      <c r="C28" s="578"/>
      <c r="D28" s="572"/>
      <c r="E28" s="579"/>
      <c r="F28" s="579"/>
      <c r="G28" s="90"/>
      <c r="J28" s="1121"/>
      <c r="K28" s="1122"/>
      <c r="L28" s="1154"/>
      <c r="M28" s="1155"/>
      <c r="N28" s="1155"/>
      <c r="O28" s="1155"/>
      <c r="P28" s="1155"/>
      <c r="Q28" s="1155"/>
      <c r="R28" s="1155"/>
      <c r="S28" s="1155"/>
      <c r="T28" s="1155"/>
      <c r="U28" s="1155"/>
      <c r="V28" s="1155"/>
      <c r="W28" s="1156"/>
    </row>
    <row r="29" spans="2:29" s="38" customFormat="1" ht="16.5" customHeight="1" thickBot="1">
      <c r="G29" s="90"/>
      <c r="J29" s="1123"/>
      <c r="K29" s="1124"/>
      <c r="L29" s="1157"/>
      <c r="M29" s="1158"/>
      <c r="N29" s="1158"/>
      <c r="O29" s="1158"/>
      <c r="P29" s="1158"/>
      <c r="Q29" s="1158"/>
      <c r="R29" s="1158"/>
      <c r="S29" s="1158"/>
      <c r="T29" s="1158"/>
      <c r="U29" s="1158"/>
      <c r="V29" s="1158"/>
      <c r="W29" s="1159"/>
    </row>
    <row r="30" spans="2:29" s="38" customFormat="1" ht="12.75" customHeight="1">
      <c r="B30" s="517"/>
      <c r="C30" s="517"/>
      <c r="D30" s="517"/>
      <c r="E30" s="517"/>
      <c r="F30" s="517"/>
      <c r="G30" s="90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</row>
    <row r="31" spans="2:29" s="38" customFormat="1" ht="24.9" customHeight="1">
      <c r="B31" s="1056" t="s">
        <v>717</v>
      </c>
      <c r="C31" s="1056"/>
      <c r="D31" s="1056"/>
      <c r="E31" s="1056"/>
      <c r="F31" s="1056"/>
      <c r="G31" s="90"/>
      <c r="H31" s="1056" t="s">
        <v>667</v>
      </c>
      <c r="I31" s="1056"/>
      <c r="J31" s="1056"/>
      <c r="K31" s="1056"/>
      <c r="L31" s="1056"/>
      <c r="M31" s="1056"/>
      <c r="N31" s="1056"/>
      <c r="O31" s="1056"/>
      <c r="P31" s="1056"/>
      <c r="Q31" s="1056"/>
      <c r="R31" s="758"/>
      <c r="S31" s="504"/>
      <c r="T31" s="504"/>
      <c r="U31" s="504"/>
      <c r="V31" s="504"/>
      <c r="W31" s="504"/>
    </row>
    <row r="32" spans="2:29" s="38" customFormat="1" ht="24.9" customHeight="1">
      <c r="B32" s="584" t="s">
        <v>8</v>
      </c>
      <c r="C32" s="584" t="s">
        <v>3</v>
      </c>
      <c r="D32" s="584" t="s">
        <v>51</v>
      </c>
      <c r="E32" s="584" t="s">
        <v>4</v>
      </c>
      <c r="F32" s="585" t="s">
        <v>7</v>
      </c>
      <c r="G32" s="90"/>
      <c r="H32" s="1142" t="s">
        <v>8</v>
      </c>
      <c r="I32" s="1142"/>
      <c r="J32" s="1142"/>
      <c r="K32" s="1142"/>
      <c r="L32" s="1142"/>
      <c r="M32" s="1142"/>
      <c r="N32" s="1142"/>
      <c r="O32" s="584" t="s">
        <v>3</v>
      </c>
      <c r="P32" s="584" t="s">
        <v>51</v>
      </c>
      <c r="Q32" s="584" t="s">
        <v>4</v>
      </c>
      <c r="R32" s="585" t="s">
        <v>7</v>
      </c>
      <c r="W32" s="84" t="s">
        <v>53</v>
      </c>
      <c r="X32" s="450" t="s">
        <v>54</v>
      </c>
      <c r="Y32" s="450" t="s">
        <v>60</v>
      </c>
      <c r="Z32" s="450" t="s">
        <v>52</v>
      </c>
      <c r="AA32" s="450" t="s">
        <v>58</v>
      </c>
      <c r="AB32" s="450" t="s">
        <v>64</v>
      </c>
      <c r="AC32" s="518" t="s">
        <v>61</v>
      </c>
    </row>
    <row r="33" spans="2:34" s="38" customFormat="1" ht="15.75" hidden="1" customHeight="1">
      <c r="B33" s="586" t="s">
        <v>384</v>
      </c>
      <c r="C33" s="581">
        <f>O33</f>
        <v>1</v>
      </c>
      <c r="D33" s="587">
        <v>0</v>
      </c>
      <c r="E33" s="588">
        <v>1</v>
      </c>
      <c r="F33" s="589">
        <f>D33*(100%-E33)</f>
        <v>0</v>
      </c>
      <c r="G33" s="90"/>
      <c r="H33" s="1160" t="s">
        <v>384</v>
      </c>
      <c r="I33" s="1160"/>
      <c r="J33" s="1160"/>
      <c r="K33" s="1160"/>
      <c r="L33" s="1160"/>
      <c r="M33" s="1160"/>
      <c r="N33" s="1160"/>
      <c r="O33" s="760">
        <v>1</v>
      </c>
      <c r="P33" s="587">
        <f ca="1">IF(OR(C16=0,O33=0),0,INDEX(Прайс!J39:M41,O33,P80))</f>
        <v>1000</v>
      </c>
      <c r="Q33" s="588">
        <v>1</v>
      </c>
      <c r="R33" s="589">
        <f t="shared" ref="R33:R44" ca="1" si="0">P33*(100%-Q33)</f>
        <v>0</v>
      </c>
      <c r="W33" s="508">
        <f ca="1">'Деление по СБЕ'!C43</f>
        <v>1</v>
      </c>
      <c r="X33" s="508">
        <f ca="1">'Деление по СБЕ'!D43</f>
        <v>0</v>
      </c>
      <c r="Y33" s="508">
        <f ca="1">'Деление по СБЕ'!E43</f>
        <v>0</v>
      </c>
      <c r="Z33" s="508">
        <f>'Деление по СБЕ'!F43</f>
        <v>1</v>
      </c>
      <c r="AA33" s="508">
        <f>'Деление по СБЕ'!G43</f>
        <v>1</v>
      </c>
      <c r="AB33" s="508">
        <f>'Деление по СБЕ'!H43</f>
        <v>0</v>
      </c>
      <c r="AC33" s="508">
        <f>'Деление по СБЕ'!I43</f>
        <v>0</v>
      </c>
    </row>
    <row r="34" spans="2:34" s="38" customFormat="1" ht="15.75" customHeight="1">
      <c r="B34" s="590" t="s">
        <v>85</v>
      </c>
      <c r="C34" s="591">
        <f ca="1">O34</f>
        <v>1</v>
      </c>
      <c r="D34" s="587">
        <f ca="1">IF(AND($C$16&gt;0,C34&gt;0),5000,0)</f>
        <v>5000</v>
      </c>
      <c r="E34" s="588">
        <v>1</v>
      </c>
      <c r="F34" s="592">
        <f t="shared" ref="F34:F36" ca="1" si="1">D34*(100%-E34)</f>
        <v>0</v>
      </c>
      <c r="G34" s="90"/>
      <c r="H34" s="1160" t="s">
        <v>85</v>
      </c>
      <c r="I34" s="1160"/>
      <c r="J34" s="1160"/>
      <c r="K34" s="1160"/>
      <c r="L34" s="1160"/>
      <c r="M34" s="1160"/>
      <c r="N34" s="1160"/>
      <c r="O34" s="759">
        <f ca="1">Прайс!AC7</f>
        <v>1</v>
      </c>
      <c r="P34" s="587">
        <f ca="1">Прайс!AC8*N81*O83</f>
        <v>1200</v>
      </c>
      <c r="Q34" s="765">
        <v>1</v>
      </c>
      <c r="R34" s="592">
        <f t="shared" ca="1" si="0"/>
        <v>0</v>
      </c>
      <c r="W34" s="508">
        <f ca="1">'Деление по СБЕ'!C3</f>
        <v>1</v>
      </c>
      <c r="X34" s="508">
        <f ca="1">'Деление по СБЕ'!D3</f>
        <v>0</v>
      </c>
      <c r="Y34" s="508">
        <f ca="1">'Деление по СБЕ'!E3</f>
        <v>0</v>
      </c>
      <c r="Z34" s="509"/>
      <c r="AA34" s="509"/>
      <c r="AB34" s="509"/>
      <c r="AC34" s="509"/>
    </row>
    <row r="35" spans="2:34" ht="15.75" customHeight="1">
      <c r="B35" s="590" t="s">
        <v>62</v>
      </c>
      <c r="C35" s="591">
        <f t="shared" ref="C35:C44" si="2">O35</f>
        <v>2</v>
      </c>
      <c r="D35" s="587">
        <f t="shared" ref="D35:D43" ca="1" si="3">IF(AND($C$16&gt;0,C35&gt;0),5000,0)</f>
        <v>5000</v>
      </c>
      <c r="E35" s="588">
        <v>1</v>
      </c>
      <c r="F35" s="592">
        <f t="shared" ca="1" si="1"/>
        <v>0</v>
      </c>
      <c r="H35" s="1125" t="s">
        <v>62</v>
      </c>
      <c r="I35" s="1125"/>
      <c r="J35" s="1125"/>
      <c r="K35" s="1125"/>
      <c r="L35" s="1125"/>
      <c r="M35" s="1125"/>
      <c r="N35" s="1125"/>
      <c r="O35" s="760">
        <v>2</v>
      </c>
      <c r="P35" s="587">
        <f ca="1">IF('Деление по СБЕ'!L20=0,0,IF(OR(N86=0,O35=0),0,INDEX(Прайс!J18:M20,O35,N80))*N81*N82*N83)</f>
        <v>2880.0000000000005</v>
      </c>
      <c r="Q35" s="765">
        <v>1</v>
      </c>
      <c r="R35" s="592">
        <f t="shared" ca="1" si="0"/>
        <v>0</v>
      </c>
      <c r="W35" s="510">
        <f>'Деление по СБЕ'!C18</f>
        <v>1</v>
      </c>
      <c r="X35" s="510">
        <f>'Деление по СБЕ'!D18</f>
        <v>0</v>
      </c>
      <c r="Y35" s="510">
        <f>'Деление по СБЕ'!E18</f>
        <v>0</v>
      </c>
      <c r="Z35" s="510">
        <f>'Деление по СБЕ'!F18</f>
        <v>1</v>
      </c>
      <c r="AA35" s="510">
        <f>'Деление по СБЕ'!G18</f>
        <v>1</v>
      </c>
      <c r="AB35" s="510">
        <f>'Деление по СБЕ'!H18</f>
        <v>0</v>
      </c>
      <c r="AC35" s="509"/>
    </row>
    <row r="36" spans="2:34" ht="15.75" hidden="1" customHeight="1">
      <c r="B36" s="593" t="s">
        <v>63</v>
      </c>
      <c r="C36" s="591">
        <f t="shared" si="2"/>
        <v>0</v>
      </c>
      <c r="D36" s="587">
        <f t="shared" ca="1" si="3"/>
        <v>0</v>
      </c>
      <c r="E36" s="588">
        <v>1</v>
      </c>
      <c r="F36" s="592">
        <f t="shared" ca="1" si="1"/>
        <v>0</v>
      </c>
      <c r="H36" s="1125" t="s">
        <v>63</v>
      </c>
      <c r="I36" s="1125"/>
      <c r="J36" s="1125"/>
      <c r="K36" s="1125"/>
      <c r="L36" s="1125"/>
      <c r="M36" s="1125"/>
      <c r="N36" s="1125"/>
      <c r="O36" s="760">
        <v>0</v>
      </c>
      <c r="P36" s="587">
        <f>IF('Деление по СБЕ'!L25=0,0,IF(OR(N85=0,O36=0),0,INDEX(Прайс!J21:M23,O36,O80))*N81*N82*N83)</f>
        <v>0</v>
      </c>
      <c r="Q36" s="765">
        <v>1</v>
      </c>
      <c r="R36" s="592">
        <f t="shared" si="0"/>
        <v>0</v>
      </c>
      <c r="W36" s="510">
        <f>'Деление по СБЕ'!C23</f>
        <v>0</v>
      </c>
      <c r="X36" s="510">
        <f>'Деление по СБЕ'!D23</f>
        <v>0</v>
      </c>
      <c r="Y36" s="510">
        <f>'Деление по СБЕ'!E23</f>
        <v>0</v>
      </c>
      <c r="Z36" s="509"/>
      <c r="AA36" s="510">
        <f>'Деление по СБЕ'!G23</f>
        <v>0</v>
      </c>
      <c r="AB36" s="510">
        <f>'Деление по СБЕ'!H23</f>
        <v>0</v>
      </c>
      <c r="AC36" s="509"/>
    </row>
    <row r="37" spans="2:34" ht="15.75" hidden="1" customHeight="1">
      <c r="B37" s="590" t="s">
        <v>239</v>
      </c>
      <c r="C37" s="591">
        <f t="shared" si="2"/>
        <v>0</v>
      </c>
      <c r="D37" s="587">
        <f t="shared" ca="1" si="3"/>
        <v>0</v>
      </c>
      <c r="E37" s="588">
        <v>1</v>
      </c>
      <c r="F37" s="592">
        <f ca="1">D37*(100%-E37)</f>
        <v>0</v>
      </c>
      <c r="H37" s="1126" t="s">
        <v>239</v>
      </c>
      <c r="I37" s="1127"/>
      <c r="J37" s="1127"/>
      <c r="K37" s="1127"/>
      <c r="L37" s="1127"/>
      <c r="M37" s="881" t="s">
        <v>1117</v>
      </c>
      <c r="N37" s="583">
        <v>0</v>
      </c>
      <c r="O37" s="760">
        <v>0</v>
      </c>
      <c r="P37" s="587">
        <f ca="1">IF(OR(C16=0,O37=0),0,INDEX(Прайс!J$24:J$26,O37))*N$84*$N$81</f>
        <v>0</v>
      </c>
      <c r="Q37" s="765">
        <v>1</v>
      </c>
      <c r="R37" s="592">
        <f t="shared" ca="1" si="0"/>
        <v>0</v>
      </c>
      <c r="W37" s="519"/>
      <c r="X37" s="519"/>
      <c r="Y37" s="519"/>
      <c r="Z37" s="511">
        <f>'Деление по СБЕ'!F28</f>
        <v>0</v>
      </c>
      <c r="AA37" s="511" t="s">
        <v>6</v>
      </c>
      <c r="AB37" s="519"/>
      <c r="AC37" s="519"/>
    </row>
    <row r="38" spans="2:34" ht="15.75" hidden="1" customHeight="1">
      <c r="B38" s="590" t="s">
        <v>238</v>
      </c>
      <c r="C38" s="591">
        <f t="shared" si="2"/>
        <v>0</v>
      </c>
      <c r="D38" s="587">
        <f t="shared" ca="1" si="3"/>
        <v>0</v>
      </c>
      <c r="E38" s="588">
        <v>1</v>
      </c>
      <c r="F38" s="592">
        <f ca="1">D38*(100%-E38)</f>
        <v>0</v>
      </c>
      <c r="H38" s="1126" t="s">
        <v>238</v>
      </c>
      <c r="I38" s="1127"/>
      <c r="J38" s="1127"/>
      <c r="K38" s="1127"/>
      <c r="L38" s="1127"/>
      <c r="M38" s="881" t="s">
        <v>1117</v>
      </c>
      <c r="N38" s="583">
        <v>0</v>
      </c>
      <c r="O38" s="760">
        <v>0</v>
      </c>
      <c r="P38" s="587">
        <f ca="1">IF(OR(C16=0,O38=0),0,INDEX(Прайс!J$24:J$26,O38))*O$84*$N$81</f>
        <v>0</v>
      </c>
      <c r="Q38" s="765">
        <v>1</v>
      </c>
      <c r="R38" s="592">
        <f t="shared" ca="1" si="0"/>
        <v>0</v>
      </c>
      <c r="W38" s="519"/>
      <c r="X38" s="519"/>
      <c r="Y38" s="519"/>
      <c r="Z38" s="511" t="s">
        <v>6</v>
      </c>
      <c r="AA38" s="511">
        <f>'Деление по СБЕ'!G33</f>
        <v>0</v>
      </c>
      <c r="AB38" s="519"/>
      <c r="AC38" s="519"/>
    </row>
    <row r="39" spans="2:34" ht="15.75" hidden="1" customHeight="1">
      <c r="B39" s="590" t="s">
        <v>31</v>
      </c>
      <c r="C39" s="591">
        <f t="shared" si="2"/>
        <v>0</v>
      </c>
      <c r="D39" s="587">
        <f t="shared" ca="1" si="3"/>
        <v>0</v>
      </c>
      <c r="E39" s="588">
        <v>1</v>
      </c>
      <c r="F39" s="592">
        <f t="shared" ref="F39:F42" ca="1" si="4">D39*(100%-E39)</f>
        <v>0</v>
      </c>
      <c r="H39" s="1125" t="s">
        <v>31</v>
      </c>
      <c r="I39" s="1125"/>
      <c r="J39" s="1125"/>
      <c r="K39" s="1125"/>
      <c r="L39" s="1125"/>
      <c r="M39" s="1125"/>
      <c r="N39" s="1125"/>
      <c r="O39" s="760">
        <v>0</v>
      </c>
      <c r="P39" s="594">
        <f>O39*Прайс!G70*$N$81</f>
        <v>0</v>
      </c>
      <c r="Q39" s="765">
        <v>1</v>
      </c>
      <c r="R39" s="592">
        <f t="shared" si="0"/>
        <v>0</v>
      </c>
      <c r="W39" s="511"/>
      <c r="X39" s="511"/>
      <c r="Y39" s="511"/>
      <c r="Z39" s="523" t="str">
        <f>IF(O39=0," ","ЗАПОЛНИТЬ ПРИСУТСТВИЕ СБЕ В РУЧНУЮ (0 ИЛИ 1)")</f>
        <v xml:space="preserve"> </v>
      </c>
      <c r="AA39" s="519"/>
      <c r="AB39" s="519"/>
      <c r="AC39" s="519"/>
    </row>
    <row r="40" spans="2:34" ht="15.75" hidden="1" customHeight="1">
      <c r="B40" s="819" t="s">
        <v>898</v>
      </c>
      <c r="C40" s="820">
        <f t="shared" ref="C40" si="5">O40</f>
        <v>0</v>
      </c>
      <c r="D40" s="587">
        <f t="shared" ca="1" si="3"/>
        <v>0</v>
      </c>
      <c r="E40" s="588">
        <v>1</v>
      </c>
      <c r="F40" s="592">
        <f t="shared" ref="F40" ca="1" si="6">D40*(100%-E40)</f>
        <v>0</v>
      </c>
      <c r="H40" s="1125" t="s">
        <v>898</v>
      </c>
      <c r="I40" s="1125"/>
      <c r="J40" s="1125"/>
      <c r="K40" s="1125"/>
      <c r="L40" s="1125"/>
      <c r="M40" s="1125"/>
      <c r="N40" s="1125"/>
      <c r="O40" s="821">
        <v>0</v>
      </c>
      <c r="P40" s="594">
        <f>IF(O40=0,0,INDEX(Прайс!J$51:J$53,O40)*N81)</f>
        <v>0</v>
      </c>
      <c r="Q40" s="765">
        <v>1</v>
      </c>
      <c r="R40" s="592">
        <f t="shared" ref="R40" si="7">P40*(100%-Q40)</f>
        <v>0</v>
      </c>
      <c r="W40" s="822"/>
      <c r="X40" s="822"/>
      <c r="Y40" s="822"/>
      <c r="Z40" s="534"/>
      <c r="AA40" s="535"/>
      <c r="AB40" s="535"/>
      <c r="AC40" s="535"/>
    </row>
    <row r="41" spans="2:34" ht="15.75" hidden="1" customHeight="1">
      <c r="B41" s="590" t="s">
        <v>684</v>
      </c>
      <c r="C41" s="591">
        <f>O41</f>
        <v>0</v>
      </c>
      <c r="D41" s="587">
        <f t="shared" ca="1" si="3"/>
        <v>0</v>
      </c>
      <c r="E41" s="588">
        <v>1</v>
      </c>
      <c r="F41" s="592">
        <f t="shared" ca="1" si="4"/>
        <v>0</v>
      </c>
      <c r="H41" s="1125" t="s">
        <v>684</v>
      </c>
      <c r="I41" s="1125"/>
      <c r="J41" s="1125"/>
      <c r="K41" s="1125"/>
      <c r="L41" s="1125"/>
      <c r="M41" s="1125"/>
      <c r="N41" s="1125"/>
      <c r="O41" s="760">
        <v>0</v>
      </c>
      <c r="P41" s="594">
        <f>O41*Прайс!G74*$N$81</f>
        <v>0</v>
      </c>
      <c r="Q41" s="765">
        <v>1</v>
      </c>
      <c r="R41" s="592">
        <f t="shared" si="0"/>
        <v>0</v>
      </c>
      <c r="W41" s="534"/>
      <c r="X41" s="534"/>
      <c r="Y41" s="511" t="str">
        <f>'Деление по СБЕ'!E58</f>
        <v>-</v>
      </c>
      <c r="Z41" s="534"/>
      <c r="AA41" s="511">
        <f>'Деление по СБЕ'!G58</f>
        <v>0</v>
      </c>
      <c r="AB41" s="535"/>
      <c r="AC41" s="535"/>
    </row>
    <row r="42" spans="2:34" ht="15.75" customHeight="1" thickBot="1">
      <c r="B42" s="590" t="s">
        <v>685</v>
      </c>
      <c r="C42" s="591">
        <f>O42</f>
        <v>2</v>
      </c>
      <c r="D42" s="587">
        <f t="shared" ca="1" si="3"/>
        <v>5000</v>
      </c>
      <c r="E42" s="588">
        <v>1</v>
      </c>
      <c r="F42" s="592">
        <f t="shared" ca="1" si="4"/>
        <v>0</v>
      </c>
      <c r="H42" s="1125" t="s">
        <v>685</v>
      </c>
      <c r="I42" s="1125"/>
      <c r="J42" s="1125"/>
      <c r="K42" s="1125"/>
      <c r="L42" s="1125"/>
      <c r="M42" s="1125"/>
      <c r="N42" s="1125"/>
      <c r="O42" s="760">
        <v>2</v>
      </c>
      <c r="P42" s="594">
        <f>IF(O42=0,0,INDEX(Прайс!J$48:J$50,O42)*N81)</f>
        <v>600.00000000000011</v>
      </c>
      <c r="Q42" s="765">
        <v>1</v>
      </c>
      <c r="R42" s="592">
        <f t="shared" si="0"/>
        <v>0</v>
      </c>
      <c r="W42" s="534"/>
      <c r="X42" s="534"/>
      <c r="Y42" s="534"/>
      <c r="Z42" s="508">
        <f>'Деление по СБЕ'!F63</f>
        <v>1</v>
      </c>
      <c r="AA42" s="534"/>
      <c r="AB42" s="535"/>
      <c r="AC42" s="535"/>
    </row>
    <row r="43" spans="2:34" ht="15.75" hidden="1" customHeight="1">
      <c r="B43" s="590" t="s">
        <v>273</v>
      </c>
      <c r="C43" s="591">
        <f t="shared" si="2"/>
        <v>0</v>
      </c>
      <c r="D43" s="587">
        <f t="shared" ca="1" si="3"/>
        <v>0</v>
      </c>
      <c r="E43" s="588">
        <v>1</v>
      </c>
      <c r="F43" s="592">
        <f ca="1">D43*(100%-E43)</f>
        <v>0</v>
      </c>
      <c r="H43" s="1125" t="s">
        <v>273</v>
      </c>
      <c r="I43" s="1125"/>
      <c r="J43" s="1125"/>
      <c r="K43" s="1125"/>
      <c r="L43" s="1125"/>
      <c r="M43" s="1125"/>
      <c r="N43" s="766" t="str">
        <f>HYPERLINK("#"&amp;$W$132&amp;"!I125","↓ ")</f>
        <v xml:space="preserve">↓ </v>
      </c>
      <c r="O43" s="760">
        <f>IFERROR(ROUNDDOWN(SUM(K133:K142)/COUNTIF(K133:K142,"&gt;0"),0),0)</f>
        <v>0</v>
      </c>
      <c r="P43" s="594">
        <f>SUM(L133:L142)</f>
        <v>0</v>
      </c>
      <c r="Q43" s="765">
        <v>1</v>
      </c>
      <c r="R43" s="592">
        <f t="shared" si="0"/>
        <v>0</v>
      </c>
      <c r="W43" s="520"/>
      <c r="X43" s="520"/>
      <c r="Y43" s="520"/>
      <c r="Z43" s="511">
        <f>IF(SUM(M133:M142)&gt;0,1,0)</f>
        <v>0</v>
      </c>
      <c r="AA43" s="511">
        <f>IF(SUM(N133:N142)&gt;0,1,0)</f>
        <v>0</v>
      </c>
      <c r="AB43" s="512"/>
      <c r="AC43" s="520"/>
    </row>
    <row r="44" spans="2:34" ht="15.75" hidden="1" customHeight="1" thickBot="1">
      <c r="B44" s="590" t="s">
        <v>274</v>
      </c>
      <c r="C44" s="591">
        <f t="shared" si="2"/>
        <v>0</v>
      </c>
      <c r="D44" s="594">
        <f>P44</f>
        <v>0</v>
      </c>
      <c r="E44" s="588">
        <v>1</v>
      </c>
      <c r="F44" s="592">
        <f t="shared" ref="F44" si="8">D44*(100%-E44)</f>
        <v>0</v>
      </c>
      <c r="H44" s="1125" t="s">
        <v>274</v>
      </c>
      <c r="I44" s="1125"/>
      <c r="J44" s="1125"/>
      <c r="K44" s="1125"/>
      <c r="L44" s="1125"/>
      <c r="M44" s="1125"/>
      <c r="N44" s="766" t="str">
        <f>HYPERLINK("#"&amp;$W$132&amp;"!I141","↓ ")</f>
        <v xml:space="preserve">↓ </v>
      </c>
      <c r="O44" s="760">
        <f>IFERROR(ROUNDDOWN(SUM(K149:K158)/COUNTIF(K149:K158,"&gt;0"),0),0)</f>
        <v>0</v>
      </c>
      <c r="P44" s="594">
        <f>SUM(L149:L158)</f>
        <v>0</v>
      </c>
      <c r="Q44" s="765">
        <v>1</v>
      </c>
      <c r="R44" s="592">
        <f t="shared" si="0"/>
        <v>0</v>
      </c>
      <c r="W44" s="520"/>
      <c r="X44" s="520"/>
      <c r="Y44" s="520"/>
      <c r="Z44" s="511">
        <f>IF(SUM(M149:M158)&gt;0,1,0)</f>
        <v>0</v>
      </c>
      <c r="AA44" s="511">
        <f>IF(SUM(N149:N158)&gt;0,1,0)</f>
        <v>0</v>
      </c>
      <c r="AB44" s="512"/>
      <c r="AC44" s="520"/>
    </row>
    <row r="45" spans="2:34" ht="15.75" customHeight="1" thickBot="1">
      <c r="B45" s="1141" t="s">
        <v>7</v>
      </c>
      <c r="C45" s="1141"/>
      <c r="D45" s="595">
        <f ca="1">SUM(D33:D44)</f>
        <v>15000</v>
      </c>
      <c r="E45" s="596"/>
      <c r="F45" s="597">
        <f ca="1">SUM(F33:F44)</f>
        <v>0</v>
      </c>
      <c r="H45" s="1141" t="s">
        <v>7</v>
      </c>
      <c r="I45" s="1141"/>
      <c r="J45" s="1141"/>
      <c r="K45" s="1141"/>
      <c r="L45" s="1141"/>
      <c r="M45" s="1141"/>
      <c r="N45" s="1141"/>
      <c r="O45" s="1141"/>
      <c r="P45" s="767">
        <f ca="1">SUM(P33:P44)</f>
        <v>5680</v>
      </c>
      <c r="Q45" s="768"/>
      <c r="R45" s="769">
        <f ca="1">SUM(R33:R44)</f>
        <v>0</v>
      </c>
      <c r="W45" s="521" t="s">
        <v>6</v>
      </c>
      <c r="X45" s="521" t="s">
        <v>6</v>
      </c>
      <c r="Y45" s="521" t="s">
        <v>6</v>
      </c>
      <c r="Z45" s="521" t="s">
        <v>6</v>
      </c>
      <c r="AA45" s="521" t="s">
        <v>6</v>
      </c>
      <c r="AB45" s="521" t="s">
        <v>6</v>
      </c>
      <c r="AC45" s="521" t="s">
        <v>6</v>
      </c>
      <c r="AD45" s="1072" t="s">
        <v>378</v>
      </c>
      <c r="AE45" s="1115"/>
      <c r="AF45" s="1115"/>
      <c r="AG45" s="1115"/>
      <c r="AH45" s="1073"/>
    </row>
    <row r="46" spans="2:34" ht="15.75" customHeight="1" thickBot="1">
      <c r="B46" s="265"/>
      <c r="C46" s="265"/>
      <c r="D46" s="265"/>
      <c r="E46" s="265"/>
      <c r="F46" s="265"/>
      <c r="AD46" s="1112" t="s">
        <v>412</v>
      </c>
      <c r="AE46" s="1113"/>
      <c r="AF46" s="1113"/>
      <c r="AG46" s="1113"/>
      <c r="AH46" s="1114"/>
    </row>
    <row r="47" spans="2:34" ht="15.75" customHeight="1">
      <c r="B47" s="522"/>
      <c r="C47" s="522"/>
      <c r="D47" s="522"/>
      <c r="E47" s="522"/>
      <c r="F47" s="522"/>
      <c r="O47"/>
      <c r="P47"/>
      <c r="Q47"/>
      <c r="R47"/>
      <c r="S47"/>
    </row>
    <row r="48" spans="2:34" ht="15.75" customHeight="1">
      <c r="B48" s="1143" t="str">
        <f ca="1">IF(C16&gt;=3000,"Для данного объекта Вы можете заказать техническое сопровождение Службы Качества ТехноНИКОЛЬ. Подробности на сайте http://nav.tn.ru","")</f>
        <v/>
      </c>
      <c r="C48" s="1143"/>
      <c r="D48" s="1143"/>
      <c r="E48" s="1143"/>
      <c r="F48" s="1143"/>
      <c r="O48" s="1"/>
      <c r="P48" s="1"/>
      <c r="Q48" s="1"/>
      <c r="R48" s="1"/>
      <c r="S48" s="1"/>
    </row>
    <row r="49" spans="2:39">
      <c r="B49" s="1143"/>
      <c r="C49" s="1143"/>
      <c r="D49" s="1143"/>
      <c r="E49" s="1143"/>
      <c r="F49" s="1143"/>
    </row>
    <row r="51" spans="2:39" ht="15.6" hidden="1" outlineLevel="1">
      <c r="H51" s="37">
        <v>0</v>
      </c>
      <c r="I51" s="88">
        <v>1</v>
      </c>
      <c r="J51" s="88">
        <v>1</v>
      </c>
      <c r="AM51" s="798"/>
    </row>
    <row r="52" spans="2:39" ht="15.6" hidden="1" outlineLevel="1">
      <c r="H52" s="708">
        <v>0</v>
      </c>
      <c r="I52" s="88">
        <v>1</v>
      </c>
      <c r="J52" s="88">
        <v>1</v>
      </c>
      <c r="M52" s="88">
        <v>1</v>
      </c>
      <c r="P52" s="37">
        <v>0</v>
      </c>
      <c r="AM52" s="798"/>
    </row>
    <row r="53" spans="2:39" ht="15.6" hidden="1" outlineLevel="1">
      <c r="H53" s="343">
        <v>1</v>
      </c>
      <c r="I53" s="88">
        <v>1</v>
      </c>
      <c r="J53" s="88">
        <v>1</v>
      </c>
      <c r="L53" s="354">
        <f ca="1">1170*INDEX(I51:I58,MATCH(C20,H51:H58,0))/N53</f>
        <v>257.39999999999998</v>
      </c>
      <c r="M53" s="88">
        <v>1</v>
      </c>
      <c r="N53" s="354">
        <v>5</v>
      </c>
      <c r="P53" s="37">
        <v>1</v>
      </c>
      <c r="AM53" s="798"/>
    </row>
    <row r="54" spans="2:39" ht="15.6" hidden="1" outlineLevel="1">
      <c r="H54" s="343">
        <v>2</v>
      </c>
      <c r="I54" s="88">
        <v>1.1000000000000001</v>
      </c>
      <c r="J54" s="88">
        <v>1.2</v>
      </c>
      <c r="M54" s="88">
        <v>1.1000000000000001</v>
      </c>
      <c r="P54" s="37">
        <v>2</v>
      </c>
      <c r="AM54" s="798"/>
    </row>
    <row r="55" spans="2:39" ht="15.6" hidden="1" outlineLevel="1">
      <c r="H55" s="343">
        <v>3</v>
      </c>
      <c r="I55" s="88">
        <v>1.2</v>
      </c>
      <c r="J55" s="88">
        <v>1.4</v>
      </c>
      <c r="M55" s="88">
        <v>1.2</v>
      </c>
      <c r="P55" s="37">
        <v>3</v>
      </c>
      <c r="AM55" s="799"/>
    </row>
    <row r="56" spans="2:39" ht="15.6" hidden="1" outlineLevel="1">
      <c r="H56" s="343">
        <v>4</v>
      </c>
      <c r="I56" s="88">
        <v>1.3</v>
      </c>
      <c r="J56" s="88">
        <v>1.6</v>
      </c>
      <c r="M56" s="88">
        <v>1.3</v>
      </c>
      <c r="P56" s="37">
        <v>4</v>
      </c>
      <c r="AM56" s="798"/>
    </row>
    <row r="57" spans="2:39" hidden="1" outlineLevel="1">
      <c r="H57" s="343">
        <v>5</v>
      </c>
      <c r="I57" s="88">
        <v>1.4</v>
      </c>
      <c r="J57" s="88">
        <v>1.8</v>
      </c>
      <c r="M57" s="88">
        <v>1.4</v>
      </c>
      <c r="P57" s="37">
        <v>5</v>
      </c>
    </row>
    <row r="58" spans="2:39" hidden="1" outlineLevel="1">
      <c r="H58" s="343">
        <v>6</v>
      </c>
      <c r="I58" s="88">
        <v>1.5</v>
      </c>
      <c r="J58" s="88">
        <v>2</v>
      </c>
      <c r="M58" s="88">
        <v>1.5</v>
      </c>
      <c r="P58" s="37">
        <v>6</v>
      </c>
    </row>
    <row r="59" spans="2:39" hidden="1" outlineLevel="1">
      <c r="H59" s="343">
        <v>7</v>
      </c>
      <c r="I59" s="88">
        <v>1.6</v>
      </c>
      <c r="J59" s="88">
        <v>2.2000000000000002</v>
      </c>
      <c r="M59" s="88">
        <v>1.6</v>
      </c>
      <c r="P59" s="37">
        <v>7</v>
      </c>
    </row>
    <row r="60" spans="2:39" hidden="1" outlineLevel="1">
      <c r="H60" s="343">
        <v>8</v>
      </c>
      <c r="I60" s="88">
        <v>1.7</v>
      </c>
      <c r="J60" s="88">
        <v>2.4</v>
      </c>
      <c r="M60" s="88">
        <v>1.7</v>
      </c>
      <c r="P60" s="37">
        <v>8</v>
      </c>
    </row>
    <row r="61" spans="2:39" hidden="1" outlineLevel="1">
      <c r="H61" s="343">
        <v>9</v>
      </c>
      <c r="I61" s="88">
        <v>1.8</v>
      </c>
      <c r="J61" s="88">
        <v>2.6</v>
      </c>
      <c r="M61" s="88">
        <v>1.8</v>
      </c>
      <c r="P61" s="37">
        <v>9</v>
      </c>
    </row>
    <row r="62" spans="2:39" hidden="1" outlineLevel="1">
      <c r="H62" s="343">
        <v>10</v>
      </c>
      <c r="I62" s="88">
        <v>1.9</v>
      </c>
      <c r="J62" s="88">
        <v>2.8</v>
      </c>
      <c r="M62" s="88">
        <v>1.9</v>
      </c>
      <c r="P62" s="37">
        <v>10</v>
      </c>
    </row>
    <row r="63" spans="2:39" hidden="1" outlineLevel="1">
      <c r="H63" s="343">
        <v>11</v>
      </c>
      <c r="M63" s="88">
        <v>2</v>
      </c>
    </row>
    <row r="64" spans="2:39" hidden="1" outlineLevel="1">
      <c r="H64" s="343">
        <v>12</v>
      </c>
      <c r="M64" s="88">
        <v>2.1</v>
      </c>
      <c r="R64" s="343"/>
    </row>
    <row r="65" spans="8:24" hidden="1" outlineLevel="1">
      <c r="H65" s="343">
        <v>13</v>
      </c>
      <c r="M65" s="88">
        <v>2.2000000000000002</v>
      </c>
      <c r="R65" s="343" t="s">
        <v>99</v>
      </c>
      <c r="X65" s="37" t="s">
        <v>6</v>
      </c>
    </row>
    <row r="66" spans="8:24" hidden="1" outlineLevel="1">
      <c r="H66" s="343">
        <v>14</v>
      </c>
      <c r="M66" s="88">
        <v>2.2999999999999998</v>
      </c>
      <c r="R66" s="343" t="s">
        <v>98</v>
      </c>
      <c r="X66" s="37" t="s">
        <v>412</v>
      </c>
    </row>
    <row r="67" spans="8:24" hidden="1" outlineLevel="1">
      <c r="H67" s="343">
        <v>15</v>
      </c>
      <c r="M67" s="88">
        <v>2.4</v>
      </c>
      <c r="R67" s="343" t="s">
        <v>100</v>
      </c>
    </row>
    <row r="68" spans="8:24" hidden="1" outlineLevel="1">
      <c r="H68" s="343">
        <v>16</v>
      </c>
      <c r="M68" s="88">
        <v>2.5</v>
      </c>
      <c r="R68" s="343" t="s">
        <v>97</v>
      </c>
    </row>
    <row r="69" spans="8:24" hidden="1" outlineLevel="1">
      <c r="H69" s="343">
        <v>17</v>
      </c>
      <c r="M69" s="88">
        <v>2.6</v>
      </c>
      <c r="R69" s="343" t="s">
        <v>101</v>
      </c>
    </row>
    <row r="70" spans="8:24" hidden="1" outlineLevel="1">
      <c r="H70" s="343">
        <v>18</v>
      </c>
      <c r="M70" s="88">
        <v>2.7</v>
      </c>
      <c r="R70" s="343" t="s">
        <v>78</v>
      </c>
    </row>
    <row r="71" spans="8:24" hidden="1" outlineLevel="1">
      <c r="H71" s="343">
        <v>19</v>
      </c>
      <c r="M71" s="88">
        <v>2.8</v>
      </c>
      <c r="R71" s="343" t="s">
        <v>102</v>
      </c>
    </row>
    <row r="72" spans="8:24" hidden="1" outlineLevel="1">
      <c r="H72" s="343">
        <v>20</v>
      </c>
      <c r="M72" s="88">
        <v>2.9</v>
      </c>
      <c r="R72" s="343" t="s">
        <v>103</v>
      </c>
    </row>
    <row r="73" spans="8:24" hidden="1" outlineLevel="1">
      <c r="H73" s="343">
        <v>21</v>
      </c>
      <c r="M73" s="88">
        <v>3</v>
      </c>
      <c r="R73" s="343" t="s">
        <v>299</v>
      </c>
    </row>
    <row r="74" spans="8:24" hidden="1" outlineLevel="1">
      <c r="H74" s="343">
        <v>22</v>
      </c>
      <c r="I74" s="707"/>
      <c r="M74" s="88">
        <v>3.1</v>
      </c>
      <c r="R74" s="343" t="s">
        <v>340</v>
      </c>
    </row>
    <row r="75" spans="8:24" hidden="1" outlineLevel="1">
      <c r="H75" s="343">
        <v>23</v>
      </c>
      <c r="I75" s="707" t="s">
        <v>868</v>
      </c>
      <c r="M75" s="88">
        <v>3.2</v>
      </c>
      <c r="R75" s="343" t="s">
        <v>300</v>
      </c>
    </row>
    <row r="76" spans="8:24" hidden="1" outlineLevel="1">
      <c r="H76" s="343">
        <v>24</v>
      </c>
      <c r="I76" s="707" t="s">
        <v>106</v>
      </c>
      <c r="M76" s="88">
        <v>3.3</v>
      </c>
    </row>
    <row r="77" spans="8:24" hidden="1" outlineLevel="1">
      <c r="H77" s="343">
        <v>25</v>
      </c>
      <c r="I77" s="707" t="s">
        <v>107</v>
      </c>
      <c r="M77" s="88">
        <v>3.4</v>
      </c>
    </row>
    <row r="78" spans="8:24" hidden="1" outlineLevel="1">
      <c r="H78" s="343">
        <v>26</v>
      </c>
      <c r="I78" s="707" t="s">
        <v>877</v>
      </c>
      <c r="M78" s="88">
        <v>3.5</v>
      </c>
      <c r="S78" s="343"/>
    </row>
    <row r="79" spans="8:24" hidden="1" outlineLevel="1">
      <c r="H79" s="343">
        <v>27</v>
      </c>
      <c r="M79" s="88">
        <v>3.6</v>
      </c>
      <c r="N79" s="37" t="s">
        <v>214</v>
      </c>
      <c r="S79" s="343" t="s">
        <v>369</v>
      </c>
    </row>
    <row r="80" spans="8:24" hidden="1" outlineLevel="1">
      <c r="I80" s="1106" t="s">
        <v>1125</v>
      </c>
      <c r="J80" s="1107"/>
      <c r="K80" s="1107"/>
      <c r="L80" s="1107"/>
      <c r="M80" s="1108"/>
      <c r="N80" s="148">
        <f ca="1">IF(N86=0,0,IF(N86&lt;=1000,1,IF(AND(N86&gt;1000,N86&lt;=5000),2,IF(AND(N86&gt;5000,N86&lt;=10000),3,IF(N86&gt;10000,4,0)))))</f>
        <v>2</v>
      </c>
      <c r="O80" s="148">
        <f ca="1">IF(N85=0,0,IF(N85&lt;=1000,1,IF(AND(N85&gt;1000,N85&lt;=5000),2,IF(AND(N85&gt;5000,N85&lt;=10000),3,IF(N85&gt;10000,4,0)))))</f>
        <v>0</v>
      </c>
      <c r="P80" s="148">
        <f ca="1">IF(C16=0,0,IF(C16&lt;=500,1,IF(AND(C16&gt;500,C16&lt;=1000),2,IF(AND(C16&gt;1000,C16&lt;=5000),3,IF(C16&gt;5000,4,0)))))</f>
        <v>3</v>
      </c>
      <c r="R80" s="148">
        <f ca="1">IF(C16=0,0,IF(C16&lt;=100,1,IF(AND(C16&gt;100,C16&lt;=500),2,IF(AND(C16&gt;500,C16&lt;=1000),3,IF(C16&gt;1000,4,0)))))</f>
        <v>4</v>
      </c>
      <c r="S80" s="343" t="s">
        <v>374</v>
      </c>
    </row>
    <row r="81" spans="2:26" hidden="1" outlineLevel="1">
      <c r="I81" s="1106" t="s">
        <v>217</v>
      </c>
      <c r="J81" s="1107"/>
      <c r="K81" s="1107"/>
      <c r="L81" s="1107"/>
      <c r="M81" s="1108"/>
      <c r="N81" s="148">
        <f>IF(OR(C18="Новый расчет",C18="Перерасчет (новые данные)"),1,IF(C18="Перерасчет (корректировка)",0.5,IF(C18="Перерасчет (выявлена ошибка)",0,0)))</f>
        <v>1</v>
      </c>
      <c r="O81" s="148"/>
      <c r="P81" s="148"/>
      <c r="S81" s="343" t="s">
        <v>375</v>
      </c>
    </row>
    <row r="82" spans="2:26" hidden="1" outlineLevel="1">
      <c r="I82" s="1106" t="s">
        <v>215</v>
      </c>
      <c r="J82" s="1107"/>
      <c r="K82" s="1107"/>
      <c r="L82" s="1107"/>
      <c r="M82" s="1108"/>
      <c r="N82" s="148">
        <f>IFERROR(INDEX(I51:I62,MATCH(C19,H51:H62,0))/C19,0)</f>
        <v>1</v>
      </c>
      <c r="O82" s="148"/>
      <c r="P82" s="148"/>
      <c r="S82" s="343" t="s">
        <v>376</v>
      </c>
    </row>
    <row r="83" spans="2:26" hidden="1" outlineLevel="1">
      <c r="I83" s="1106" t="s">
        <v>216</v>
      </c>
      <c r="J83" s="1107"/>
      <c r="K83" s="1107"/>
      <c r="L83" s="1107"/>
      <c r="M83" s="1108"/>
      <c r="N83" s="148">
        <f ca="1">INDEX(J51:J62,MATCH(C20,H51:H62,0))</f>
        <v>1.2</v>
      </c>
      <c r="O83" s="148">
        <f ca="1">INDEX(I51:I62,MATCH(Прайс!AD6,H51:H62,0))</f>
        <v>1</v>
      </c>
      <c r="P83" s="148"/>
      <c r="S83" s="343" t="s">
        <v>455</v>
      </c>
    </row>
    <row r="84" spans="2:26" hidden="1" outlineLevel="1">
      <c r="I84" s="1106" t="s">
        <v>1118</v>
      </c>
      <c r="J84" s="1107"/>
      <c r="K84" s="1107"/>
      <c r="L84" s="1107"/>
      <c r="M84" s="1108"/>
      <c r="N84" s="148">
        <f>INDEX(M52:M79,MATCH(N37,H52:H79,0))</f>
        <v>1</v>
      </c>
      <c r="O84" s="148">
        <f>INDEX(M52:M79,MATCH(N38,H52:H79,0))</f>
        <v>1</v>
      </c>
    </row>
    <row r="85" spans="2:26" hidden="1" outlineLevel="1">
      <c r="I85" s="1106" t="s">
        <v>120</v>
      </c>
      <c r="J85" s="1107"/>
      <c r="K85" s="1107"/>
      <c r="L85" s="1107"/>
      <c r="M85" s="1108"/>
      <c r="N85" s="148">
        <f ca="1">SUMPRODUCT(SUMIF(INDIRECT({"ТИП1";"ТИП2";"ТИП3";"ТИП4";"ТИП5";"ТИП6";"ТИП7";"ТИП8";"ТИП9";"ТИП10"}&amp;"!V3"),I85,INDIRECT({"ТИП1";"ТИП2";"ТИП3";"ТИП4";"ТИП5";"ТИП6";"ТИП7";"ТИП8";"ТИП9";"ТИП10"}&amp;"!P3")))</f>
        <v>0</v>
      </c>
    </row>
    <row r="86" spans="2:26" ht="15.75" hidden="1" customHeight="1" outlineLevel="1">
      <c r="B86" s="146"/>
      <c r="D86" s="91"/>
      <c r="I86" s="1106" t="s">
        <v>125</v>
      </c>
      <c r="J86" s="1107"/>
      <c r="K86" s="1107"/>
      <c r="L86" s="1107"/>
      <c r="M86" s="1108"/>
      <c r="N86" s="148">
        <f ca="1">SUMPRODUCT(SUMIF(INDIRECT({"ТИП1";"ТИП2";"ТИП3";"ТИП4";"ТИП5";"ТИП6";"ТИП7";"ТИП8";"ТИП9";"ТИП10"}&amp;"!V3"),I86,INDIRECT({"ТИП1";"ТИП2";"ТИП3";"ТИП4";"ТИП5";"ТИП6";"ТИП7";"ТИП8";"ТИП9";"ТИП10"}&amp;"!P3")))</f>
        <v>1751</v>
      </c>
    </row>
    <row r="87" spans="2:26" hidden="1" outlineLevel="1">
      <c r="B87" s="146"/>
      <c r="I87" s="795"/>
      <c r="J87" s="795"/>
      <c r="K87" s="1110" t="s">
        <v>90</v>
      </c>
      <c r="L87" s="151"/>
      <c r="M87" s="152">
        <v>0</v>
      </c>
      <c r="N87" s="151"/>
      <c r="S87" s="157" t="s">
        <v>6</v>
      </c>
    </row>
    <row r="88" spans="2:26" hidden="1" outlineLevel="1">
      <c r="B88" s="146"/>
      <c r="I88" s="795" t="s">
        <v>227</v>
      </c>
      <c r="J88" s="795" t="s">
        <v>869</v>
      </c>
      <c r="K88" s="1110"/>
      <c r="L88" s="151"/>
      <c r="M88" s="152" t="s">
        <v>83</v>
      </c>
      <c r="N88" s="151" t="s">
        <v>218</v>
      </c>
      <c r="S88" s="157">
        <v>0</v>
      </c>
    </row>
    <row r="89" spans="2:26" hidden="1" outlineLevel="1">
      <c r="B89" s="146"/>
      <c r="I89" s="795" t="s">
        <v>228</v>
      </c>
      <c r="J89" s="795" t="s">
        <v>872</v>
      </c>
      <c r="K89" s="1110"/>
      <c r="L89" s="151"/>
      <c r="M89" s="152" t="s">
        <v>87</v>
      </c>
      <c r="N89" s="151" t="s">
        <v>220</v>
      </c>
      <c r="S89" s="157">
        <v>1</v>
      </c>
    </row>
    <row r="90" spans="2:26" hidden="1" outlineLevel="1">
      <c r="B90" s="146"/>
      <c r="E90" s="150"/>
      <c r="I90" s="795" t="s">
        <v>229</v>
      </c>
      <c r="J90" s="795" t="s">
        <v>873</v>
      </c>
      <c r="K90" s="1110"/>
      <c r="L90" s="151"/>
      <c r="M90" s="152" t="s">
        <v>88</v>
      </c>
      <c r="N90" s="151" t="s">
        <v>534</v>
      </c>
    </row>
    <row r="91" spans="2:26" ht="15.75" hidden="1" customHeight="1" outlineLevel="1">
      <c r="B91" s="146"/>
      <c r="D91" s="91"/>
      <c r="E91" s="150"/>
      <c r="I91" s="795" t="s">
        <v>230</v>
      </c>
      <c r="J91" s="795" t="s">
        <v>874</v>
      </c>
      <c r="K91" s="1110"/>
      <c r="L91" s="151"/>
      <c r="M91" s="152" t="s">
        <v>89</v>
      </c>
      <c r="N91" s="151" t="s">
        <v>535</v>
      </c>
      <c r="S91" s="764" t="s">
        <v>6</v>
      </c>
    </row>
    <row r="92" spans="2:26" ht="15.6" hidden="1" outlineLevel="1">
      <c r="B92" s="146"/>
      <c r="E92" s="150"/>
      <c r="I92" s="795" t="s">
        <v>231</v>
      </c>
      <c r="J92" s="795" t="s">
        <v>875</v>
      </c>
      <c r="K92" s="1110" t="s">
        <v>91</v>
      </c>
      <c r="L92" s="151"/>
      <c r="M92" s="152">
        <v>0</v>
      </c>
      <c r="N92" s="151"/>
      <c r="S92" s="806" t="s">
        <v>729</v>
      </c>
      <c r="Z92"/>
    </row>
    <row r="93" spans="2:26" ht="15.6" hidden="1" outlineLevel="1">
      <c r="B93" s="146"/>
      <c r="E93" s="150"/>
      <c r="I93" s="795" t="s">
        <v>232</v>
      </c>
      <c r="J93" s="795" t="s">
        <v>876</v>
      </c>
      <c r="K93" s="1110"/>
      <c r="L93" s="151"/>
      <c r="M93" s="152" t="s">
        <v>87</v>
      </c>
      <c r="N93" s="151" t="s">
        <v>534</v>
      </c>
      <c r="S93" s="806" t="s">
        <v>728</v>
      </c>
      <c r="Z93"/>
    </row>
    <row r="94" spans="2:26" ht="15.6" hidden="1" outlineLevel="1">
      <c r="B94" s="146"/>
      <c r="E94" s="150"/>
      <c r="I94" s="795" t="s">
        <v>233</v>
      </c>
      <c r="J94" s="795" t="s">
        <v>870</v>
      </c>
      <c r="K94" s="1110"/>
      <c r="L94" s="151"/>
      <c r="M94" s="152" t="s">
        <v>88</v>
      </c>
      <c r="N94" s="151" t="s">
        <v>219</v>
      </c>
      <c r="S94" s="806" t="s">
        <v>1057</v>
      </c>
      <c r="Z94"/>
    </row>
    <row r="95" spans="2:26" ht="15.75" hidden="1" customHeight="1" outlineLevel="1">
      <c r="B95" s="38"/>
      <c r="D95" s="91"/>
      <c r="E95" s="150"/>
      <c r="I95" s="795" t="s">
        <v>234</v>
      </c>
      <c r="J95" s="795" t="s">
        <v>234</v>
      </c>
      <c r="K95" s="1110"/>
      <c r="L95" s="151"/>
      <c r="M95" s="152" t="s">
        <v>89</v>
      </c>
      <c r="N95" s="151" t="s">
        <v>535</v>
      </c>
      <c r="S95" s="806" t="s">
        <v>730</v>
      </c>
      <c r="Z95"/>
    </row>
    <row r="96" spans="2:26" ht="15" hidden="1" customHeight="1" outlineLevel="1">
      <c r="B96" s="38"/>
      <c r="E96" s="150"/>
      <c r="I96" s="795" t="s">
        <v>235</v>
      </c>
      <c r="J96" s="795" t="s">
        <v>235</v>
      </c>
      <c r="K96" s="1111" t="s">
        <v>85</v>
      </c>
      <c r="L96" s="151"/>
      <c r="M96" s="152">
        <v>0</v>
      </c>
      <c r="N96" s="151"/>
      <c r="S96" s="806" t="s">
        <v>1058</v>
      </c>
      <c r="Z96"/>
    </row>
    <row r="97" spans="2:26" ht="15.6" hidden="1" outlineLevel="1">
      <c r="B97" s="38"/>
      <c r="E97" s="150"/>
      <c r="I97" s="795" t="s">
        <v>236</v>
      </c>
      <c r="J97" s="795" t="s">
        <v>236</v>
      </c>
      <c r="K97" s="1111"/>
      <c r="L97" s="151"/>
      <c r="M97" s="152" t="s">
        <v>87</v>
      </c>
      <c r="N97" s="151" t="s">
        <v>536</v>
      </c>
      <c r="S97" s="806" t="s">
        <v>1059</v>
      </c>
      <c r="Z97"/>
    </row>
    <row r="98" spans="2:26" ht="15.6" hidden="1" outlineLevel="1">
      <c r="B98" s="38"/>
      <c r="E98" s="150"/>
      <c r="I98" s="795" t="s">
        <v>237</v>
      </c>
      <c r="J98" s="795" t="s">
        <v>237</v>
      </c>
      <c r="K98" s="1111"/>
      <c r="L98" s="151"/>
      <c r="M98" s="152" t="s">
        <v>88</v>
      </c>
      <c r="N98" s="151" t="s">
        <v>537</v>
      </c>
      <c r="S98" s="806" t="s">
        <v>1060</v>
      </c>
      <c r="Z98"/>
    </row>
    <row r="99" spans="2:26" ht="15.75" hidden="1" customHeight="1" outlineLevel="1">
      <c r="B99" s="146"/>
      <c r="D99" s="91"/>
      <c r="E99" s="150"/>
      <c r="I99" s="795" t="s">
        <v>280</v>
      </c>
      <c r="J99" s="795" t="s">
        <v>280</v>
      </c>
      <c r="K99" s="1111"/>
      <c r="L99" s="151"/>
      <c r="M99" s="152" t="s">
        <v>89</v>
      </c>
      <c r="N99" s="151" t="s">
        <v>537</v>
      </c>
      <c r="S99" s="806" t="s">
        <v>829</v>
      </c>
      <c r="Z99"/>
    </row>
    <row r="100" spans="2:26" ht="15.6" hidden="1" outlineLevel="1">
      <c r="B100" s="146"/>
      <c r="E100" s="150"/>
      <c r="I100" s="795" t="s">
        <v>281</v>
      </c>
      <c r="J100" s="795" t="s">
        <v>281</v>
      </c>
      <c r="K100" s="1110" t="s">
        <v>86</v>
      </c>
      <c r="L100" s="151"/>
      <c r="M100" s="152">
        <v>0</v>
      </c>
      <c r="N100" s="151"/>
      <c r="S100" s="806" t="s">
        <v>1061</v>
      </c>
      <c r="Z100"/>
    </row>
    <row r="101" spans="2:26" ht="15.6" hidden="1" outlineLevel="1">
      <c r="B101" s="146"/>
      <c r="E101" s="150"/>
      <c r="I101" s="795" t="s">
        <v>247</v>
      </c>
      <c r="J101" s="795"/>
      <c r="K101" s="1110"/>
      <c r="L101" s="151"/>
      <c r="M101" s="152" t="s">
        <v>87</v>
      </c>
      <c r="N101" s="151" t="s">
        <v>544</v>
      </c>
      <c r="S101" s="806" t="s">
        <v>1062</v>
      </c>
      <c r="Z101"/>
    </row>
    <row r="102" spans="2:26" ht="15.6" hidden="1" outlineLevel="1">
      <c r="B102" s="146"/>
      <c r="E102" s="88"/>
      <c r="I102" s="795" t="s">
        <v>247</v>
      </c>
      <c r="J102" s="795" t="s">
        <v>300</v>
      </c>
      <c r="K102" s="1110"/>
      <c r="L102" s="151"/>
      <c r="M102" s="152" t="s">
        <v>89</v>
      </c>
      <c r="N102" s="153" t="s">
        <v>538</v>
      </c>
      <c r="S102" s="806" t="s">
        <v>880</v>
      </c>
    </row>
    <row r="103" spans="2:26" ht="15.6" hidden="1" outlineLevel="1">
      <c r="K103" s="1110"/>
      <c r="L103" s="151"/>
      <c r="S103" s="806" t="s">
        <v>1063</v>
      </c>
    </row>
    <row r="104" spans="2:26" ht="15.6" hidden="1" outlineLevel="1">
      <c r="S104" s="806" t="s">
        <v>1064</v>
      </c>
    </row>
    <row r="105" spans="2:26" ht="15.6" hidden="1" outlineLevel="1">
      <c r="H105" s="190" t="s">
        <v>260</v>
      </c>
      <c r="I105" s="147"/>
      <c r="J105" s="147"/>
      <c r="K105" s="147"/>
      <c r="L105" s="147"/>
      <c r="M105" s="147" t="s">
        <v>261</v>
      </c>
      <c r="N105" s="147"/>
      <c r="O105" s="147"/>
      <c r="P105" s="147"/>
      <c r="Q105" s="147"/>
      <c r="R105" s="147"/>
      <c r="S105" s="806" t="s">
        <v>1065</v>
      </c>
    </row>
    <row r="106" spans="2:26" ht="15.6" hidden="1" outlineLevel="1">
      <c r="S106" s="806" t="s">
        <v>828</v>
      </c>
    </row>
    <row r="107" spans="2:26" ht="15.6" hidden="1" outlineLevel="1">
      <c r="J107" s="1109" t="s">
        <v>354</v>
      </c>
      <c r="K107" s="1109"/>
      <c r="L107" s="1109"/>
      <c r="M107" s="1109"/>
      <c r="N107" s="1109"/>
      <c r="O107" s="1109"/>
      <c r="S107" s="806" t="s">
        <v>300</v>
      </c>
    </row>
    <row r="108" spans="2:26" hidden="1" outlineLevel="1">
      <c r="J108" s="243" t="s">
        <v>263</v>
      </c>
      <c r="K108" s="243">
        <f ca="1">IF(OR(N85=0,O36=0),0,INDEX(Прайс!J21:M23,O36,O80))*0.5/4</f>
        <v>0</v>
      </c>
      <c r="L108" s="244">
        <f ca="1">ROUND(K108,1)</f>
        <v>0</v>
      </c>
      <c r="M108" s="344" t="s">
        <v>426</v>
      </c>
      <c r="N108" s="343">
        <f ca="1">IF(OR(C16=0,O34=0),0,Прайс!AC8*0.5/4)</f>
        <v>150</v>
      </c>
      <c r="O108" s="343">
        <f ca="1">ROUND(N108,1)</f>
        <v>150</v>
      </c>
    </row>
    <row r="109" spans="2:26" hidden="1" outlineLevel="1">
      <c r="J109" s="243" t="s">
        <v>262</v>
      </c>
      <c r="K109" s="243">
        <f ca="1">IF(OR(N86=0,O35=0),0,INDEX(Прайс!J18:M20,O35,N80))*0.5/4</f>
        <v>300.00000000000006</v>
      </c>
      <c r="L109" s="244">
        <f ca="1">ROUND(K109,1)</f>
        <v>300</v>
      </c>
    </row>
    <row r="110" spans="2:26" hidden="1" outlineLevel="1">
      <c r="J110" s="243" t="s">
        <v>355</v>
      </c>
      <c r="K110" s="243">
        <f>IF(AND(O37=0,O38=0),0,IF(AND(O37&gt;0,O38=0),INDEX(Прайс!J$24:J$26,O37)*0.25/4,INDEX(Прайс!J$24:J$26,O38)*0.25/4))</f>
        <v>0</v>
      </c>
      <c r="L110" s="244">
        <f>ROUND(K110,1)</f>
        <v>0</v>
      </c>
    </row>
    <row r="111" spans="2:26" hidden="1" outlineLevel="1">
      <c r="J111" s="243" t="s">
        <v>837</v>
      </c>
      <c r="K111" s="243">
        <f>IF(O39=0,0,Прайс!G70*0.25/2)</f>
        <v>0</v>
      </c>
      <c r="L111" s="244">
        <f>ROUND(K111,1)</f>
        <v>0</v>
      </c>
    </row>
    <row r="112" spans="2:26" ht="15.6" hidden="1" outlineLevel="1" thickBot="1">
      <c r="J112" s="823" t="s">
        <v>901</v>
      </c>
      <c r="K112" s="37">
        <f ca="1">IF(OR(C16=0,O40=0),0,INDEX(Прайс!J51:J53,O40))/4</f>
        <v>0</v>
      </c>
      <c r="L112" s="244">
        <f ca="1">ROUND(K112,1)</f>
        <v>0</v>
      </c>
    </row>
    <row r="113" spans="5:23" ht="15.6" hidden="1" outlineLevel="1" thickBot="1">
      <c r="H113" s="1067" t="s">
        <v>383</v>
      </c>
      <c r="I113" s="1068"/>
      <c r="J113" s="1068"/>
      <c r="K113" s="1068"/>
      <c r="L113" s="1068"/>
      <c r="M113" s="1068"/>
      <c r="N113" s="1068"/>
      <c r="O113" s="1068"/>
      <c r="P113" s="1068"/>
      <c r="Q113" s="1068"/>
      <c r="R113" s="1068"/>
      <c r="S113" s="1068"/>
      <c r="T113" s="1068"/>
      <c r="U113" s="1068"/>
      <c r="V113" s="1068"/>
      <c r="W113" s="1069"/>
    </row>
    <row r="114" spans="5:23" hidden="1" outlineLevel="1">
      <c r="H114" s="107" t="s">
        <v>53</v>
      </c>
      <c r="I114" s="107" t="s">
        <v>54</v>
      </c>
      <c r="J114" s="107" t="s">
        <v>60</v>
      </c>
      <c r="K114" s="107" t="s">
        <v>52</v>
      </c>
      <c r="L114" s="107" t="s">
        <v>58</v>
      </c>
      <c r="M114" s="107" t="s">
        <v>64</v>
      </c>
      <c r="N114" s="107" t="s">
        <v>61</v>
      </c>
      <c r="O114" s="260"/>
      <c r="P114" s="1070" t="s">
        <v>97</v>
      </c>
      <c r="Q114" s="1070"/>
      <c r="R114" s="1070"/>
      <c r="S114" s="1070"/>
      <c r="T114" s="1070"/>
      <c r="U114" s="1070"/>
      <c r="V114" s="1070"/>
      <c r="W114" s="1070"/>
    </row>
    <row r="115" spans="5:23" hidden="1" outlineLevel="1">
      <c r="H115" s="248">
        <f t="shared" ref="H115:N115" si="9">IF(OR($C$11=$R$66,$AD$46=$X$66),1,0)</f>
        <v>1</v>
      </c>
      <c r="I115" s="248">
        <f t="shared" si="9"/>
        <v>1</v>
      </c>
      <c r="J115" s="248">
        <f t="shared" si="9"/>
        <v>1</v>
      </c>
      <c r="K115" s="248">
        <f t="shared" si="9"/>
        <v>1</v>
      </c>
      <c r="L115" s="248">
        <f t="shared" si="9"/>
        <v>1</v>
      </c>
      <c r="M115" s="248">
        <f t="shared" si="9"/>
        <v>1</v>
      </c>
      <c r="N115" s="248">
        <f t="shared" si="9"/>
        <v>1</v>
      </c>
      <c r="O115" s="260"/>
      <c r="P115" s="1063" t="s">
        <v>379</v>
      </c>
      <c r="Q115" s="1063"/>
      <c r="R115" s="1063"/>
      <c r="S115" s="1063"/>
      <c r="T115" s="1063"/>
      <c r="U115" s="1063"/>
      <c r="V115" s="1063"/>
      <c r="W115" s="1063"/>
    </row>
    <row r="116" spans="5:23" hidden="1" outlineLevel="1">
      <c r="H116" s="262">
        <v>7000</v>
      </c>
      <c r="I116" s="262">
        <v>4000</v>
      </c>
      <c r="J116" s="262">
        <v>4000</v>
      </c>
      <c r="K116" s="262">
        <v>4000</v>
      </c>
      <c r="L116" s="262">
        <v>4000</v>
      </c>
      <c r="M116" s="262">
        <v>4000</v>
      </c>
      <c r="N116" s="262">
        <v>4000</v>
      </c>
      <c r="O116" s="260"/>
      <c r="P116" s="1063" t="s">
        <v>427</v>
      </c>
      <c r="Q116" s="1063"/>
      <c r="R116" s="1063"/>
      <c r="S116" s="1063"/>
      <c r="T116" s="1063"/>
      <c r="U116" s="1063"/>
      <c r="V116" s="1063"/>
      <c r="W116" s="1063"/>
    </row>
    <row r="117" spans="5:23" hidden="1" outlineLevel="1">
      <c r="H117" s="258" t="str">
        <f t="shared" ref="H117:N117" si="10">W45</f>
        <v>-</v>
      </c>
      <c r="I117" s="258" t="str">
        <f t="shared" si="10"/>
        <v>-</v>
      </c>
      <c r="J117" s="258" t="str">
        <f t="shared" si="10"/>
        <v>-</v>
      </c>
      <c r="K117" s="258" t="str">
        <f t="shared" si="10"/>
        <v>-</v>
      </c>
      <c r="L117" s="258" t="str">
        <f t="shared" si="10"/>
        <v>-</v>
      </c>
      <c r="M117" s="258" t="str">
        <f t="shared" si="10"/>
        <v>-</v>
      </c>
      <c r="N117" s="258" t="str">
        <f t="shared" si="10"/>
        <v>-</v>
      </c>
      <c r="O117" s="260"/>
      <c r="P117" s="1071" t="s">
        <v>381</v>
      </c>
      <c r="Q117" s="1071"/>
      <c r="R117" s="1071"/>
      <c r="S117" s="1071"/>
      <c r="T117" s="1071"/>
      <c r="U117" s="1071"/>
      <c r="V117" s="1071"/>
      <c r="W117" s="1071"/>
    </row>
    <row r="118" spans="5:23" ht="15.6" hidden="1" outlineLevel="1" thickBot="1">
      <c r="H118" s="248">
        <f t="shared" ref="H118:N118" ca="1" si="11">IF($C$16&gt;=H116,1,0)</f>
        <v>0</v>
      </c>
      <c r="I118" s="248">
        <f t="shared" ca="1" si="11"/>
        <v>0</v>
      </c>
      <c r="J118" s="248">
        <f t="shared" ca="1" si="11"/>
        <v>0</v>
      </c>
      <c r="K118" s="248">
        <f t="shared" ca="1" si="11"/>
        <v>0</v>
      </c>
      <c r="L118" s="248">
        <f t="shared" ca="1" si="11"/>
        <v>0</v>
      </c>
      <c r="M118" s="248">
        <f t="shared" ca="1" si="11"/>
        <v>0</v>
      </c>
      <c r="N118" s="248">
        <f t="shared" ca="1" si="11"/>
        <v>0</v>
      </c>
      <c r="O118" s="260"/>
      <c r="P118" s="1063" t="s">
        <v>382</v>
      </c>
      <c r="Q118" s="1063"/>
      <c r="R118" s="1063"/>
      <c r="S118" s="1063"/>
      <c r="T118" s="1063"/>
      <c r="U118" s="1063"/>
      <c r="V118" s="1063"/>
      <c r="W118" s="1063"/>
    </row>
    <row r="119" spans="5:23" ht="16.2" hidden="1" outlineLevel="1" thickBot="1">
      <c r="H119" s="261">
        <f t="shared" ref="H119:N119" si="12">IF(H117=1,1,IF(H115=1,1,IF(H118=1,1,0)))</f>
        <v>1</v>
      </c>
      <c r="I119" s="261">
        <f t="shared" si="12"/>
        <v>1</v>
      </c>
      <c r="J119" s="261">
        <f t="shared" si="12"/>
        <v>1</v>
      </c>
      <c r="K119" s="261">
        <f t="shared" si="12"/>
        <v>1</v>
      </c>
      <c r="L119" s="261">
        <f t="shared" si="12"/>
        <v>1</v>
      </c>
      <c r="M119" s="261">
        <f t="shared" si="12"/>
        <v>1</v>
      </c>
      <c r="N119" s="261">
        <f t="shared" si="12"/>
        <v>1</v>
      </c>
      <c r="O119" s="260"/>
      <c r="P119" s="1064" t="s">
        <v>380</v>
      </c>
      <c r="Q119" s="1065"/>
      <c r="R119" s="1065"/>
      <c r="S119" s="1065"/>
      <c r="T119" s="1065"/>
      <c r="U119" s="1065"/>
      <c r="V119" s="1065"/>
      <c r="W119" s="1066"/>
    </row>
    <row r="120" spans="5:23" hidden="1" outlineLevel="1">
      <c r="E120" s="88"/>
    </row>
    <row r="121" spans="5:23" hidden="1" outlineLevel="1">
      <c r="E121" s="88"/>
      <c r="H121" s="859" t="s">
        <v>975</v>
      </c>
      <c r="I121" s="860" t="s">
        <v>973</v>
      </c>
    </row>
    <row r="122" spans="5:23" collapsed="1">
      <c r="J122" s="874"/>
    </row>
    <row r="129" spans="9:23" ht="15.6" hidden="1" outlineLevel="1" thickBot="1"/>
    <row r="130" spans="9:23" ht="15.6" hidden="1" outlineLevel="1" thickBot="1">
      <c r="I130" s="1103" t="s">
        <v>273</v>
      </c>
      <c r="J130" s="1104"/>
      <c r="K130" s="1104"/>
      <c r="L130" s="1104"/>
      <c r="M130" s="1104"/>
      <c r="N130" s="1105"/>
    </row>
    <row r="131" spans="9:23" hidden="1" outlineLevel="1"/>
    <row r="132" spans="9:23" hidden="1" outlineLevel="1">
      <c r="I132" s="249" t="s">
        <v>366</v>
      </c>
      <c r="J132" s="251" t="s">
        <v>365</v>
      </c>
      <c r="K132" s="251" t="s">
        <v>3</v>
      </c>
      <c r="L132" s="251" t="s">
        <v>51</v>
      </c>
      <c r="M132" s="251" t="s">
        <v>52</v>
      </c>
      <c r="N132" s="251" t="s">
        <v>58</v>
      </c>
      <c r="W132" s="37" t="s">
        <v>683</v>
      </c>
    </row>
    <row r="133" spans="9:23" hidden="1" outlineLevel="1">
      <c r="I133" s="250" t="s">
        <v>356</v>
      </c>
      <c r="J133" s="247"/>
      <c r="K133" s="248">
        <v>0</v>
      </c>
      <c r="L133" s="248">
        <f>IF(OR(J133=0,K133=0),0,INDEX(Прайс!$J$42:$M$44,K133,M163))</f>
        <v>0</v>
      </c>
      <c r="M133" s="254"/>
      <c r="N133" s="254"/>
    </row>
    <row r="134" spans="9:23" hidden="1" outlineLevel="1">
      <c r="I134" s="250" t="s">
        <v>367</v>
      </c>
      <c r="J134" s="247"/>
      <c r="K134" s="248">
        <v>0</v>
      </c>
      <c r="L134" s="248">
        <f>IF(OR(J134=0,K134=0),0,INDEX(Прайс!$J$42:$M$44,K134,M164))</f>
        <v>0</v>
      </c>
      <c r="M134" s="254"/>
      <c r="N134" s="254"/>
    </row>
    <row r="135" spans="9:23" ht="15.6" hidden="1" outlineLevel="1">
      <c r="I135" s="250" t="s">
        <v>357</v>
      </c>
      <c r="J135" s="247"/>
      <c r="K135" s="248">
        <v>0</v>
      </c>
      <c r="L135" s="248">
        <f>IF(OR(J135=0,K135=0),0,INDEX(Прайс!$J$42:$M$44,K135,M165))</f>
        <v>0</v>
      </c>
      <c r="M135" s="254"/>
      <c r="N135" s="254"/>
      <c r="P135" s="528"/>
    </row>
    <row r="136" spans="9:23" ht="15" hidden="1" customHeight="1" outlineLevel="1">
      <c r="I136" s="250" t="s">
        <v>358</v>
      </c>
      <c r="J136" s="247"/>
      <c r="K136" s="248">
        <v>0</v>
      </c>
      <c r="L136" s="248">
        <f>IF(OR(J136=0,K136=0),0,INDEX(Прайс!$J$42:$M$44,K136,M166))</f>
        <v>0</v>
      </c>
      <c r="M136" s="254"/>
      <c r="N136" s="254"/>
      <c r="P136" s="1161" t="str">
        <f>HYPERLINK("#"&amp;$W$132&amp;"!I39","⇑")</f>
        <v>⇑</v>
      </c>
    </row>
    <row r="137" spans="9:23" ht="15" hidden="1" customHeight="1" outlineLevel="1">
      <c r="I137" s="250" t="s">
        <v>359</v>
      </c>
      <c r="J137" s="247"/>
      <c r="K137" s="248">
        <v>0</v>
      </c>
      <c r="L137" s="248">
        <f>IF(OR(J137=0,K137=0),0,INDEX(Прайс!$J$42:$M$44,K137,M167))</f>
        <v>0</v>
      </c>
      <c r="M137" s="254"/>
      <c r="N137" s="254"/>
      <c r="P137" s="1162"/>
    </row>
    <row r="138" spans="9:23" ht="15" hidden="1" customHeight="1" outlineLevel="1">
      <c r="I138" s="250" t="s">
        <v>360</v>
      </c>
      <c r="J138" s="247"/>
      <c r="K138" s="248">
        <v>0</v>
      </c>
      <c r="L138" s="248">
        <f>IF(OR(J138=0,K138=0),0,INDEX(Прайс!$J$42:$M$44,K138,M168))</f>
        <v>0</v>
      </c>
      <c r="M138" s="254"/>
      <c r="N138" s="254"/>
      <c r="P138" s="1162"/>
    </row>
    <row r="139" spans="9:23" hidden="1" outlineLevel="1">
      <c r="I139" s="250" t="s">
        <v>361</v>
      </c>
      <c r="J139" s="247"/>
      <c r="K139" s="248">
        <v>0</v>
      </c>
      <c r="L139" s="248">
        <f>IF(OR(J139=0,K139=0),0,INDEX(Прайс!$J$42:$M$44,K139,M169))</f>
        <v>0</v>
      </c>
      <c r="M139" s="254"/>
      <c r="N139" s="254"/>
    </row>
    <row r="140" spans="9:23" hidden="1" outlineLevel="1">
      <c r="I140" s="250" t="s">
        <v>362</v>
      </c>
      <c r="J140" s="247"/>
      <c r="K140" s="248">
        <v>0</v>
      </c>
      <c r="L140" s="248">
        <f>IF(OR(J140=0,K140=0),0,INDEX(Прайс!$J$42:$M$44,K140,M170))</f>
        <v>0</v>
      </c>
      <c r="M140" s="254"/>
      <c r="N140" s="254"/>
    </row>
    <row r="141" spans="9:23" hidden="1" outlineLevel="1">
      <c r="I141" s="250" t="s">
        <v>363</v>
      </c>
      <c r="J141" s="247"/>
      <c r="K141" s="248">
        <v>0</v>
      </c>
      <c r="L141" s="248">
        <f>IF(OR(J141=0,K141=0),0,INDEX(Прайс!$J$42:$M$44,K141,M171))</f>
        <v>0</v>
      </c>
      <c r="M141" s="254"/>
      <c r="N141" s="254"/>
    </row>
    <row r="142" spans="9:23" hidden="1" outlineLevel="1">
      <c r="I142" s="250" t="s">
        <v>364</v>
      </c>
      <c r="J142" s="247"/>
      <c r="K142" s="248">
        <v>0</v>
      </c>
      <c r="L142" s="248">
        <f>IF(OR(J142=0,K142=0),0,INDEX(Прайс!$J$42:$M$44,K142,M172))</f>
        <v>0</v>
      </c>
      <c r="M142" s="254"/>
      <c r="N142" s="254"/>
    </row>
    <row r="143" spans="9:23" hidden="1" outlineLevel="1"/>
    <row r="144" spans="9:23" hidden="1" outlineLevel="1"/>
    <row r="145" spans="9:14" ht="15.6" hidden="1" outlineLevel="1" thickBot="1"/>
    <row r="146" spans="9:14" ht="15.6" hidden="1" outlineLevel="1" thickBot="1">
      <c r="I146" s="1103" t="s">
        <v>274</v>
      </c>
      <c r="J146" s="1104"/>
      <c r="K146" s="1104"/>
      <c r="L146" s="1104"/>
      <c r="M146" s="1104"/>
      <c r="N146" s="1105"/>
    </row>
    <row r="147" spans="9:14" hidden="1" outlineLevel="1"/>
    <row r="148" spans="9:14" hidden="1" outlineLevel="1">
      <c r="I148" s="249" t="s">
        <v>366</v>
      </c>
      <c r="J148" s="252" t="s">
        <v>365</v>
      </c>
      <c r="K148" s="253" t="s">
        <v>3</v>
      </c>
      <c r="L148" s="251" t="s">
        <v>51</v>
      </c>
      <c r="M148" s="251" t="s">
        <v>52</v>
      </c>
      <c r="N148" s="251" t="s">
        <v>58</v>
      </c>
    </row>
    <row r="149" spans="9:14" hidden="1" outlineLevel="1">
      <c r="I149" s="250" t="s">
        <v>356</v>
      </c>
      <c r="J149" s="247"/>
      <c r="K149" s="248">
        <v>0</v>
      </c>
      <c r="L149" s="248">
        <f>IF(OR(J149=0,K149=0),0,INDEX(Прайс!$J$45:$M$47,K149,M179))</f>
        <v>0</v>
      </c>
      <c r="M149" s="254"/>
      <c r="N149" s="254"/>
    </row>
    <row r="150" spans="9:14" hidden="1" outlineLevel="1">
      <c r="I150" s="250" t="s">
        <v>367</v>
      </c>
      <c r="J150" s="247"/>
      <c r="K150" s="248">
        <v>0</v>
      </c>
      <c r="L150" s="248">
        <f>IF(OR(J150=0,K150=0),0,INDEX(Прайс!$J$45:$M$47,K150,M180))</f>
        <v>0</v>
      </c>
      <c r="M150" s="254"/>
      <c r="N150" s="254"/>
    </row>
    <row r="151" spans="9:14" hidden="1" outlineLevel="1">
      <c r="I151" s="250" t="s">
        <v>357</v>
      </c>
      <c r="J151" s="247"/>
      <c r="K151" s="248">
        <v>0</v>
      </c>
      <c r="L151" s="248">
        <f>IF(OR(J151=0,K151=0),0,INDEX(Прайс!$J$45:$M$47,K151,M181))</f>
        <v>0</v>
      </c>
      <c r="M151" s="254"/>
      <c r="N151" s="254"/>
    </row>
    <row r="152" spans="9:14" hidden="1" outlineLevel="1">
      <c r="I152" s="250" t="s">
        <v>358</v>
      </c>
      <c r="J152" s="247"/>
      <c r="K152" s="248">
        <v>0</v>
      </c>
      <c r="L152" s="248">
        <f>IF(OR(J152=0,K152=0),0,INDEX(Прайс!$J$45:$M$47,K152,M182))</f>
        <v>0</v>
      </c>
      <c r="M152" s="254"/>
      <c r="N152" s="254"/>
    </row>
    <row r="153" spans="9:14" hidden="1" outlineLevel="1">
      <c r="I153" s="250" t="s">
        <v>359</v>
      </c>
      <c r="J153" s="247"/>
      <c r="K153" s="248">
        <v>0</v>
      </c>
      <c r="L153" s="248">
        <f>IF(OR(J153=0,K153=0),0,INDEX(Прайс!$J$45:$M$47,K153,M183))</f>
        <v>0</v>
      </c>
      <c r="M153" s="254"/>
      <c r="N153" s="254"/>
    </row>
    <row r="154" spans="9:14" hidden="1" outlineLevel="1">
      <c r="I154" s="250" t="s">
        <v>360</v>
      </c>
      <c r="J154" s="247"/>
      <c r="K154" s="248">
        <v>0</v>
      </c>
      <c r="L154" s="248">
        <f>IF(OR(J154=0,K154=0),0,INDEX(Прайс!$J$45:$M$47,K154,M184))</f>
        <v>0</v>
      </c>
      <c r="M154" s="254"/>
      <c r="N154" s="254"/>
    </row>
    <row r="155" spans="9:14" hidden="1" outlineLevel="1">
      <c r="I155" s="250" t="s">
        <v>361</v>
      </c>
      <c r="J155" s="247"/>
      <c r="K155" s="248">
        <v>0</v>
      </c>
      <c r="L155" s="248">
        <f>IF(OR(J155=0,K155=0),0,INDEX(Прайс!$J$45:$M$47,K155,M185))</f>
        <v>0</v>
      </c>
      <c r="M155" s="254"/>
      <c r="N155" s="254"/>
    </row>
    <row r="156" spans="9:14" hidden="1" outlineLevel="1">
      <c r="I156" s="250" t="s">
        <v>362</v>
      </c>
      <c r="J156" s="247"/>
      <c r="K156" s="248">
        <v>0</v>
      </c>
      <c r="L156" s="248">
        <f>IF(OR(J156=0,K156=0),0,INDEX(Прайс!$J$45:$M$47,K156,M186))</f>
        <v>0</v>
      </c>
      <c r="M156" s="254"/>
      <c r="N156" s="254"/>
    </row>
    <row r="157" spans="9:14" hidden="1" outlineLevel="1">
      <c r="I157" s="250" t="s">
        <v>363</v>
      </c>
      <c r="J157" s="247"/>
      <c r="K157" s="248">
        <v>0</v>
      </c>
      <c r="L157" s="248">
        <f>IF(OR(J157=0,K157=0),0,INDEX(Прайс!$J$45:$M$47,K157,M187))</f>
        <v>0</v>
      </c>
      <c r="M157" s="254"/>
      <c r="N157" s="254"/>
    </row>
    <row r="158" spans="9:14" hidden="1" outlineLevel="1">
      <c r="I158" s="250" t="s">
        <v>364</v>
      </c>
      <c r="J158" s="247"/>
      <c r="K158" s="248">
        <v>0</v>
      </c>
      <c r="L158" s="248">
        <f>IF(OR(J158=0,K158=0),0,INDEX(Прайс!$J$45:$M$47,K158,M188))</f>
        <v>0</v>
      </c>
      <c r="M158" s="254"/>
      <c r="N158" s="254"/>
    </row>
    <row r="159" spans="9:14" hidden="1" outlineLevel="1"/>
    <row r="160" spans="9:14" hidden="1" outlineLevel="1"/>
    <row r="161" spans="13:13" ht="15.75" hidden="1" customHeight="1" outlineLevel="1"/>
    <row r="162" spans="13:13" hidden="1" outlineLevel="1">
      <c r="M162" s="253" t="s">
        <v>368</v>
      </c>
    </row>
    <row r="163" spans="13:13" hidden="1" outlineLevel="1">
      <c r="M163" s="248">
        <f t="shared" ref="M163:M172" si="13">IF(J133=0,0,IF(J133&lt;=1000,1,IF(AND(J133&gt;1000,J133&lt;=5000),2,IF(AND(J133&gt;5000,J133&lt;=10000),3,IF(J133&gt;10000,4,0)))))</f>
        <v>0</v>
      </c>
    </row>
    <row r="164" spans="13:13" hidden="1" outlineLevel="1">
      <c r="M164" s="248">
        <f t="shared" si="13"/>
        <v>0</v>
      </c>
    </row>
    <row r="165" spans="13:13" hidden="1" outlineLevel="1">
      <c r="M165" s="248">
        <f t="shared" si="13"/>
        <v>0</v>
      </c>
    </row>
    <row r="166" spans="13:13" hidden="1" outlineLevel="1">
      <c r="M166" s="248">
        <f t="shared" si="13"/>
        <v>0</v>
      </c>
    </row>
    <row r="167" spans="13:13" hidden="1" outlineLevel="1">
      <c r="M167" s="248">
        <f t="shared" si="13"/>
        <v>0</v>
      </c>
    </row>
    <row r="168" spans="13:13" hidden="1" outlineLevel="1">
      <c r="M168" s="248">
        <f t="shared" si="13"/>
        <v>0</v>
      </c>
    </row>
    <row r="169" spans="13:13" hidden="1" outlineLevel="1">
      <c r="M169" s="248">
        <f t="shared" si="13"/>
        <v>0</v>
      </c>
    </row>
    <row r="170" spans="13:13" hidden="1" outlineLevel="1">
      <c r="M170" s="248">
        <f t="shared" si="13"/>
        <v>0</v>
      </c>
    </row>
    <row r="171" spans="13:13" hidden="1" outlineLevel="1">
      <c r="M171" s="248">
        <f t="shared" si="13"/>
        <v>0</v>
      </c>
    </row>
    <row r="172" spans="13:13" hidden="1" outlineLevel="1">
      <c r="M172" s="248">
        <f t="shared" si="13"/>
        <v>0</v>
      </c>
    </row>
    <row r="173" spans="13:13" hidden="1" outlineLevel="1"/>
    <row r="174" spans="13:13" hidden="1" outlineLevel="1"/>
    <row r="175" spans="13:13" hidden="1" outlineLevel="1"/>
    <row r="176" spans="13:13" hidden="1" outlineLevel="1"/>
    <row r="177" spans="13:13" ht="15.75" hidden="1" customHeight="1" outlineLevel="1"/>
    <row r="178" spans="13:13" hidden="1" outlineLevel="1">
      <c r="M178" s="253" t="s">
        <v>368</v>
      </c>
    </row>
    <row r="179" spans="13:13" hidden="1" outlineLevel="1">
      <c r="M179" s="248">
        <f t="shared" ref="M179:M188" si="14">IF(J149=0,0,IF(J149&lt;=1000,1,IF(AND(J149&gt;1000,J149&lt;=5000),2,IF(AND(J149&gt;5000,J149&lt;=10000),3,IF(J149&gt;10000,4,0)))))</f>
        <v>0</v>
      </c>
    </row>
    <row r="180" spans="13:13" hidden="1" outlineLevel="1">
      <c r="M180" s="248">
        <f t="shared" si="14"/>
        <v>0</v>
      </c>
    </row>
    <row r="181" spans="13:13" hidden="1" outlineLevel="1">
      <c r="M181" s="248">
        <f t="shared" si="14"/>
        <v>0</v>
      </c>
    </row>
    <row r="182" spans="13:13" hidden="1" outlineLevel="1">
      <c r="M182" s="248">
        <f t="shared" si="14"/>
        <v>0</v>
      </c>
    </row>
    <row r="183" spans="13:13" hidden="1" outlineLevel="1">
      <c r="M183" s="248">
        <f t="shared" si="14"/>
        <v>0</v>
      </c>
    </row>
    <row r="184" spans="13:13" hidden="1" outlineLevel="1">
      <c r="M184" s="248">
        <f t="shared" si="14"/>
        <v>0</v>
      </c>
    </row>
    <row r="185" spans="13:13" hidden="1" outlineLevel="1">
      <c r="M185" s="248">
        <f t="shared" si="14"/>
        <v>0</v>
      </c>
    </row>
    <row r="186" spans="13:13" hidden="1" outlineLevel="1">
      <c r="M186" s="248">
        <f t="shared" si="14"/>
        <v>0</v>
      </c>
    </row>
    <row r="187" spans="13:13" hidden="1" outlineLevel="1">
      <c r="M187" s="248">
        <f t="shared" si="14"/>
        <v>0</v>
      </c>
    </row>
    <row r="188" spans="13:13" hidden="1" outlineLevel="1">
      <c r="M188" s="248">
        <f t="shared" si="14"/>
        <v>0</v>
      </c>
    </row>
    <row r="189" spans="13:13" hidden="1" outlineLevel="1"/>
    <row r="190" spans="13:13" hidden="1" outlineLevel="1"/>
    <row r="191" spans="13:13" hidden="1" outlineLevel="1"/>
    <row r="192" spans="13:13" hidden="1" collapsed="1"/>
    <row r="193" spans="2:17" ht="21" hidden="1" customHeight="1">
      <c r="G193" s="89">
        <v>0</v>
      </c>
      <c r="H193" s="1148" t="s">
        <v>370</v>
      </c>
    </row>
    <row r="194" spans="2:17" hidden="1">
      <c r="B194" s="802" t="s">
        <v>851</v>
      </c>
      <c r="C194" s="808" t="s">
        <v>1532</v>
      </c>
      <c r="D194" s="93"/>
      <c r="G194" s="89">
        <v>0</v>
      </c>
      <c r="H194" s="1148"/>
    </row>
    <row r="195" spans="2:17" hidden="1">
      <c r="B195" s="802" t="s">
        <v>871</v>
      </c>
      <c r="C195" s="803">
        <v>44543</v>
      </c>
      <c r="D195" s="93"/>
      <c r="G195" s="89">
        <v>0</v>
      </c>
      <c r="H195" s="1148"/>
    </row>
    <row r="196" spans="2:17" ht="15.6" hidden="1">
      <c r="B196" s="798" t="s">
        <v>843</v>
      </c>
      <c r="C196" s="798" t="s">
        <v>1509</v>
      </c>
      <c r="D196" s="798"/>
      <c r="E196" s="798"/>
      <c r="G196" s="89">
        <v>0</v>
      </c>
      <c r="I196" s="804" t="s">
        <v>879</v>
      </c>
      <c r="J196" s="93"/>
    </row>
    <row r="197" spans="2:17" ht="15.6" hidden="1">
      <c r="B197" s="798" t="s">
        <v>884</v>
      </c>
      <c r="C197" s="798">
        <v>155581</v>
      </c>
      <c r="D197" s="798"/>
      <c r="E197" s="798"/>
      <c r="G197" s="89">
        <v>0</v>
      </c>
      <c r="I197" s="804" t="s">
        <v>881</v>
      </c>
      <c r="J197" s="93"/>
    </row>
    <row r="198" spans="2:17" ht="15.6" hidden="1">
      <c r="B198" s="798"/>
      <c r="C198" s="798"/>
      <c r="D198" s="798"/>
      <c r="E198" s="798"/>
      <c r="G198" s="89">
        <v>0</v>
      </c>
      <c r="I198" s="93"/>
      <c r="J198" s="93"/>
    </row>
    <row r="199" spans="2:17" ht="15.6" hidden="1">
      <c r="B199" s="798" t="s">
        <v>844</v>
      </c>
      <c r="C199" s="798" t="s">
        <v>1510</v>
      </c>
      <c r="D199" s="1"/>
      <c r="E199" s="1"/>
      <c r="G199" s="89">
        <v>0</v>
      </c>
      <c r="I199" s="93"/>
      <c r="J199" s="93"/>
    </row>
    <row r="200" spans="2:17" ht="15.6" hidden="1">
      <c r="B200" s="798" t="s">
        <v>845</v>
      </c>
      <c r="C200" s="798" t="s">
        <v>1511</v>
      </c>
      <c r="D200" s="1"/>
      <c r="E200" s="1"/>
      <c r="G200" s="89">
        <v>0</v>
      </c>
      <c r="I200" s="219">
        <v>1</v>
      </c>
      <c r="J200" s="805" t="s">
        <v>883</v>
      </c>
    </row>
    <row r="201" spans="2:17" ht="15.6" hidden="1">
      <c r="B201" s="1" t="s">
        <v>846</v>
      </c>
      <c r="C201" s="1" t="s">
        <v>1512</v>
      </c>
      <c r="D201" s="1"/>
      <c r="E201" s="1"/>
      <c r="G201" s="89">
        <v>0</v>
      </c>
      <c r="I201" s="219">
        <v>2</v>
      </c>
      <c r="J201" s="805" t="s">
        <v>882</v>
      </c>
    </row>
    <row r="202" spans="2:17" ht="15.6" hidden="1">
      <c r="B202" s="1" t="s">
        <v>847</v>
      </c>
      <c r="C202" s="1" t="s">
        <v>1513</v>
      </c>
      <c r="D202" s="1"/>
      <c r="E202" s="1"/>
      <c r="G202" s="89">
        <v>0</v>
      </c>
    </row>
    <row r="203" spans="2:17" ht="15.6" hidden="1">
      <c r="B203" s="1" t="s">
        <v>848</v>
      </c>
      <c r="C203" s="1" t="s">
        <v>100</v>
      </c>
      <c r="D203" s="1"/>
      <c r="E203" s="1"/>
      <c r="G203" s="89">
        <v>0</v>
      </c>
    </row>
    <row r="204" spans="2:17" ht="15.6" hidden="1">
      <c r="B204" s="1" t="s">
        <v>849</v>
      </c>
      <c r="C204" s="1"/>
      <c r="D204" s="1"/>
      <c r="E204" s="1"/>
      <c r="G204" s="89">
        <v>0</v>
      </c>
      <c r="I204" s="37" t="s">
        <v>886</v>
      </c>
      <c r="O204" s="37" t="s">
        <v>885</v>
      </c>
    </row>
    <row r="205" spans="2:17" ht="15.6" hidden="1">
      <c r="B205" s="1" t="s">
        <v>850</v>
      </c>
      <c r="C205" s="1" t="s">
        <v>868</v>
      </c>
      <c r="D205" s="1"/>
      <c r="E205" s="1"/>
      <c r="G205" s="89">
        <v>0</v>
      </c>
      <c r="I205" s="824" t="s">
        <v>869</v>
      </c>
      <c r="J205" s="824"/>
      <c r="K205" s="824"/>
      <c r="L205" s="824"/>
      <c r="M205" s="824"/>
      <c r="O205" s="809" t="s">
        <v>868</v>
      </c>
      <c r="P205" s="809"/>
      <c r="Q205" s="809"/>
    </row>
    <row r="206" spans="2:17" ht="15.6" hidden="1">
      <c r="B206" s="1" t="s">
        <v>851</v>
      </c>
      <c r="C206" s="1"/>
      <c r="D206" s="1"/>
      <c r="E206" s="1"/>
      <c r="G206" s="89">
        <v>0</v>
      </c>
      <c r="I206" s="824" t="s">
        <v>872</v>
      </c>
      <c r="J206" s="824"/>
      <c r="K206" s="824"/>
      <c r="L206" s="824"/>
      <c r="M206" s="824"/>
      <c r="O206" s="809" t="s">
        <v>106</v>
      </c>
      <c r="P206" s="809"/>
      <c r="Q206" s="809"/>
    </row>
    <row r="207" spans="2:17" ht="15.6" hidden="1">
      <c r="B207" s="1" t="s">
        <v>1514</v>
      </c>
      <c r="C207" s="1"/>
      <c r="D207"/>
      <c r="E207" s="1"/>
      <c r="G207" s="89">
        <v>0</v>
      </c>
      <c r="I207" s="824" t="s">
        <v>873</v>
      </c>
      <c r="J207" s="824"/>
      <c r="K207" s="824"/>
      <c r="L207" s="824"/>
      <c r="M207" s="824"/>
      <c r="O207" s="809" t="s">
        <v>107</v>
      </c>
      <c r="P207" s="809"/>
      <c r="Q207" s="809"/>
    </row>
    <row r="208" spans="2:17" ht="15.6" hidden="1">
      <c r="B208" s="1" t="s">
        <v>1515</v>
      </c>
      <c r="C208" s="1" t="s">
        <v>1516</v>
      </c>
      <c r="E208" s="1"/>
      <c r="G208" s="89">
        <v>0</v>
      </c>
      <c r="I208" s="824" t="s">
        <v>874</v>
      </c>
      <c r="J208" s="824"/>
      <c r="K208" s="824"/>
      <c r="L208" s="824"/>
      <c r="M208" s="824"/>
      <c r="O208" s="809" t="s">
        <v>877</v>
      </c>
      <c r="P208" s="809"/>
      <c r="Q208" s="809"/>
    </row>
    <row r="209" spans="2:16" ht="15.6" hidden="1">
      <c r="B209" s="1" t="s">
        <v>852</v>
      </c>
      <c r="C209" s="1" t="s">
        <v>869</v>
      </c>
      <c r="D209" s="1"/>
      <c r="E209" s="1"/>
      <c r="G209" s="89">
        <v>0</v>
      </c>
      <c r="I209" s="824" t="s">
        <v>875</v>
      </c>
      <c r="J209" s="824"/>
      <c r="K209" s="824"/>
      <c r="L209" s="824"/>
      <c r="M209" s="824"/>
    </row>
    <row r="210" spans="2:16" ht="15.6" hidden="1">
      <c r="B210" s="1" t="s">
        <v>853</v>
      </c>
      <c r="C210" s="1" t="s">
        <v>1517</v>
      </c>
      <c r="D210" s="1"/>
      <c r="E210" s="1"/>
      <c r="G210" s="89">
        <v>0</v>
      </c>
      <c r="I210" s="824" t="s">
        <v>876</v>
      </c>
      <c r="J210" s="824"/>
      <c r="K210" s="824"/>
      <c r="L210" s="824"/>
      <c r="M210" s="824"/>
      <c r="O210" s="37" t="s">
        <v>887</v>
      </c>
    </row>
    <row r="211" spans="2:16" ht="15.6" hidden="1">
      <c r="B211" s="1" t="s">
        <v>934</v>
      </c>
      <c r="C211" s="1">
        <v>7710959468</v>
      </c>
      <c r="E211" s="1"/>
      <c r="G211" s="89">
        <v>0</v>
      </c>
      <c r="I211" s="824" t="s">
        <v>870</v>
      </c>
      <c r="J211" s="824"/>
      <c r="K211" s="824"/>
      <c r="L211" s="824"/>
      <c r="M211" s="824"/>
      <c r="O211" s="825" t="s">
        <v>1142</v>
      </c>
      <c r="P211" s="825"/>
    </row>
    <row r="212" spans="2:16" ht="15.6" hidden="1">
      <c r="B212" s="1" t="s">
        <v>935</v>
      </c>
      <c r="C212" s="1">
        <v>772401001</v>
      </c>
      <c r="E212" s="1"/>
      <c r="G212" s="89">
        <v>0</v>
      </c>
      <c r="I212" s="824" t="s">
        <v>234</v>
      </c>
      <c r="J212" s="824"/>
      <c r="K212" s="824"/>
      <c r="L212" s="824"/>
      <c r="M212" s="824"/>
      <c r="O212" s="825" t="s">
        <v>98</v>
      </c>
      <c r="P212" s="825"/>
    </row>
    <row r="213" spans="2:16" ht="15.6" hidden="1">
      <c r="B213" s="1" t="s">
        <v>854</v>
      </c>
      <c r="C213" s="1"/>
      <c r="D213" s="1"/>
      <c r="E213" s="1"/>
      <c r="G213" s="89">
        <v>0</v>
      </c>
      <c r="I213" s="824" t="s">
        <v>235</v>
      </c>
      <c r="J213" s="824"/>
      <c r="K213" s="824"/>
      <c r="L213" s="824"/>
      <c r="M213" s="824"/>
      <c r="O213" s="825" t="s">
        <v>100</v>
      </c>
      <c r="P213" s="825"/>
    </row>
    <row r="214" spans="2:16" ht="15.6" hidden="1">
      <c r="B214" s="1" t="s">
        <v>855</v>
      </c>
      <c r="C214" s="1"/>
      <c r="D214" s="1"/>
      <c r="E214" s="1"/>
      <c r="G214" s="89">
        <v>0</v>
      </c>
      <c r="I214" s="824" t="s">
        <v>236</v>
      </c>
      <c r="J214" s="824"/>
      <c r="K214" s="824"/>
      <c r="L214" s="824"/>
      <c r="M214" s="824"/>
      <c r="O214" s="825" t="s">
        <v>97</v>
      </c>
      <c r="P214" s="825"/>
    </row>
    <row r="215" spans="2:16" ht="15.6" hidden="1">
      <c r="B215" s="1" t="s">
        <v>856</v>
      </c>
      <c r="C215" s="1"/>
      <c r="D215" s="1"/>
      <c r="E215" s="1"/>
      <c r="G215" s="89">
        <v>0</v>
      </c>
      <c r="I215" s="824" t="s">
        <v>237</v>
      </c>
      <c r="J215" s="824"/>
      <c r="K215" s="824"/>
      <c r="L215" s="824"/>
      <c r="M215" s="824"/>
      <c r="O215" s="825" t="s">
        <v>101</v>
      </c>
      <c r="P215" s="825"/>
    </row>
    <row r="216" spans="2:16" ht="15.6" hidden="1">
      <c r="B216" s="1" t="s">
        <v>857</v>
      </c>
      <c r="C216" s="1"/>
      <c r="D216" s="1"/>
      <c r="E216" s="1"/>
      <c r="G216" s="89">
        <v>0</v>
      </c>
      <c r="I216" s="824" t="s">
        <v>280</v>
      </c>
      <c r="J216" s="824"/>
      <c r="K216" s="824"/>
      <c r="L216" s="824"/>
      <c r="M216" s="824"/>
      <c r="O216" s="825" t="s">
        <v>78</v>
      </c>
      <c r="P216" s="825"/>
    </row>
    <row r="217" spans="2:16" ht="15.6" hidden="1">
      <c r="B217" s="1"/>
      <c r="C217" s="1"/>
      <c r="D217" s="1"/>
      <c r="E217" s="1"/>
      <c r="G217" s="89">
        <v>0</v>
      </c>
      <c r="I217" s="824" t="s">
        <v>281</v>
      </c>
      <c r="J217" s="824"/>
      <c r="K217" s="824"/>
      <c r="L217" s="824"/>
      <c r="M217" s="824"/>
      <c r="O217" s="825" t="s">
        <v>102</v>
      </c>
      <c r="P217" s="825"/>
    </row>
    <row r="218" spans="2:16" ht="15.6" hidden="1">
      <c r="B218" s="1" t="s">
        <v>858</v>
      </c>
      <c r="C218" s="1" t="s">
        <v>1518</v>
      </c>
      <c r="D218" s="1"/>
      <c r="E218" s="1"/>
      <c r="G218" s="89">
        <v>0</v>
      </c>
      <c r="I218" s="824" t="s">
        <v>300</v>
      </c>
      <c r="J218" s="824"/>
      <c r="K218" s="824"/>
      <c r="L218" s="824"/>
      <c r="M218" s="824"/>
      <c r="O218" s="825" t="s">
        <v>103</v>
      </c>
      <c r="P218" s="825"/>
    </row>
    <row r="219" spans="2:16" ht="15.6" hidden="1">
      <c r="B219" s="1"/>
      <c r="C219" s="1"/>
      <c r="D219" s="1"/>
      <c r="E219" s="1"/>
      <c r="G219" s="89">
        <v>0</v>
      </c>
      <c r="O219" s="825" t="s">
        <v>299</v>
      </c>
      <c r="P219" s="825"/>
    </row>
    <row r="220" spans="2:16" ht="15.6" hidden="1">
      <c r="B220" s="1"/>
      <c r="C220" s="1"/>
      <c r="D220" s="1"/>
      <c r="E220" s="1"/>
      <c r="G220" s="89">
        <v>0</v>
      </c>
      <c r="O220" s="825" t="s">
        <v>340</v>
      </c>
      <c r="P220" s="825"/>
    </row>
    <row r="221" spans="2:16" ht="15.6" hidden="1">
      <c r="B221" s="1" t="s">
        <v>859</v>
      </c>
      <c r="C221" s="1" t="s">
        <v>375</v>
      </c>
      <c r="D221" s="1"/>
      <c r="E221" s="1"/>
      <c r="G221" s="89">
        <v>0</v>
      </c>
      <c r="O221" s="825" t="s">
        <v>300</v>
      </c>
      <c r="P221" s="825"/>
    </row>
    <row r="222" spans="2:16" ht="15.6" hidden="1">
      <c r="B222" s="1" t="s">
        <v>860</v>
      </c>
      <c r="C222" s="1" t="s">
        <v>1519</v>
      </c>
      <c r="D222" s="1"/>
      <c r="E222" s="1"/>
      <c r="G222" s="89">
        <v>0</v>
      </c>
    </row>
    <row r="223" spans="2:16" ht="15.6" hidden="1">
      <c r="B223" s="1" t="s">
        <v>862</v>
      </c>
      <c r="C223" s="1" t="s">
        <v>869</v>
      </c>
      <c r="D223" s="1"/>
      <c r="E223" s="1"/>
      <c r="G223" s="89">
        <v>0</v>
      </c>
    </row>
    <row r="224" spans="2:16" ht="15.6" hidden="1">
      <c r="B224" s="1" t="s">
        <v>861</v>
      </c>
      <c r="C224" s="1" t="s">
        <v>1520</v>
      </c>
      <c r="D224" s="1"/>
      <c r="E224" s="1"/>
      <c r="G224" s="89">
        <v>0</v>
      </c>
    </row>
    <row r="225" spans="2:7" ht="15.6" hidden="1">
      <c r="B225" s="1" t="s">
        <v>863</v>
      </c>
      <c r="C225" s="1"/>
      <c r="D225" s="1"/>
      <c r="E225" s="1"/>
      <c r="G225" s="89">
        <v>0</v>
      </c>
    </row>
    <row r="226" spans="2:7" ht="15.6" hidden="1">
      <c r="B226" s="1" t="s">
        <v>864</v>
      </c>
      <c r="C226" s="1"/>
      <c r="D226" s="1"/>
      <c r="E226" s="1"/>
      <c r="G226" s="89">
        <v>0</v>
      </c>
    </row>
    <row r="227" spans="2:7" ht="15.6" hidden="1">
      <c r="B227" s="1"/>
      <c r="C227" s="1"/>
      <c r="D227" s="93"/>
      <c r="G227" s="89">
        <v>0</v>
      </c>
    </row>
    <row r="228" spans="2:7" ht="15.6" hidden="1">
      <c r="B228" s="1048" t="s">
        <v>865</v>
      </c>
      <c r="C228" s="1"/>
      <c r="D228" s="93"/>
      <c r="G228" s="89">
        <v>0</v>
      </c>
    </row>
    <row r="229" spans="2:7" ht="15.6" hidden="1">
      <c r="B229" s="1" t="s">
        <v>1130</v>
      </c>
      <c r="C229" s="1" t="s">
        <v>1521</v>
      </c>
      <c r="D229" s="93"/>
      <c r="G229" s="89">
        <v>0</v>
      </c>
    </row>
    <row r="230" spans="2:7" ht="15.6" hidden="1">
      <c r="B230" s="1048" t="s">
        <v>1131</v>
      </c>
      <c r="C230" s="1"/>
      <c r="D230" s="93"/>
      <c r="G230" s="89">
        <v>0</v>
      </c>
    </row>
    <row r="231" spans="2:7" ht="15.6" hidden="1">
      <c r="B231" s="1" t="s">
        <v>1132</v>
      </c>
      <c r="C231" s="1">
        <v>658749</v>
      </c>
      <c r="D231" s="93"/>
      <c r="G231" s="89">
        <v>0</v>
      </c>
    </row>
    <row r="232" spans="2:7" ht="15.6" hidden="1">
      <c r="B232" s="1" t="s">
        <v>1133</v>
      </c>
      <c r="C232" s="1" t="s">
        <v>1522</v>
      </c>
      <c r="D232" s="93"/>
      <c r="G232" s="89">
        <v>0</v>
      </c>
    </row>
    <row r="233" spans="2:7" ht="15.6" hidden="1">
      <c r="B233" s="1" t="s">
        <v>1523</v>
      </c>
      <c r="C233" s="1" t="s">
        <v>1524</v>
      </c>
      <c r="D233" s="93"/>
      <c r="G233" s="89">
        <v>0</v>
      </c>
    </row>
    <row r="234" spans="2:7" ht="15.6" hidden="1">
      <c r="B234" s="1048" t="s">
        <v>1134</v>
      </c>
      <c r="C234" s="1"/>
      <c r="D234" s="93"/>
      <c r="G234" s="89">
        <v>0</v>
      </c>
    </row>
    <row r="235" spans="2:7" ht="15.6" hidden="1">
      <c r="B235" s="1" t="s">
        <v>1132</v>
      </c>
      <c r="C235" s="1">
        <v>658750</v>
      </c>
      <c r="D235" s="93"/>
      <c r="G235" s="89">
        <v>0</v>
      </c>
    </row>
    <row r="236" spans="2:7" ht="15.6" hidden="1">
      <c r="B236" s="1" t="s">
        <v>1133</v>
      </c>
      <c r="C236" s="1" t="s">
        <v>1525</v>
      </c>
      <c r="D236" s="93"/>
      <c r="G236" s="89">
        <v>0</v>
      </c>
    </row>
    <row r="237" spans="2:7" ht="15.6" hidden="1">
      <c r="B237" s="1" t="s">
        <v>1135</v>
      </c>
      <c r="C237" s="1" t="s">
        <v>1526</v>
      </c>
      <c r="D237" s="93"/>
      <c r="G237" s="89">
        <v>0</v>
      </c>
    </row>
    <row r="238" spans="2:7" ht="15.6" hidden="1">
      <c r="B238" s="1" t="s">
        <v>1136</v>
      </c>
      <c r="C238" s="1" t="s">
        <v>1526</v>
      </c>
      <c r="D238" s="93"/>
      <c r="G238" s="89">
        <v>0</v>
      </c>
    </row>
    <row r="239" spans="2:7" ht="15.6" hidden="1">
      <c r="B239" s="1" t="s">
        <v>1137</v>
      </c>
      <c r="C239" s="1" t="s">
        <v>1527</v>
      </c>
      <c r="D239" s="93"/>
      <c r="G239" s="89">
        <v>0</v>
      </c>
    </row>
    <row r="240" spans="2:7" ht="15.6" hidden="1">
      <c r="B240" s="1" t="s">
        <v>1138</v>
      </c>
      <c r="C240" s="1"/>
      <c r="D240" s="93"/>
      <c r="G240" s="89">
        <v>0</v>
      </c>
    </row>
    <row r="241" spans="2:7" ht="15.6" hidden="1">
      <c r="B241" s="1" t="s">
        <v>1139</v>
      </c>
      <c r="C241" s="1"/>
      <c r="D241" s="93"/>
      <c r="G241" s="89">
        <v>0</v>
      </c>
    </row>
    <row r="242" spans="2:7" ht="15.6" hidden="1">
      <c r="B242" s="1" t="s">
        <v>1523</v>
      </c>
      <c r="C242" s="1" t="s">
        <v>1524</v>
      </c>
      <c r="G242" s="89">
        <v>0</v>
      </c>
    </row>
    <row r="243" spans="2:7" ht="15.6" hidden="1">
      <c r="B243" s="1" t="s">
        <v>1138</v>
      </c>
      <c r="C243" s="1"/>
      <c r="G243" s="89">
        <v>0</v>
      </c>
    </row>
    <row r="244" spans="2:7" ht="15.6" hidden="1">
      <c r="B244" s="1" t="s">
        <v>1139</v>
      </c>
      <c r="C244" s="1"/>
      <c r="G244" s="89">
        <v>0</v>
      </c>
    </row>
    <row r="245" spans="2:7" ht="15.6" hidden="1">
      <c r="B245" s="1"/>
      <c r="C245" s="1"/>
      <c r="G245" s="89">
        <v>0</v>
      </c>
    </row>
    <row r="246" spans="2:7" ht="15.6" hidden="1">
      <c r="B246" s="1"/>
      <c r="C246" s="1"/>
      <c r="G246" s="89">
        <v>0</v>
      </c>
    </row>
    <row r="247" spans="2:7" ht="15.6" hidden="1">
      <c r="B247" s="894"/>
      <c r="C247" s="1"/>
      <c r="G247" s="89">
        <v>0</v>
      </c>
    </row>
    <row r="248" spans="2:7" ht="15.6" hidden="1">
      <c r="B248" s="1"/>
      <c r="C248" s="1"/>
      <c r="G248" s="89">
        <v>0</v>
      </c>
    </row>
    <row r="249" spans="2:7" ht="15.6" hidden="1">
      <c r="B249" s="1"/>
      <c r="C249" s="1"/>
      <c r="G249" s="89">
        <v>0</v>
      </c>
    </row>
    <row r="250" spans="2:7" ht="15.6" hidden="1">
      <c r="B250" s="1"/>
      <c r="C250" s="1"/>
      <c r="G250" s="89">
        <v>0</v>
      </c>
    </row>
    <row r="251" spans="2:7" ht="15.6" hidden="1">
      <c r="B251" s="894"/>
      <c r="C251" s="1"/>
      <c r="G251" s="89">
        <v>0</v>
      </c>
    </row>
    <row r="252" spans="2:7" ht="15.6" hidden="1">
      <c r="B252" s="1"/>
      <c r="C252" s="1"/>
      <c r="G252" s="89">
        <v>0</v>
      </c>
    </row>
    <row r="253" spans="2:7" ht="15.6" hidden="1">
      <c r="B253" s="1"/>
      <c r="C253" s="1"/>
      <c r="G253" s="89">
        <v>0</v>
      </c>
    </row>
    <row r="254" spans="2:7" ht="15.6" hidden="1">
      <c r="C254" s="1"/>
    </row>
    <row r="255" spans="2:7" ht="15.6" hidden="1">
      <c r="C255" s="528"/>
    </row>
    <row r="256" spans="2:7" ht="15.6" hidden="1">
      <c r="C256" s="1"/>
    </row>
    <row r="257" spans="3:3" ht="15.6" hidden="1">
      <c r="C257" s="1"/>
    </row>
    <row r="258" spans="3:3" ht="15.6" hidden="1">
      <c r="C258" s="1"/>
    </row>
    <row r="259" spans="3:3" ht="15.6" hidden="1">
      <c r="C259" s="1"/>
    </row>
    <row r="260" spans="3:3" ht="15.6" hidden="1">
      <c r="C260" s="1"/>
    </row>
    <row r="261" spans="3:3" ht="15.6" hidden="1">
      <c r="C261" s="1"/>
    </row>
    <row r="262" spans="3:3" hidden="1"/>
    <row r="263" spans="3:3" hidden="1"/>
    <row r="264" spans="3:3" hidden="1"/>
    <row r="265" spans="3:3" hidden="1"/>
    <row r="266" spans="3:3" hidden="1"/>
    <row r="267" spans="3:3" hidden="1"/>
    <row r="268" spans="3:3" hidden="1"/>
    <row r="269" spans="3:3" hidden="1"/>
    <row r="270" spans="3:3" hidden="1"/>
  </sheetData>
  <autoFilter ref="B23:F49">
    <filterColumn colId="0" showButton="0"/>
    <filterColumn colId="2">
      <customFilters>
        <customFilter operator="notEqual" val="0"/>
      </customFilters>
    </filterColumn>
    <filterColumn colId="3" showButton="0"/>
  </autoFilter>
  <mergeCells count="100">
    <mergeCell ref="H193:H195"/>
    <mergeCell ref="H21:I26"/>
    <mergeCell ref="C10:E10"/>
    <mergeCell ref="C11:E11"/>
    <mergeCell ref="M31:Q31"/>
    <mergeCell ref="L27:W29"/>
    <mergeCell ref="B45:C45"/>
    <mergeCell ref="H43:M43"/>
    <mergeCell ref="H44:M44"/>
    <mergeCell ref="H33:N33"/>
    <mergeCell ref="H34:N34"/>
    <mergeCell ref="H35:N35"/>
    <mergeCell ref="H36:N36"/>
    <mergeCell ref="H39:N39"/>
    <mergeCell ref="P136:P138"/>
    <mergeCell ref="I130:N130"/>
    <mergeCell ref="C15:D15"/>
    <mergeCell ref="E15:F15"/>
    <mergeCell ref="J21:J25"/>
    <mergeCell ref="B22:F22"/>
    <mergeCell ref="E24:F24"/>
    <mergeCell ref="B24:C24"/>
    <mergeCell ref="E23:F23"/>
    <mergeCell ref="B23:C23"/>
    <mergeCell ref="C17:F17"/>
    <mergeCell ref="K21:W25"/>
    <mergeCell ref="H45:O45"/>
    <mergeCell ref="H32:N32"/>
    <mergeCell ref="B48:F49"/>
    <mergeCell ref="E25:F25"/>
    <mergeCell ref="E26:F26"/>
    <mergeCell ref="H40:N40"/>
    <mergeCell ref="B27:C27"/>
    <mergeCell ref="AD46:AH46"/>
    <mergeCell ref="AD45:AH45"/>
    <mergeCell ref="C18:F18"/>
    <mergeCell ref="H27:I27"/>
    <mergeCell ref="K19:W20"/>
    <mergeCell ref="E27:F27"/>
    <mergeCell ref="J27:K29"/>
    <mergeCell ref="H31:L31"/>
    <mergeCell ref="H41:N41"/>
    <mergeCell ref="H42:N42"/>
    <mergeCell ref="C20:F20"/>
    <mergeCell ref="D19:E19"/>
    <mergeCell ref="H37:L37"/>
    <mergeCell ref="H38:L38"/>
    <mergeCell ref="B25:C25"/>
    <mergeCell ref="K26:W26"/>
    <mergeCell ref="I146:N146"/>
    <mergeCell ref="I84:M84"/>
    <mergeCell ref="I81:M81"/>
    <mergeCell ref="I80:M80"/>
    <mergeCell ref="I83:M83"/>
    <mergeCell ref="J107:O107"/>
    <mergeCell ref="K87:K91"/>
    <mergeCell ref="K92:K95"/>
    <mergeCell ref="K96:K99"/>
    <mergeCell ref="K100:K103"/>
    <mergeCell ref="I82:M82"/>
    <mergeCell ref="I85:M85"/>
    <mergeCell ref="I86:M86"/>
    <mergeCell ref="X2:Y2"/>
    <mergeCell ref="H2:I11"/>
    <mergeCell ref="J10:J11"/>
    <mergeCell ref="K10:W11"/>
    <mergeCell ref="J16:J18"/>
    <mergeCell ref="K16:W18"/>
    <mergeCell ref="K12:W15"/>
    <mergeCell ref="J12:J15"/>
    <mergeCell ref="K2:W2"/>
    <mergeCell ref="J3:J6"/>
    <mergeCell ref="K3:W6"/>
    <mergeCell ref="J7:J9"/>
    <mergeCell ref="K7:W9"/>
    <mergeCell ref="H12:I20"/>
    <mergeCell ref="J19:J20"/>
    <mergeCell ref="P118:W118"/>
    <mergeCell ref="P119:W119"/>
    <mergeCell ref="H113:W113"/>
    <mergeCell ref="P114:W114"/>
    <mergeCell ref="P115:W115"/>
    <mergeCell ref="P116:W116"/>
    <mergeCell ref="P117:W117"/>
    <mergeCell ref="C12:D12"/>
    <mergeCell ref="E12:F12"/>
    <mergeCell ref="A1:F1"/>
    <mergeCell ref="B31:F31"/>
    <mergeCell ref="B2:F2"/>
    <mergeCell ref="C4:F4"/>
    <mergeCell ref="C3:F3"/>
    <mergeCell ref="C6:F6"/>
    <mergeCell ref="C7:F7"/>
    <mergeCell ref="C5:F5"/>
    <mergeCell ref="C9:F9"/>
    <mergeCell ref="C13:F13"/>
    <mergeCell ref="C14:F14"/>
    <mergeCell ref="C8:F8"/>
    <mergeCell ref="C16:F16"/>
    <mergeCell ref="B26:C26"/>
  </mergeCells>
  <conditionalFormatting sqref="D23">
    <cfRule type="expression" dxfId="1397" priority="57">
      <formula>IF(SUM($D$24:$D$27=0),1,0)</formula>
    </cfRule>
  </conditionalFormatting>
  <conditionalFormatting sqref="O35:O38 O33 O43:O44">
    <cfRule type="expression" dxfId="1396" priority="810">
      <formula>IF(SUM(#REF!)=0,1,0)</formula>
    </cfRule>
  </conditionalFormatting>
  <conditionalFormatting sqref="O39 O41">
    <cfRule type="expression" dxfId="1395" priority="811">
      <formula>IF(SUM(#REF!)=0,1,0)</formula>
    </cfRule>
  </conditionalFormatting>
  <conditionalFormatting sqref="O42">
    <cfRule type="expression" dxfId="1394" priority="11">
      <formula>IF(SUM(#REF!)=0,1,0)</formula>
    </cfRule>
  </conditionalFormatting>
  <conditionalFormatting sqref="J27:K29 H27">
    <cfRule type="expression" dxfId="1393" priority="10">
      <formula>IF($C$18=$I$76,1,0)</formula>
    </cfRule>
  </conditionalFormatting>
  <conditionalFormatting sqref="C194">
    <cfRule type="expression" dxfId="1392" priority="8">
      <formula>IF($C$194&lt;&gt;0,0,1)</formula>
    </cfRule>
  </conditionalFormatting>
  <conditionalFormatting sqref="C195">
    <cfRule type="expression" dxfId="1391" priority="6">
      <formula>IF($C$195&lt;&gt;0,0,1)</formula>
    </cfRule>
  </conditionalFormatting>
  <conditionalFormatting sqref="C19">
    <cfRule type="cellIs" dxfId="1390" priority="4" operator="lessThan">
      <formula>1</formula>
    </cfRule>
  </conditionalFormatting>
  <conditionalFormatting sqref="F19">
    <cfRule type="cellIs" dxfId="1389" priority="3" operator="lessThan">
      <formula>1</formula>
    </cfRule>
  </conditionalFormatting>
  <conditionalFormatting sqref="O40">
    <cfRule type="expression" dxfId="1388" priority="1">
      <formula>IF(SUM(#REF!)=0,1,0)</formula>
    </cfRule>
  </conditionalFormatting>
  <conditionalFormatting sqref="L27:W29">
    <cfRule type="expression" dxfId="1387" priority="815">
      <formula>IF($J$27=$S$107,1,0)</formula>
    </cfRule>
  </conditionalFormatting>
  <dataValidations disablePrompts="1" count="11">
    <dataValidation type="list" allowBlank="1" showInputMessage="1" showErrorMessage="1" sqref="K133:K142 O35:O38 K149:K158 O33 O42 O40">
      <formula1>$P$52:$P$55</formula1>
    </dataValidation>
    <dataValidation type="list" allowBlank="1" showInputMessage="1" showErrorMessage="1" sqref="C19 F19">
      <formula1>$H$52:$H$62</formula1>
    </dataValidation>
    <dataValidation type="list" allowBlank="1" showInputMessage="1" showErrorMessage="1" sqref="D24:D25">
      <formula1>$M$87:$M$91</formula1>
    </dataValidation>
    <dataValidation type="list" allowBlank="1" showInputMessage="1" showErrorMessage="1" sqref="N37:N38">
      <formula1>$H$52:$H$79</formula1>
    </dataValidation>
    <dataValidation type="list" allowBlank="1" showInputMessage="1" showErrorMessage="1" sqref="O39 O41">
      <formula1>$P$52:$P$62</formula1>
    </dataValidation>
    <dataValidation type="list" allowBlank="1" showInputMessage="1" showErrorMessage="1" sqref="M149:N158 W39:Y40 M133:N142">
      <formula1>$P$51:$P$53</formula1>
    </dataValidation>
    <dataValidation type="list" allowBlank="1" showInputMessage="1" showErrorMessage="1" sqref="W45:AC45">
      <formula1>$S$87:$S$89</formula1>
    </dataValidation>
    <dataValidation type="list" allowBlank="1" showInputMessage="1" showErrorMessage="1" sqref="AD46">
      <formula1>$X$65:$X$66</formula1>
    </dataValidation>
    <dataValidation type="list" allowBlank="1" showInputMessage="1" showErrorMessage="1" sqref="D27">
      <formula1>$M$100:$M$102</formula1>
    </dataValidation>
    <dataValidation type="list" allowBlank="1" showInputMessage="1" showErrorMessage="1" sqref="I121">
      <formula1>"RUS,INT"</formula1>
    </dataValidation>
    <dataValidation type="list" allowBlank="1" showInputMessage="1" showErrorMessage="1" sqref="J27">
      <formula1>$S$91:$S$107</formula1>
    </dataValidation>
  </dataValidations>
  <hyperlinks>
    <hyperlink ref="E24:F24" r:id="rId1" display="http://nav.tn.ru/upload/files/Instruction.xlsx"/>
    <hyperlink ref="E25:F25" r:id="rId2" display="http://nav.tn.ru/upload/files/Instruction.xlsx"/>
    <hyperlink ref="E27:F27" r:id="rId3" display="http://nav.tn.ru/upload/files/Instruction.xlsx"/>
    <hyperlink ref="E26:F26" r:id="rId4" display="http://nav.tn.ru/upload/files/Instruction.xlsx"/>
    <hyperlink ref="H1" location="ОБЩИЕ_ДАННЫЕ!C200" display="↓"/>
    <hyperlink ref="H193" location="ОБЩИЕ_ДАННЫЕ!A1" display="⇑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5"/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828" r:id="rId8" name="Button 124">
              <controlPr defaultSize="0" print="0" autoFill="0" autoPict="0" macro="[0]!Общданные_Очистить">
                <anchor moveWithCells="1" sizeWithCells="1">
                  <from>
                    <xdr:col>11</xdr:col>
                    <xdr:colOff>45720</xdr:colOff>
                    <xdr:row>192</xdr:row>
                    <xdr:rowOff>106680</xdr:rowOff>
                  </from>
                  <to>
                    <xdr:col>12</xdr:col>
                    <xdr:colOff>525780</xdr:colOff>
                    <xdr:row>194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9" r:id="rId9" name="Button 125">
              <controlPr defaultSize="0" print="0" autoFill="0" autoPict="0" macro="[0]!Общданные_Вставить">
                <anchor moveWithCells="1" sizeWithCells="1">
                  <from>
                    <xdr:col>8</xdr:col>
                    <xdr:colOff>30480</xdr:colOff>
                    <xdr:row>192</xdr:row>
                    <xdr:rowOff>106680</xdr:rowOff>
                  </from>
                  <to>
                    <xdr:col>9</xdr:col>
                    <xdr:colOff>601980</xdr:colOff>
                    <xdr:row>194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6" filterMode="1"/>
  <dimension ref="A1:BM1333"/>
  <sheetViews>
    <sheetView topLeftCell="A7"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hidden="1" customWidth="1" outlineLevel="1"/>
    <col min="16" max="16" width="11.6640625" style="1011" hidden="1" customWidth="1" outlineLevel="1"/>
    <col min="17" max="17" width="12.6640625" style="1011" hidden="1" customWidth="1" outlineLevel="1"/>
    <col min="18" max="18" width="11.6640625" style="1011" hidden="1" customWidth="1" outlineLevel="1"/>
    <col min="19" max="19" width="12" style="1011" hidden="1" customWidth="1" outlineLevel="1"/>
    <col min="20" max="20" width="11.6640625" style="1011" hidden="1" customWidth="1" outlineLevel="1"/>
    <col min="21" max="21" width="12.44140625" style="1011" hidden="1" customWidth="1" outlineLevel="1"/>
    <col min="22" max="23" width="11.6640625" style="1011" hidden="1" customWidth="1" outlineLevel="1"/>
    <col min="24" max="24" width="3.6640625" style="1011" customWidth="1" collapsed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1508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41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 ca="1"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>
        <v>41</v>
      </c>
      <c r="Q3" s="598" t="s">
        <v>117</v>
      </c>
      <c r="R3" s="600">
        <v>220</v>
      </c>
      <c r="S3" s="601" t="s">
        <v>118</v>
      </c>
      <c r="T3" s="602" t="s">
        <v>801</v>
      </c>
      <c r="U3" s="598" t="s">
        <v>119</v>
      </c>
      <c r="V3" s="599" t="s">
        <v>125</v>
      </c>
      <c r="W3" s="1035"/>
      <c r="Y3" s="429" t="s">
        <v>120</v>
      </c>
      <c r="Z3" s="430">
        <f>IF(V3=Y3,1,IF(V3=Y4,0,"-"))</f>
        <v>0</v>
      </c>
      <c r="AA3" s="427" t="s">
        <v>114</v>
      </c>
      <c r="AB3" s="1011" t="str">
        <f>IF(R4&lt;&gt;Y8,"-",R5)</f>
        <v>-</v>
      </c>
      <c r="AV3" s="267" t="e">
        <f ca="1">INDEX(AV5:AV13,MATCH(1,AY5:AY13,0))</f>
        <v>#N/A</v>
      </c>
      <c r="AW3" s="204"/>
      <c r="AX3" s="204"/>
      <c r="AY3" s="204"/>
      <c r="AZ3" s="204"/>
      <c r="BA3" s="204"/>
      <c r="BB3" s="268" t="e">
        <f ca="1"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>
        <v>40</v>
      </c>
      <c r="Q4" s="598" t="s">
        <v>122</v>
      </c>
      <c r="R4" s="599" t="s">
        <v>127</v>
      </c>
      <c r="S4" s="601" t="s">
        <v>123</v>
      </c>
      <c r="T4" s="602" t="s">
        <v>114</v>
      </c>
      <c r="U4" s="603" t="s">
        <v>124</v>
      </c>
      <c r="V4" s="600" t="s">
        <v>137</v>
      </c>
      <c r="X4" s="279"/>
      <c r="Y4" s="429" t="s">
        <v>125</v>
      </c>
      <c r="Z4" s="430">
        <f>IF(V3=Y4,1,IF(V3=Y3,0,"-"))</f>
        <v>1</v>
      </c>
      <c r="AA4" s="428">
        <f>IF(SUM(T81:T85,T88:T92,T95:T98,S101,S104,T133:T137,T141:T145,T149:T152,T156,S161)=0,0,IFERROR(ABS((100%-SUM(T81:T85,T88:T92,T95:T98,S101,S104,T133:T137,T141:T145,T149:T152,T156,S161)/ПР)),0))</f>
        <v>2.2204460492503131E-16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">
        <v>1533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53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ТИП1</v>
      </c>
      <c r="AC5" s="163" t="str">
        <f ca="1">HYPERLINK("#"&amp;AB5&amp;"!A1","1")</f>
        <v>1</v>
      </c>
      <c r="AD5" s="229">
        <f ca="1">_xlfn.SHEET()-2</f>
        <v>1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aca="1" ref="AY5" ca="1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aca="1" ref="BE5" ca="1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>КВ 1.7%</v>
      </c>
      <c r="Q6" s="1398" t="str">
        <f>IF(T3="нет"," ","Кол-во, шт.")</f>
        <v>Кол-во, шт.</v>
      </c>
      <c r="R6" s="1398" t="str">
        <f>IF(T3="нет"," ","Площадь, м2")</f>
        <v>Площадь, м2</v>
      </c>
      <c r="S6" s="1415" t="str">
        <f>IF(T3="нет"," ",IF(T3="PIR 1.7%","Площадь плит, м2","Объем плит, м3"))</f>
        <v>Объем плит, м3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aca="1" ref="AY6" ca="1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aca="1" ref="BE6" ca="1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1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aca="1" ref="AY7" ca="1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aca="1" ref="BE7" ca="1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>Плиты А</v>
      </c>
      <c r="Q8" s="1">
        <v>30</v>
      </c>
      <c r="R8" s="1">
        <v>21.179999999999996</v>
      </c>
      <c r="S8" s="836">
        <f>IF(OR(T3=Y14,T3=Y15),Q8*(0.0576/2),IF(T3=Y16,Q8*0.0144,IF(T3=Y17,Q8*0.0126,IF(T3=Y18,Q8*0.72," "))))</f>
        <v>0.86399999999999999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aca="1" ref="AY8" ca="1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aca="1" ref="BE8" ca="1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>Плиты Б</v>
      </c>
      <c r="Q9" s="1">
        <v>30</v>
      </c>
      <c r="R9" s="1">
        <v>19.309999999999999</v>
      </c>
      <c r="S9" s="836">
        <f>IF(OR(T3=Y14,T3=Y15),Q9*(0.0864/2),IF(T3=Y16,Q9*0.0288,IF(T3=Y17,Q9*0.03068,IF(T3=Y18,Q9*0.72," "))))</f>
        <v>1.296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aca="1" ref="AY9" ca="1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aca="1" ref="BE9" ca="1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>Плиты С</v>
      </c>
      <c r="Q10" s="1">
        <v>57</v>
      </c>
      <c r="R10" s="1">
        <v>38.619999999999997</v>
      </c>
      <c r="S10" s="836">
        <f>IF(OR(T3=Y14,T3=Y15),Q10*(0.0576/2),IF(T3=Y16,Q10*0.0288,IF(T3=Y17,Q10*0.036,IF(T3=Y18,Q10*0.72," "))))</f>
        <v>1.6415999999999999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aca="1" ref="AY10" ca="1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aca="1" ref="BE10" ca="1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aca="1" ref="AY11" ca="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aca="1" ref="BE11" ca="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1</v>
      </c>
      <c r="P12" s="104" t="str">
        <f>IF(V4=AA5," ","ВЫГРУЗКА КРЕПЕЖА")</f>
        <v>ВЫГРУЗКА КРЕПЕЖА</v>
      </c>
      <c r="Q12" s="104"/>
      <c r="S12" s="1401" t="str">
        <f>IF(V4="НЕТ"," ","Количество крепежа по ветровому расчету, на м2")</f>
        <v>Количество крепежа по ветровому расчету, на м2</v>
      </c>
      <c r="T12" s="1401"/>
      <c r="U12" s="1402">
        <f>IF(OR(V4=AA6,V4=AA7,V4=AA9,V4=AA10),4,IF(V4=AA8,0," "))</f>
        <v>4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 ca="1">SUM($I$13:$I$14,$I$16:$I$21,$I$23:$I$35,$I$23:$I$62,$I$63:$I$69,$I$83:$I$97,$I$101:$I$113,$I$115)</f>
        <v>2009.0026</v>
      </c>
      <c r="AD12" s="1412"/>
      <c r="AE12" s="266">
        <f>IF(AND(T3=Y13,T4=Y25),3.4,3.4)</f>
        <v>3.4</v>
      </c>
      <c r="AF12" s="295">
        <f>IF(AF13=0,0,COUNT(AF13))</f>
        <v>1</v>
      </c>
      <c r="AJ12" s="876" t="s">
        <v>739</v>
      </c>
      <c r="AL12" s="1"/>
      <c r="AV12" s="272" t="s">
        <v>1485</v>
      </c>
      <c r="AW12" s="1024"/>
      <c r="AX12" s="1024"/>
      <c r="AY12" s="1024">
        <f t="array" aca="1" ref="AY12" ca="1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1</v>
      </c>
      <c r="C13" s="626" t="s">
        <v>1436</v>
      </c>
      <c r="D13" s="627"/>
      <c r="E13" s="627"/>
      <c r="F13" s="627"/>
      <c r="G13" s="628"/>
      <c r="H13" s="608">
        <v>1.1499999999999999</v>
      </c>
      <c r="I13" s="609">
        <f t="shared" ref="I13" si="0">ROUNDUP(ПЛ*H13+ПР*(0.15+$R$3/1000+0.03),0)</f>
        <v>64</v>
      </c>
      <c r="J13" s="1042" t="s">
        <v>112</v>
      </c>
      <c r="K13" s="609"/>
      <c r="L13" s="610">
        <f>IFERROR(I13*K13,0)</f>
        <v>0</v>
      </c>
      <c r="N13" s="1032">
        <f>IF(OR(I13=" ",I13=0),0,1)</f>
        <v>1</v>
      </c>
      <c r="P13" s="104" t="str">
        <f>IF(V4=AA5," ","ВЫСОТА")</f>
        <v>ВЫСОТА</v>
      </c>
      <c r="Q13" s="104" t="str">
        <f>IF(V4=AA5," ","КОЛ-ВО")</f>
        <v>КОЛ-ВО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2</v>
      </c>
      <c r="AF13" s="295">
        <f>IF(AND((SUM(W21:W23)=0),T3=Y13,T4=Y19),0,ПЛ)</f>
        <v>41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hidden="1" customHeight="1" thickBot="1">
      <c r="B14" s="1037">
        <f>SUBTOTAL(3,$I$13:I14)</f>
        <v>1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1">
        <v>250</v>
      </c>
      <c r="Q14" s="1">
        <v>10</v>
      </c>
      <c r="S14" s="1396" t="str">
        <f>IF(AND(OR(V4="ДА",V4="ДА 6,3"),T3&lt;&gt;"НЕТ"),"Количество крепежа по клинам, на м2"," ")</f>
        <v>Количество крепежа по клинам, на м2</v>
      </c>
      <c r="T14" s="1396"/>
      <c r="U14" s="1397">
        <f>IFERROR(IF(AND(OR(V4="ДА",V4="ДА 6,3"),OR(T3=Y14,T3=Y15,T3=Y17,T3=Y16)),SUM(Q14:Q60,T21:T52)/ПЛ,IF(AND(OR(V4="ДА",V4="ДА 6,3"),T3=Y18),SUM(Q14:Q60,T21:T52)/ПЛ," ")),0)</f>
        <v>3.2195121951219514</v>
      </c>
      <c r="V14" s="1396" t="str">
        <f>IF(AND(OR(V4="ДА",V4="ДА 6,3"),T3&lt;&gt;"НЕТ"),"ДВР"," ")</f>
        <v>ДВР</v>
      </c>
      <c r="W14" s="1399">
        <f>IF(AND(OR(V4="ДА",V4="ДА 6,3"),T3&lt;&gt;"НЕТ"),4," ")</f>
        <v>4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1</v>
      </c>
      <c r="P15" s="1">
        <v>270</v>
      </c>
      <c r="Q15" s="1">
        <v>22</v>
      </c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1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2</v>
      </c>
      <c r="C16" s="626" t="s">
        <v>325</v>
      </c>
      <c r="D16" s="627"/>
      <c r="E16" s="627"/>
      <c r="F16" s="638">
        <v>50</v>
      </c>
      <c r="G16" s="628" t="s">
        <v>150</v>
      </c>
      <c r="H16" s="608">
        <v>1.03</v>
      </c>
      <c r="I16" s="711">
        <f>ПЛ*F16*H16*0.001</f>
        <v>2.1114999999999999</v>
      </c>
      <c r="J16" s="1042" t="s">
        <v>178</v>
      </c>
      <c r="K16" s="609"/>
      <c r="L16" s="610">
        <f t="shared" ref="L16:L21" si="1">IFERROR(I16*K16,0)</f>
        <v>0</v>
      </c>
      <c r="N16" s="1032">
        <f t="shared" ref="N16:N21" si="2">IF(OR(I16=" ",I16=0),0,1)</f>
        <v>1</v>
      </c>
      <c r="P16" s="1">
        <v>290</v>
      </c>
      <c r="Q16" s="1">
        <v>22</v>
      </c>
      <c r="S16" s="1396" t="str">
        <f>IF(AND(OR(V4="ДА",V4="ДА 6,3"),T3&lt;&gt;"НЕТ"),"Общее количество крепежа на м2"," ")</f>
        <v>Общее количество крепежа на м2</v>
      </c>
      <c r="T16" s="1396"/>
      <c r="U16" s="1397">
        <f>IF(AND(OR(V4="ДА",V4="ДА 6,3"),T3&lt;&gt;"НЕТ"),U14+U12," ")</f>
        <v>7.2195121951219514</v>
      </c>
      <c r="V16" s="1399" t="str">
        <f>IF(AND(OR(V4="ДА",V4="ДА 6,3"),T3&lt;&gt;"НЕТ"),"РРК"," ")</f>
        <v>РРК</v>
      </c>
      <c r="W16" s="1399">
        <f>IF(AND(OR(V4="ДА",V4="ДА 6,3"),OR(T3=Y14,T3=Y15,T3=Y17,T3=Y16)),3.5+W14,IF(AND(OR(V4="ДА",V4="ДА 6,3"),T3=Y18),3.5+W14," "))</f>
        <v>7.5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3</v>
      </c>
      <c r="C17" s="626" t="s">
        <v>321</v>
      </c>
      <c r="D17" s="627"/>
      <c r="E17" s="627"/>
      <c r="F17" s="638">
        <v>170</v>
      </c>
      <c r="G17" s="628" t="s">
        <v>150</v>
      </c>
      <c r="H17" s="608">
        <v>1.03</v>
      </c>
      <c r="I17" s="711">
        <f>ПЛ*F17*H17*0.001</f>
        <v>7.1791000000000009</v>
      </c>
      <c r="J17" s="1042" t="s">
        <v>178</v>
      </c>
      <c r="K17" s="609"/>
      <c r="L17" s="610">
        <f t="shared" si="1"/>
        <v>0</v>
      </c>
      <c r="N17" s="1032">
        <f t="shared" si="2"/>
        <v>1</v>
      </c>
      <c r="P17" s="1">
        <v>310</v>
      </c>
      <c r="Q17" s="1">
        <v>22</v>
      </c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hidden="1" customHeight="1" thickBot="1">
      <c r="B18" s="1037">
        <f>SUBTOTAL(3,$I$13:I18)</f>
        <v>3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1"/>
        <v>0</v>
      </c>
      <c r="N18" s="1032">
        <f t="shared" si="2"/>
        <v>0</v>
      </c>
      <c r="P18" s="1">
        <v>330</v>
      </c>
      <c r="Q18" s="1">
        <v>22</v>
      </c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hidden="1" customHeight="1" thickBot="1">
      <c r="B19" s="1037">
        <f>SUBTOTAL(3,$I$13:I19)</f>
        <v>3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1"/>
        <v>0</v>
      </c>
      <c r="N19" s="1032">
        <f t="shared" si="2"/>
        <v>0</v>
      </c>
      <c r="P19" s="1">
        <v>350</v>
      </c>
      <c r="Q19" s="1">
        <v>22</v>
      </c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hidden="1" customHeight="1" thickBot="1">
      <c r="B20" s="1037">
        <f>SUBTOTAL(3,$I$13:I20)</f>
        <v>3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1"/>
        <v>0</v>
      </c>
      <c r="N20" s="1032">
        <f t="shared" si="2"/>
        <v>0</v>
      </c>
      <c r="P20" s="1">
        <v>360</v>
      </c>
      <c r="Q20" s="1">
        <v>12</v>
      </c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1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hidden="1" customHeight="1" thickBot="1">
      <c r="B21" s="1037">
        <f>SUBTOTAL(3,$I$13:I21)</f>
        <v>3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1"/>
        <v>0</v>
      </c>
      <c r="N21" s="1032">
        <f t="shared" si="2"/>
        <v>0</v>
      </c>
      <c r="P21" s="255"/>
      <c r="Q21" s="255"/>
      <c r="S21" s="1035"/>
      <c r="T21" s="1035"/>
      <c r="U21" s="111"/>
      <c r="V21" s="293" t="s">
        <v>417</v>
      </c>
      <c r="W21" s="1">
        <v>2</v>
      </c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1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 ca="1">IF(SUM(I23:I35)&gt;0,1,0)</f>
        <v>1</v>
      </c>
      <c r="P22" s="255"/>
      <c r="Q22" s="255"/>
      <c r="S22" s="1035"/>
      <c r="T22" s="1035"/>
      <c r="U22" s="112"/>
      <c r="V22" s="293" t="s">
        <v>292</v>
      </c>
      <c r="W22" s="1">
        <v>0</v>
      </c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1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 ca="1">SUBTOTAL(3,$I$13:I23)</f>
        <v>4</v>
      </c>
      <c r="C23" s="626" t="s">
        <v>1152</v>
      </c>
      <c r="D23" s="627"/>
      <c r="E23" s="627"/>
      <c r="F23" s="627"/>
      <c r="G23" s="628"/>
      <c r="H23" s="608">
        <v>1.1499999999999999</v>
      </c>
      <c r="I23" s="609">
        <f ca="1">ROUNDUP((ПЛ*0.006*H23+$AC$186+N("ГИ на ограждение")),0)</f>
        <v>1</v>
      </c>
      <c r="J23" s="1042" t="s">
        <v>112</v>
      </c>
      <c r="K23" s="609"/>
      <c r="L23" s="610">
        <f>IFERROR(#REF!*K23,0)</f>
        <v>0</v>
      </c>
      <c r="N23" s="1032">
        <f t="shared" ref="N23:N33" ca="1" si="3">IF(OR(I23=" ",I23=0),0,1)</f>
        <v>1</v>
      </c>
      <c r="P23" s="255"/>
      <c r="Q23" s="255"/>
      <c r="S23" s="1035"/>
      <c r="T23" s="1035"/>
      <c r="U23" s="112"/>
      <c r="V23" s="293" t="s">
        <v>418</v>
      </c>
      <c r="W23" s="1">
        <v>0</v>
      </c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aca="1" ref="AY23" ca="1">IF(OR(AV23=$C$23:$C$61),1,0)</f>
        <v>1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 ca="1">SUBTOTAL(3,$I$13:I24)</f>
        <v>5</v>
      </c>
      <c r="C24" s="626" t="s">
        <v>442</v>
      </c>
      <c r="D24" s="627"/>
      <c r="E24" s="627"/>
      <c r="F24" s="627"/>
      <c r="G24" s="628"/>
      <c r="H24" s="608">
        <v>1</v>
      </c>
      <c r="I24" s="609">
        <f>ROUNDUP(ПЛ*0.0005/3+N("/3 - перевод в канистры"),0)</f>
        <v>1</v>
      </c>
      <c r="J24" s="1042" t="s">
        <v>151</v>
      </c>
      <c r="K24" s="609"/>
      <c r="L24" s="610">
        <f>IFERROR(#REF!*K24,0)</f>
        <v>0</v>
      </c>
      <c r="N24" s="1032">
        <f t="shared" si="3"/>
        <v>1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aca="1" ref="AY24" ca="1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 ca="1">SUBTOTAL(3,$I$13:I25)</f>
        <v>6</v>
      </c>
      <c r="C25" s="626" t="s">
        <v>742</v>
      </c>
      <c r="D25" s="627"/>
      <c r="E25" s="627"/>
      <c r="F25" s="627"/>
      <c r="G25" s="628"/>
      <c r="H25" s="608">
        <v>1</v>
      </c>
      <c r="I25" s="609">
        <f>ROUNDUP(ПЛ/235,0)</f>
        <v>1</v>
      </c>
      <c r="J25" s="1042" t="s">
        <v>151</v>
      </c>
      <c r="K25" s="609"/>
      <c r="L25" s="610">
        <f t="shared" ref="L25:L33" si="4">IFERROR(I25*K25,0)</f>
        <v>0</v>
      </c>
      <c r="N25" s="1032">
        <f t="shared" si="3"/>
        <v>1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aca="1" ref="AY25" ca="1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 ca="1">SUBTOTAL(3,$I$13:I26)</f>
        <v>7</v>
      </c>
      <c r="C26" s="626" t="s">
        <v>194</v>
      </c>
      <c r="D26" s="627"/>
      <c r="E26" s="627"/>
      <c r="F26" s="627"/>
      <c r="G26" s="628"/>
      <c r="H26" s="608">
        <v>1.1499999999999999</v>
      </c>
      <c r="I26" s="609">
        <f>ROUNDUP(ПЛ*H26,0)</f>
        <v>48</v>
      </c>
      <c r="J26" s="1042" t="s">
        <v>112</v>
      </c>
      <c r="K26" s="609"/>
      <c r="L26" s="610">
        <f t="shared" si="4"/>
        <v>0</v>
      </c>
      <c r="N26" s="1032">
        <f t="shared" si="3"/>
        <v>1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IF(AK24&gt;0,ТИП1!ПЛ*7,0)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aca="1" ref="AY26" ca="1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 ca="1">SUBTOTAL(3,$I$13:I27)</f>
        <v>8</v>
      </c>
      <c r="C27" s="629" t="s">
        <v>529</v>
      </c>
      <c r="D27" s="630"/>
      <c r="E27" s="630"/>
      <c r="F27" s="630"/>
      <c r="G27" s="631"/>
      <c r="H27" s="680">
        <v>1</v>
      </c>
      <c r="I27" s="681">
        <f>ROUNDUP((0.004*ПЛ),0)</f>
        <v>1</v>
      </c>
      <c r="J27" s="682" t="s">
        <v>151</v>
      </c>
      <c r="K27" s="609"/>
      <c r="L27" s="610">
        <f t="shared" si="4"/>
        <v>0</v>
      </c>
      <c r="N27" s="1032">
        <f t="shared" si="3"/>
        <v>1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aca="1" ref="AY27" ca="1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hidden="1" customHeight="1">
      <c r="B28" s="1037">
        <f ca="1">SUBTOTAL(3,$I$13:I28)</f>
        <v>8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4"/>
        <v>0</v>
      </c>
      <c r="N28" s="1032">
        <f t="shared" si="3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aca="1" ref="AY28" ca="1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hidden="1" customHeight="1">
      <c r="B29" s="1037">
        <f ca="1">SUBTOTAL(3,$I$13:I29)</f>
        <v>8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4"/>
        <v>0</v>
      </c>
      <c r="N29" s="1032">
        <f t="shared" si="3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aca="1" ref="AY29" ca="1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hidden="1" customHeight="1">
      <c r="B30" s="1037">
        <f ca="1">SUBTOTAL(3,$I$13:I30)</f>
        <v>8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4"/>
        <v>0</v>
      </c>
      <c r="N30" s="1032">
        <f t="shared" si="3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aca="1" ref="AY30" ca="1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hidden="1" customHeight="1" thickBot="1">
      <c r="B31" s="1037">
        <f ca="1">SUBTOTAL(3,$I$13:I31)</f>
        <v>8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4"/>
        <v>0</v>
      </c>
      <c r="N31" s="1032">
        <f t="shared" si="3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aca="1" ref="AY31" ca="1">IF(OR(AV31=$C$23:$C$61),1,0)</f>
        <v>0</v>
      </c>
      <c r="AZ31" s="1024"/>
      <c r="BA31" s="159" t="str">
        <f ca="1">INDEX(AV23:AV43,MATCH(1,AY23:AY43,0))</f>
        <v>ПВХ мембрана LOGICROOF V-RP (1.2 мм)</v>
      </c>
      <c r="BB31" s="1024"/>
      <c r="BC31" s="1024"/>
      <c r="BD31" s="1024"/>
      <c r="BE31" s="206"/>
    </row>
    <row r="32" spans="1:57" ht="15" hidden="1" customHeight="1">
      <c r="B32" s="1037">
        <f ca="1">SUBTOTAL(3,$I$13:I32)</f>
        <v>8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4"/>
        <v>0</v>
      </c>
      <c r="N32" s="1032">
        <f t="shared" si="3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aca="1" ref="AY32" ca="1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hidden="1" customHeight="1">
      <c r="B33" s="1037">
        <f ca="1">SUBTOTAL(3,$I$13:I33)</f>
        <v>8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4"/>
        <v>0</v>
      </c>
      <c r="N33" s="1032">
        <f t="shared" si="3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aca="1" ref="AY33" ca="1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hidden="1" customHeight="1" thickBot="1">
      <c r="B34" s="1037">
        <f ca="1">SUBTOTAL(3,$I$13:I34)</f>
        <v>8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aca="1" ref="AY34" ca="1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hidden="1" customHeight="1">
      <c r="B35" s="1037">
        <f ca="1">SUBTOTAL(3,$I$13:I35)</f>
        <v>8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aca="1" ref="AY35" ca="1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 ca="1">SUM(L37:L61)</f>
        <v>0</v>
      </c>
      <c r="N36" s="1032">
        <f ca="1">IF(SUM(I23:I61)&gt;0,1,0)</f>
        <v>1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aca="1" ref="AY36" ca="1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 ca="1">SUBTOTAL(3,$I$13:I37)</f>
        <v>9</v>
      </c>
      <c r="C37" s="626" t="s">
        <v>477</v>
      </c>
      <c r="D37" s="627"/>
      <c r="E37" s="627"/>
      <c r="F37" s="627"/>
      <c r="G37" s="628"/>
      <c r="H37" s="608">
        <v>1</v>
      </c>
      <c r="I37" s="611">
        <f>IFERROR($T$112*H37,0)</f>
        <v>4</v>
      </c>
      <c r="J37" s="1042" t="s">
        <v>151</v>
      </c>
      <c r="K37" s="609"/>
      <c r="L37" s="610">
        <f ca="1">IFERROR(I23*K37,0)</f>
        <v>0</v>
      </c>
      <c r="N37" s="1032">
        <f ca="1">IF(OR(I23=" ",I23=0),0,1)</f>
        <v>1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aca="1" ref="AY37" ca="1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 ca="1">SUBTOTAL(3,$I$13:I38)</f>
        <v>10</v>
      </c>
      <c r="C38" s="626" t="s">
        <v>1090</v>
      </c>
      <c r="D38" s="627"/>
      <c r="E38" s="627"/>
      <c r="F38" s="627"/>
      <c r="G38" s="628" t="str">
        <f t="shared" ref="G38:G45" si="5">" "</f>
        <v xml:space="preserve"> </v>
      </c>
      <c r="H38" s="608">
        <v>5</v>
      </c>
      <c r="I38" s="611">
        <f>IFERROR(ROUNDUP(ТЭ*H38*1.03,0),0)</f>
        <v>31</v>
      </c>
      <c r="J38" s="1042" t="s">
        <v>151</v>
      </c>
      <c r="K38" s="609"/>
      <c r="L38" s="610">
        <f>IFERROR(I24*K38,0)</f>
        <v>0</v>
      </c>
      <c r="N38" s="1032">
        <f>IF(OR(I24=" ",I24=0),0,1)</f>
        <v>1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aca="1" ref="AY38" ca="1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 ca="1">SUBTOTAL(3,$I$13:I39)</f>
        <v>11</v>
      </c>
      <c r="C39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39" s="627"/>
      <c r="E39" s="627"/>
      <c r="F39" s="627"/>
      <c r="G39" s="628" t="str">
        <f t="shared" si="5"/>
        <v xml:space="preserve"> </v>
      </c>
      <c r="H39" s="608">
        <v>1.03</v>
      </c>
      <c r="I39" s="614">
        <f>IFERROR(ROUNDUP(ПКР*H39,2),0)</f>
        <v>35.129999999999995</v>
      </c>
      <c r="J39" s="1042" t="s">
        <v>264</v>
      </c>
      <c r="K39" s="609"/>
      <c r="L39" s="610">
        <f t="shared" ref="L39:L61" si="6">IFERROR(I39*K39,0)</f>
        <v>0</v>
      </c>
      <c r="N39" s="1032">
        <f t="shared" ref="N39:N60" si="7">IF(OR(I39=" ",I39=0),0,1)</f>
        <v>1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aca="1" ref="AY39" ca="1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 ca="1">SUBTOTAL(3,$I$13:I40)</f>
        <v>12</v>
      </c>
      <c r="C40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0" s="627"/>
      <c r="E40" s="627"/>
      <c r="F40" s="627"/>
      <c r="G40" s="628" t="str">
        <f t="shared" si="5"/>
        <v xml:space="preserve"> </v>
      </c>
      <c r="H40" s="608">
        <v>1.03</v>
      </c>
      <c r="I40" s="614">
        <f>IFERROR(ROUNDUP(ППР*H40,2),0)</f>
        <v>35.129999999999995</v>
      </c>
      <c r="J40" s="1042" t="s">
        <v>264</v>
      </c>
      <c r="K40" s="609"/>
      <c r="L40" s="610">
        <f t="shared" si="6"/>
        <v>0</v>
      </c>
      <c r="N40" s="1032">
        <f t="shared" si="7"/>
        <v>1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aca="1" ref="AY40" ca="1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 ca="1">SUBTOTAL(3,$I$13:I41)</f>
        <v>13</v>
      </c>
      <c r="C41" s="626" t="s">
        <v>559</v>
      </c>
      <c r="D41" s="627"/>
      <c r="E41" s="627"/>
      <c r="F41" s="627"/>
      <c r="G41" s="628" t="str">
        <f t="shared" si="5"/>
        <v xml:space="preserve"> </v>
      </c>
      <c r="H41" s="608">
        <v>5</v>
      </c>
      <c r="I41" s="611">
        <f>IFERROR(ROUNDUP(СМРЗ.МЕТ*H41*1.03,0),0)</f>
        <v>145</v>
      </c>
      <c r="J41" s="1042" t="s">
        <v>151</v>
      </c>
      <c r="K41" s="609"/>
      <c r="L41" s="610">
        <f t="shared" si="6"/>
        <v>0</v>
      </c>
      <c r="N41" s="1032">
        <f t="shared" si="7"/>
        <v>1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aca="1" ref="AY41" ca="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 ca="1">SUBTOTAL(3,$I$13:I42)</f>
        <v>14</v>
      </c>
      <c r="C42" s="626" t="s">
        <v>189</v>
      </c>
      <c r="D42" s="627"/>
      <c r="E42" s="627"/>
      <c r="F42" s="627"/>
      <c r="G42" s="628" t="str">
        <f t="shared" si="5"/>
        <v xml:space="preserve"> </v>
      </c>
      <c r="H42" s="608">
        <v>5</v>
      </c>
      <c r="I42" s="611">
        <f>IFERROR(ROUNDUP(АНКЕР,0),0)</f>
        <v>315</v>
      </c>
      <c r="J42" s="1042" t="s">
        <v>151</v>
      </c>
      <c r="K42" s="609"/>
      <c r="L42" s="610">
        <f t="shared" si="6"/>
        <v>0</v>
      </c>
      <c r="N42" s="1032">
        <f t="shared" si="7"/>
        <v>1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aca="1" ref="AY42" ca="1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 ca="1">SUBTOTAL(3,$I$13:I43)</f>
        <v>15</v>
      </c>
      <c r="C43" s="626" t="s">
        <v>1459</v>
      </c>
      <c r="D43" s="627"/>
      <c r="E43" s="627"/>
      <c r="F43" s="627"/>
      <c r="G43" s="628" t="str">
        <f t="shared" si="5"/>
        <v xml:space="preserve"> </v>
      </c>
      <c r="H43" s="608">
        <v>5</v>
      </c>
      <c r="I43" s="611">
        <f>IFERROR(ROUNDUP(СМРЗ.БЕТ*H43*1.03,0),0)+$I$1141</f>
        <v>243</v>
      </c>
      <c r="J43" s="1042" t="s">
        <v>151</v>
      </c>
      <c r="K43" s="609"/>
      <c r="L43" s="610">
        <f t="shared" si="6"/>
        <v>0</v>
      </c>
      <c r="N43" s="1032">
        <f t="shared" si="7"/>
        <v>1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aca="1" ref="AY43" ca="1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 ca="1">SUBTOTAL(3,$I$13:I44)</f>
        <v>16</v>
      </c>
      <c r="C44" s="626" t="s">
        <v>192</v>
      </c>
      <c r="D44" s="627"/>
      <c r="E44" s="627"/>
      <c r="F44" s="627"/>
      <c r="G44" s="628" t="str">
        <f t="shared" si="5"/>
        <v xml:space="preserve"> </v>
      </c>
      <c r="H44" s="608">
        <v>1.1000000000000001</v>
      </c>
      <c r="I44" s="609">
        <f>IFERROR(ROUNDUP(ГнП*H44+IFERROR(IF($R$110=$AA$16,$T$110*1.9,0),0),0),0)</f>
        <v>3</v>
      </c>
      <c r="J44" s="1042" t="s">
        <v>112</v>
      </c>
      <c r="K44" s="609"/>
      <c r="L44" s="610">
        <f t="shared" si="6"/>
        <v>0</v>
      </c>
      <c r="N44" s="1032">
        <f t="shared" si="7"/>
        <v>1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 ca="1">SUBTOTAL(3,$I$13:I45)</f>
        <v>17</v>
      </c>
      <c r="C45" s="626" t="s">
        <v>936</v>
      </c>
      <c r="D45" s="627"/>
      <c r="E45" s="627"/>
      <c r="F45" s="627"/>
      <c r="G45" s="628" t="str">
        <f t="shared" si="5"/>
        <v xml:space="preserve"> </v>
      </c>
      <c r="H45" s="608">
        <v>0.15</v>
      </c>
      <c r="I45" s="611">
        <f ca="1">IFERROR(ROUNDUP((ПКР*H45+$F$1035*0.025)*1000/600+$T$108*300/600+$AD$186+N("герметик на ограждения"),0),0)</f>
        <v>9</v>
      </c>
      <c r="J45" s="1042" t="s">
        <v>151</v>
      </c>
      <c r="K45" s="609"/>
      <c r="L45" s="610">
        <f t="shared" ca="1" si="6"/>
        <v>0</v>
      </c>
      <c r="N45" s="1032">
        <f t="shared" ca="1" si="7"/>
        <v>1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 ca="1">SUBTOTAL(3,$I$13:I46)</f>
        <v>18</v>
      </c>
      <c r="C46" s="626" t="s">
        <v>408</v>
      </c>
      <c r="D46" s="627"/>
      <c r="E46" s="627"/>
      <c r="F46" s="721"/>
      <c r="G46" s="628" t="str">
        <f>CONCATENATE(($S$101+$U$106)," м")</f>
        <v>5,9 м</v>
      </c>
      <c r="H46" s="608">
        <v>1.05</v>
      </c>
      <c r="I46" s="614">
        <f>ROUNDUP(($S$101+$U$106)*H46*0.33+N("полоса шириной 2 метра поделенная на 6 частей по 33 см"),2)</f>
        <v>2.0499999999999998</v>
      </c>
      <c r="J46" s="1042" t="s">
        <v>112</v>
      </c>
      <c r="K46" s="609"/>
      <c r="L46" s="610">
        <f t="shared" si="6"/>
        <v>0</v>
      </c>
      <c r="N46" s="1032">
        <f t="shared" si="7"/>
        <v>1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 ca="1">SUBTOTAL(3,$I$13:I47)</f>
        <v>19</v>
      </c>
      <c r="C47" s="626" t="s">
        <v>194</v>
      </c>
      <c r="D47" s="627"/>
      <c r="E47" s="627"/>
      <c r="F47" s="627"/>
      <c r="G47" s="628" t="str">
        <f>" "</f>
        <v xml:space="preserve"> </v>
      </c>
      <c r="H47" s="608">
        <v>1.1499999999999999</v>
      </c>
      <c r="I47" s="609">
        <f>IFERROR(ROUNDUP(парапетВ*H47+IFERROR(IF($R$110=$AA$16,($T$110*1.05*1.15),0),0),0),0)</f>
        <v>39</v>
      </c>
      <c r="J47" s="1042" t="s">
        <v>112</v>
      </c>
      <c r="K47" s="609"/>
      <c r="L47" s="610">
        <f t="shared" si="6"/>
        <v>0</v>
      </c>
      <c r="N47" s="1032">
        <f t="shared" si="7"/>
        <v>1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 ca="1">SUBTOTAL(3,$I$13:I48)</f>
        <v>20</v>
      </c>
      <c r="C48" s="626" t="s">
        <v>531</v>
      </c>
      <c r="D48" s="627"/>
      <c r="E48" s="627"/>
      <c r="F48" s="656">
        <v>100</v>
      </c>
      <c r="G48" s="628" t="s">
        <v>150</v>
      </c>
      <c r="H48" s="608" t="s">
        <v>296</v>
      </c>
      <c r="I48" s="609">
        <v>74</v>
      </c>
      <c r="J48" s="1042" t="s">
        <v>190</v>
      </c>
      <c r="K48" s="609"/>
      <c r="L48" s="610">
        <f t="shared" si="6"/>
        <v>0</v>
      </c>
      <c r="N48" s="1032">
        <f t="shared" si="7"/>
        <v>1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 ca="1">SUBTOTAL(3,$I$13:I49)</f>
        <v>21</v>
      </c>
      <c r="C49" s="626" t="s">
        <v>268</v>
      </c>
      <c r="D49" s="627"/>
      <c r="E49" s="627"/>
      <c r="F49" s="656">
        <v>20</v>
      </c>
      <c r="G49" s="628" t="s">
        <v>150</v>
      </c>
      <c r="H49" s="608" t="s">
        <v>296</v>
      </c>
      <c r="I49" s="609">
        <v>74</v>
      </c>
      <c r="J49" s="1042" t="s">
        <v>190</v>
      </c>
      <c r="K49" s="609"/>
      <c r="L49" s="610">
        <f t="shared" si="6"/>
        <v>0</v>
      </c>
      <c r="N49" s="1032">
        <f t="shared" si="7"/>
        <v>1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 ca="1">SUBTOTAL(3,$I$13:I50)</f>
        <v>22</v>
      </c>
      <c r="C50" s="626" t="s">
        <v>321</v>
      </c>
      <c r="D50" s="640"/>
      <c r="E50" s="640"/>
      <c r="F50" s="656">
        <v>50</v>
      </c>
      <c r="G50" s="628" t="s">
        <v>150</v>
      </c>
      <c r="H50" s="608">
        <v>1.03</v>
      </c>
      <c r="I50" s="711">
        <v>0.6</v>
      </c>
      <c r="J50" s="1042" t="s">
        <v>178</v>
      </c>
      <c r="K50" s="609"/>
      <c r="L50" s="610">
        <f t="shared" si="6"/>
        <v>0</v>
      </c>
      <c r="N50" s="1032">
        <f>IF(OR(I50=" ",I50=0),0,1)</f>
        <v>1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hidden="1" customHeight="1">
      <c r="B51" s="1037">
        <f ca="1">SUBTOTAL(3,$I$13:I51)</f>
        <v>22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6"/>
        <v>0</v>
      </c>
      <c r="N51" s="1032">
        <f t="shared" ref="N51:N56" si="8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hidden="1" customHeight="1">
      <c r="B52" s="1037">
        <f ca="1">SUBTOTAL(3,$I$13:I52)</f>
        <v>22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6"/>
        <v>0</v>
      </c>
      <c r="N52" s="1032">
        <f t="shared" si="8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hidden="1" customHeight="1">
      <c r="B53" s="1037">
        <f ca="1">SUBTOTAL(3,$I$13:I53)</f>
        <v>22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6"/>
        <v>0</v>
      </c>
      <c r="N53" s="1032">
        <f t="shared" si="8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hidden="1" customHeight="1">
      <c r="B54" s="1037">
        <f ca="1">SUBTOTAL(3,$I$13:I54)</f>
        <v>22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6"/>
        <v>0</v>
      </c>
      <c r="N54" s="1032">
        <f t="shared" si="8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hidden="1" customHeight="1">
      <c r="B55" s="1037">
        <f ca="1">SUBTOTAL(3,$I$13:I55)</f>
        <v>22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6"/>
        <v>0</v>
      </c>
      <c r="N55" s="1032">
        <f t="shared" si="8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hidden="1" customHeight="1">
      <c r="B56" s="1037">
        <f ca="1">SUBTOTAL(3,$I$13:I56)</f>
        <v>22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6"/>
        <v>0</v>
      </c>
      <c r="N56" s="1032">
        <f t="shared" si="8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hidden="1" customHeight="1">
      <c r="B57" s="1037">
        <f ca="1">SUBTOTAL(3,$I$13:I57)</f>
        <v>22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6"/>
        <v>0</v>
      </c>
      <c r="N57" s="1032">
        <f t="shared" si="7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hidden="1" customHeight="1">
      <c r="B58" s="1037">
        <f ca="1">SUBTOTAL(3,$I$13:I58)</f>
        <v>22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6"/>
        <v>0</v>
      </c>
      <c r="N58" s="1032">
        <f t="shared" si="7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hidden="1" customHeight="1">
      <c r="B59" s="1037">
        <f ca="1">SUBTOTAL(3,$I$13:I59)</f>
        <v>22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6"/>
        <v>0</v>
      </c>
      <c r="N59" s="1032">
        <f t="shared" si="7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hidden="1" customHeight="1">
      <c r="B60" s="1037">
        <f ca="1">SUBTOTAL(3,$I$13:I60)</f>
        <v>22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6"/>
        <v>0</v>
      </c>
      <c r="N60" s="1032">
        <f t="shared" si="7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hidden="1" customHeight="1">
      <c r="B61" s="1037">
        <f ca="1">SUBTOTAL(3,$I$13:I61)</f>
        <v>22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6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1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 ca="1">SUBTOTAL(3,$I$13:I63)</f>
        <v>23</v>
      </c>
      <c r="C63" s="1395" t="str">
        <f>IF(T3=Y13,"",IF(T3=Y14,C1079,IF(T3=Y15,C1090,IF(T3=Y16,C1097,IF(T3=Y17,C1099,C1113)))))</f>
        <v>ТЕХНОРУФ Н ПРОФ КЛИН (1.7 % элемент А)</v>
      </c>
      <c r="D63" s="1395"/>
      <c r="E63" s="1395"/>
      <c r="F63" s="1395"/>
      <c r="G63" s="1395"/>
      <c r="H63" s="1037"/>
      <c r="I63" s="837">
        <f>IF(T3=Y13,"",IF(T3=Y14,I1079,IF(T3=Y15,I1090,IF(T3=Y16,I1097,IF(T3=Y17,I1099,I1113)))))</f>
        <v>0.86399999999999999</v>
      </c>
      <c r="J63" s="1037" t="str">
        <f>IF(T3=Y13," ",IF(OR(T3=Y14,T3=Y15),J1079,IF(OR(T3=Y16,T3=Y17),J1097,J1113)))</f>
        <v>м3</v>
      </c>
      <c r="K63" s="609"/>
      <c r="L63" s="610">
        <f t="shared" ref="L63:L69" si="9">IFERROR(I63*K63,0)</f>
        <v>0</v>
      </c>
      <c r="N63" s="1032">
        <f t="shared" ref="N63:N69" si="10">IF(I63="",0,1)</f>
        <v>1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 ca="1">SUBTOTAL(3,$I$13:I64)</f>
        <v>24</v>
      </c>
      <c r="C64" s="1125" t="str">
        <f>IF(T3=Y13,"",IF(T3=Y14,C1080,IF(T3=Y15,C1091,IF(T3=Y17,C1100,IF(T3=Y16,C1098,C1114)))))</f>
        <v>ТЕХНОРУФ Н ПРОФ КЛИН (1.7 % элемент Б)</v>
      </c>
      <c r="D64" s="1125"/>
      <c r="E64" s="1125"/>
      <c r="F64" s="1125"/>
      <c r="G64" s="1125"/>
      <c r="H64" s="1037"/>
      <c r="I64" s="837">
        <f>IF(T3=Y13,"",IF(T3=Y14,I1080,IF(T3=Y15,I1091,IF(T3=Y16,I1098,IF(T3=Y17,I1100,I1114)))))</f>
        <v>1.296</v>
      </c>
      <c r="J64" s="1037" t="str">
        <f>IF(T3=Y13," ",IF(OR(T3=Y14,T3=Y15),J1080,IF(OR(T3=Y16,T3=Y17),J1098,J1114)))</f>
        <v>м3</v>
      </c>
      <c r="K64" s="609"/>
      <c r="L64" s="610">
        <f t="shared" si="9"/>
        <v>0</v>
      </c>
      <c r="N64" s="1032">
        <f t="shared" si="10"/>
        <v>1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 ca="1">SUBTOTAL(3,$I$13:I65)</f>
        <v>25</v>
      </c>
      <c r="C65" s="1125" t="str">
        <f>IF(T3=Y13,"",IF(T3=Y14,C1081,IF(T3=Y15,C1092,IF(T3=Y16,C1101,IF(T3=Y17,C1102,C1115)))))</f>
        <v>ТЕХНОРУФ Н ПРОФ КЛИН (1.7 % элемент С)</v>
      </c>
      <c r="D65" s="1125"/>
      <c r="E65" s="1125"/>
      <c r="F65" s="1125"/>
      <c r="G65" s="1125"/>
      <c r="H65" s="1037"/>
      <c r="I65" s="837">
        <f>IF(T3=Y13,"",IF(T3=Y14,I1081,IF(T3=Y15,I1092,IF(T3=Y16,I1101,IF(T3=Y17,I1102,I1115)))))</f>
        <v>1.6419999999999999</v>
      </c>
      <c r="J65" s="1037" t="str">
        <f>IF(T3=Y13," ",IF(OR(T3=Y14,T3=Y15),J1081,IF(OR(T3=Y16,T3=Y17),J1101,J1115)))</f>
        <v>м3</v>
      </c>
      <c r="K65" s="609"/>
      <c r="L65" s="610">
        <f t="shared" si="9"/>
        <v>0</v>
      </c>
      <c r="N65" s="1032">
        <f t="shared" si="10"/>
        <v>1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hidden="1" customHeight="1">
      <c r="B66" s="1037">
        <f ca="1">SUBTOTAL(3,$I$13:I66)</f>
        <v>25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9"/>
        <v>0</v>
      </c>
      <c r="N66" s="1032">
        <f t="shared" si="10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hidden="1" customHeight="1">
      <c r="B67" s="1037">
        <f ca="1">SUBTOTAL(3,$I$13:I67)</f>
        <v>25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9"/>
        <v>0</v>
      </c>
      <c r="N67" s="1032">
        <f t="shared" si="10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hidden="1" customHeight="1">
      <c r="B68" s="1037">
        <f ca="1">SUBTOTAL(3,$I$13:I68)</f>
        <v>25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9"/>
        <v>0</v>
      </c>
      <c r="N68" s="1032">
        <f t="shared" si="10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hidden="1" customHeight="1">
      <c r="B69" s="1037">
        <f ca="1">SUBTOTAL(3,$I$13:I69)</f>
        <v>25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9"/>
        <v>0</v>
      </c>
      <c r="N69" s="1032">
        <f t="shared" si="10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 ca="1">IF(SUM(I23:I35,I23:I62)&gt;0,"* Позиции носят рекомендательный характер","")</f>
        <v>* Позиции носят рекомендательный характер</v>
      </c>
      <c r="N70" s="1032">
        <f ca="1">IF(SUM(I23:I35,I23:I62)&gt;0,1,0)</f>
        <v>1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1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1</v>
      </c>
      <c r="P72" s="1392" t="str">
        <f>IF(V3="НЕТ"," ",IF(V3="ПВХ","ПВХ мембрана","Битумно- полимерная "))</f>
        <v>ПВХ мембрана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11">IF($V$4="НЕТ",0,1)</f>
        <v>1</v>
      </c>
      <c r="P73" s="1394" t="str">
        <f>IF(V3="НЕТ"," ","ТИПЫ")</f>
        <v>ТИПЫ</v>
      </c>
      <c r="Q73" s="1394" t="str">
        <f>IF(V3="НЕТ"," ","ПГ")</f>
        <v>ПГ</v>
      </c>
      <c r="R73" s="1394"/>
      <c r="S73" s="1394" t="str">
        <f>IF(V3="НЕТ"," ","ДКР")</f>
        <v>ДКР</v>
      </c>
      <c r="T73" s="1394" t="str">
        <f>IF(V3="НЕТ"," ","ДПР")</f>
        <v>ДПР</v>
      </c>
      <c r="U73" s="1394" t="str">
        <f>IF(V3="НЕТ"," ","ТЭ")</f>
        <v>ТЭ</v>
      </c>
      <c r="V73" s="1394" t="str">
        <f>IF(V3="НЕТ"," ","ГнП")</f>
        <v>ГнП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11"/>
        <v>1</v>
      </c>
      <c r="P74" s="1394"/>
      <c r="Q74" s="1032" t="str">
        <f>IF(V3="НЕТ"," ","ВЕРХ")</f>
        <v>ВЕРХ</v>
      </c>
      <c r="R74" s="1032" t="str">
        <f>IF(V3="НЕТ"," ","НИЗ")</f>
        <v>НИЗ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>IF(K5=0," ",K5)</f>
        <v>В осях 7-9 / Ж-И и 
12-14 / Ж-И</v>
      </c>
      <c r="L75" s="1230"/>
      <c r="N75" s="1032">
        <f t="shared" si="11"/>
        <v>1</v>
      </c>
      <c r="P75" s="117" t="str">
        <f>IF(V3="НЕТ"," ","СУММА")</f>
        <v>СУММА</v>
      </c>
      <c r="Q75" s="1031">
        <f>IF(V3="ПВХ",SUM(Y81:Y85,Y88:Y92,Y95:Y98,Y101,Q104),IF(V3="нет"," ",SUM(Y133:Y137,Y141:Y145,Y149:Y152,Q161)))</f>
        <v>33.808</v>
      </c>
      <c r="R75" s="118">
        <f>IF(V3="Битумно- полимерная",SUM(Z133:Z137,Z141:Z145,Z149:Z152,Z156,Q162),IF(V3="НЕТ"," ",0))</f>
        <v>0</v>
      </c>
      <c r="S75" s="1031">
        <f>IF(V3="НЕТ"," ",IF(V3="ПВХ",SUM(AA95:AA98,Q105),SUM(AA149:AA152,S161)))</f>
        <v>34.099999999999994</v>
      </c>
      <c r="T75" s="1031">
        <f>IF(V3="нет"," ",IF(V3="ПВХ",SUM(Z81:Z85,Z88:Z92,Z95:Z98,Q106),SUM(AA133:AA137,S162)))</f>
        <v>34.099999999999994</v>
      </c>
      <c r="U75" s="1031">
        <f>IF(V3="ПВХ",SUM(AA81:AA85,AA88:AA92,Z101,S104),IF(V3="НЕТ"," ",0))</f>
        <v>5.9</v>
      </c>
      <c r="V75" s="118">
        <f>IF(V3="ПВХ",SUM(AB81:AB85,AB88:AB92,AB95:AB98,S105),IF(V3="НЕТ"," ",0))</f>
        <v>2.0299999999999998</v>
      </c>
      <c r="W75" s="93"/>
      <c r="X75" s="93"/>
      <c r="Y75" s="160">
        <f>IF(V3=Y3,SUM(AB133:AB137,AB149:AB152,Q163),IF(V3=Y4,SUM(AC81:AC85,AC88:AC92,AC95:AC98,AA101,S106),0))</f>
        <v>28</v>
      </c>
      <c r="Z75" s="161">
        <f>IF(V3=Y3,SUM(AC133:AC137,AC149:AC152,S163),IF(V3=Y4,SUM(AD81:AD85,AD88:AD92,AD95:AD98,AB101,U105),0))</f>
        <v>47</v>
      </c>
      <c r="AA75" s="161">
        <f>IF(V3=Y3,SUM(AD133:AD137,AD149:AD152,U161),IF(V3=Y4,SUM(AE81:AE85,AE88:AE92,AE95:AE98,AC101,U104),0))</f>
        <v>315</v>
      </c>
      <c r="AB75" s="161">
        <f>IF(V3=Y3,SUM(AE133:AE137,AE149:AE152,AE141:AE145),0)</f>
        <v>0</v>
      </c>
      <c r="AC75" s="93"/>
      <c r="AD75" s="1011">
        <f>СМРЗ.МЕТ*5.15</f>
        <v>144.20000000000002</v>
      </c>
      <c r="AF75" s="1011">
        <f>(AC81+AC82+AC83+AC84+AC85+AC88+AC90+AC89+AC91+AC92+AC95+AC96+AC97+AC98)*5.15</f>
        <v>144.20000000000002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11"/>
        <v>1</v>
      </c>
      <c r="O76" s="1051"/>
      <c r="P76" s="149">
        <f>IFERROR(IF($V$4=$Y$12,SUM($I$102:$I$113)/ПЛ," "),0)</f>
        <v>7.2682926829268295</v>
      </c>
      <c r="Q76" s="119" t="str">
        <f>IF($V$4=$Y$12,"расход количества крепежа для всей кровли, шт/м2"," ")</f>
        <v>расход количества крепежа для всей кровли, шт/м2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11"/>
        <v>1</v>
      </c>
      <c r="O77" s="1051"/>
      <c r="P77" s="149">
        <f>IF(T3=Y13," ",IF(T3=Y14,0.72*SUM(Q8:Q9),0.72*SUM(Q8:Q9)))</f>
        <v>43.199999999999996</v>
      </c>
      <c r="Q77" s="120" t="str">
        <f>IF(T3=Y13," ","площадь клинов ОУ, м2")</f>
        <v>площадь клинов ОУ, м2</v>
      </c>
      <c r="R77" s="120"/>
      <c r="S77" s="156">
        <f>IF(T3=Y13," ",IFERROR($P$77/ПЛ,0))</f>
        <v>1.0536585365853657</v>
      </c>
      <c r="T77" s="119" t="str">
        <f>IF(T3=Y13," ","соотношение площади клинов к основной площади")</f>
        <v>соотношение площади клинов к основной площади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11"/>
        <v>1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11"/>
        <v>1</v>
      </c>
      <c r="O79" s="1051"/>
      <c r="P79" s="1292" t="str">
        <f>IF(V3=Y4,"Примыкание к парапету высотой более 500 мм"," ")</f>
        <v>Примыкание к парапету высотой более 500 мм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11"/>
        <v>1</v>
      </c>
      <c r="O80" s="1051"/>
      <c r="P80" s="1026" t="s">
        <v>302</v>
      </c>
      <c r="Q80" s="1026" t="str">
        <f>IF(V3=Y4,"ТИПЫ"," ")</f>
        <v>ТИПЫ</v>
      </c>
      <c r="R80" s="1025" t="str">
        <f>IF(V3=Y4,"ШИРИНА, мм"," ")</f>
        <v>ШИРИНА, мм</v>
      </c>
      <c r="S80" s="1025" t="str">
        <f>IF(V3=Y4,"ВЫСОТА, мм"," ")</f>
        <v>ВЫСОТА, мм</v>
      </c>
      <c r="T80" s="1025" t="str">
        <f>IF(V3=Y4,"ДЛИНА, м"," ")</f>
        <v>ДЛИНА, м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11"/>
        <v>1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1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2">IF(AK82=0,0,ROUNDUP(T82*5*1.03,0))</f>
        <v>0</v>
      </c>
      <c r="AN82" s="437">
        <f>IFERROR(MATCH(Q82,$Z$15:$Z$20,0),0)</f>
        <v>0</v>
      </c>
    </row>
    <row r="83" spans="2:40" ht="15" hidden="1" customHeight="1">
      <c r="B83" s="1037">
        <f>SUBTOTAL(3,$I$83:I83)</f>
        <v>0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3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2"/>
        <v>0</v>
      </c>
      <c r="AN83" s="437">
        <f>IFERROR(MATCH(Q83,$Z$15:$Z$20,0),0)</f>
        <v>0</v>
      </c>
    </row>
    <row r="84" spans="2:40" ht="15" hidden="1" customHeight="1">
      <c r="B84" s="1037">
        <f>SUBTOTAL(3,$I$83:I84)</f>
        <v>0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4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5">I84*K84</f>
        <v>0</v>
      </c>
      <c r="N84" s="1032">
        <f t="shared" si="13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2"/>
        <v>0</v>
      </c>
      <c r="AN84" s="437">
        <f>IFERROR(MATCH(Q84,$Z$15:$Z$20,0),0)</f>
        <v>0</v>
      </c>
    </row>
    <row r="85" spans="2:40" ht="15" hidden="1" customHeight="1">
      <c r="B85" s="1037">
        <f>SUBTOTAL(3,$I$83:I85)</f>
        <v>0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4"/>
        <v>0</v>
      </c>
      <c r="J85" s="1013" t="s">
        <v>151</v>
      </c>
      <c r="K85" s="661"/>
      <c r="L85" s="610">
        <f>I85*K85</f>
        <v>0</v>
      </c>
      <c r="N85" s="1032">
        <f t="shared" si="13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2"/>
        <v>0</v>
      </c>
      <c r="AN85" s="437">
        <f>IFERROR(MATCH(Q85,$Z$15:$Z$20,0),0)</f>
        <v>0</v>
      </c>
    </row>
    <row r="86" spans="2:40" ht="15" hidden="1" customHeight="1">
      <c r="B86" s="1037">
        <f>SUBTOTAL(3,$I$83:I86)</f>
        <v>0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4"/>
        <v>0</v>
      </c>
      <c r="J86" s="1013" t="s">
        <v>151</v>
      </c>
      <c r="K86" s="661"/>
      <c r="L86" s="610">
        <f t="shared" si="15"/>
        <v>0</v>
      </c>
      <c r="N86" s="1032">
        <f t="shared" si="13"/>
        <v>0</v>
      </c>
      <c r="O86" s="1051"/>
      <c r="P86" s="1292" t="str">
        <f>IF(V3=Y4,"Примыкание к парапету высотой менее 500 мм"," ")</f>
        <v>Примыкание к парапету высотой менее 500 мм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hidden="1" customHeight="1">
      <c r="B87" s="1037">
        <f>SUBTOTAL(3,$I$83:I87)</f>
        <v>0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4"/>
        <v>0</v>
      </c>
      <c r="J87" s="1013" t="s">
        <v>151</v>
      </c>
      <c r="K87" s="661"/>
      <c r="L87" s="610">
        <f t="shared" si="15"/>
        <v>0</v>
      </c>
      <c r="N87" s="1032">
        <f t="shared" si="13"/>
        <v>0</v>
      </c>
      <c r="O87" s="1051"/>
      <c r="P87" s="1026" t="s">
        <v>302</v>
      </c>
      <c r="Q87" s="1026" t="str">
        <f>IF(V3=Y4,"ТИПЫ"," ")</f>
        <v>ТИПЫ</v>
      </c>
      <c r="R87" s="1025" t="str">
        <f>IF(V3=Y4,"ШИРИНА, мм"," ")</f>
        <v>ШИРИНА, мм</v>
      </c>
      <c r="S87" s="1025" t="str">
        <f>IF(V3=Y4,"ВЫСОТА, мм"," ")</f>
        <v>ВЫСОТА, мм</v>
      </c>
      <c r="T87" s="1025" t="str">
        <f>IF(V3=Y4,"ДЛИНА, м"," ")</f>
        <v>ДЛИНА, м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hidden="1" customHeight="1">
      <c r="B88" s="1037">
        <f>SUBTOTAL(3,$I$83:I88)</f>
        <v>0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4"/>
        <v>0</v>
      </c>
      <c r="J88" s="1013" t="s">
        <v>151</v>
      </c>
      <c r="K88" s="661"/>
      <c r="L88" s="610">
        <f t="shared" si="15"/>
        <v>0</v>
      </c>
      <c r="N88" s="1032">
        <f t="shared" si="13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hidden="1" customHeight="1">
      <c r="B89" s="1037">
        <f>SUBTOTAL(3,$I$83:I89)</f>
        <v>0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4"/>
        <v>0</v>
      </c>
      <c r="J89" s="1013" t="s">
        <v>151</v>
      </c>
      <c r="K89" s="661"/>
      <c r="L89" s="610">
        <f t="shared" si="15"/>
        <v>0</v>
      </c>
      <c r="N89" s="1032">
        <f t="shared" si="13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hidden="1" customHeight="1">
      <c r="B90" s="1037">
        <f>SUBTOTAL(3,$I$83:I90)</f>
        <v>0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4"/>
        <v>0</v>
      </c>
      <c r="J90" s="1013" t="s">
        <v>151</v>
      </c>
      <c r="K90" s="661"/>
      <c r="L90" s="610">
        <f t="shared" si="15"/>
        <v>0</v>
      </c>
      <c r="N90" s="1032">
        <f t="shared" si="13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hidden="1" customHeight="1">
      <c r="B91" s="1037">
        <f>SUBTOTAL(3,$I$83:I91)</f>
        <v>0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4"/>
        <v>0</v>
      </c>
      <c r="J91" s="1013" t="s">
        <v>151</v>
      </c>
      <c r="K91" s="661"/>
      <c r="L91" s="610">
        <f t="shared" si="15"/>
        <v>0</v>
      </c>
      <c r="N91" s="1032">
        <f t="shared" si="13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hidden="1" customHeight="1">
      <c r="B92" s="1037">
        <f>SUBTOTAL(3,$I$83:I92)</f>
        <v>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4"/>
        <v>0</v>
      </c>
      <c r="J92" s="1013" t="s">
        <v>151</v>
      </c>
      <c r="K92" s="661"/>
      <c r="L92" s="610">
        <f t="shared" si="15"/>
        <v>0</v>
      </c>
      <c r="N92" s="1032">
        <f t="shared" si="13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hidden="1" customHeight="1">
      <c r="B93" s="1037">
        <f>SUBTOTAL(3,$I$83:I93)</f>
        <v>0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4"/>
        <v>0</v>
      </c>
      <c r="J93" s="1013" t="s">
        <v>151</v>
      </c>
      <c r="K93" s="661"/>
      <c r="L93" s="610">
        <f t="shared" si="15"/>
        <v>0</v>
      </c>
      <c r="N93" s="1032">
        <f t="shared" si="13"/>
        <v>0</v>
      </c>
      <c r="O93" s="1051"/>
      <c r="P93" s="1051"/>
      <c r="Q93" s="1369" t="str">
        <f>IF(V3=Y4,"Примыкания к вертикальным стенам"," ")</f>
        <v>Примыкания к вертикальным стенам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4"/>
        <v>26</v>
      </c>
      <c r="J94" s="1013" t="s">
        <v>151</v>
      </c>
      <c r="K94" s="661"/>
      <c r="L94" s="610">
        <f t="shared" si="15"/>
        <v>0</v>
      </c>
      <c r="N94" s="1032">
        <f t="shared" si="13"/>
        <v>1</v>
      </c>
      <c r="O94" s="1051"/>
      <c r="P94" s="1051"/>
      <c r="Q94" s="1026" t="s">
        <v>302</v>
      </c>
      <c r="R94" s="1026" t="str">
        <f>IF(V3=Y4,"ТИПЫ"," ")</f>
        <v>ТИПЫ</v>
      </c>
      <c r="S94" s="1025" t="str">
        <f>IF(V3=Y4,"ВЫСОТА, мм"," ")</f>
        <v>ВЫСОТА, мм</v>
      </c>
      <c r="T94" s="1025" t="str">
        <f>IF(V3=Y4,"ДЛИНА, м"," ")</f>
        <v>ДЛИНА, м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2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4"/>
        <v>49</v>
      </c>
      <c r="J95" s="1013" t="s">
        <v>151</v>
      </c>
      <c r="K95" s="661"/>
      <c r="L95" s="610">
        <f t="shared" si="15"/>
        <v>0</v>
      </c>
      <c r="N95" s="1032">
        <f t="shared" si="13"/>
        <v>1</v>
      </c>
      <c r="O95" s="1051"/>
      <c r="P95" s="1051"/>
      <c r="Q95" s="225">
        <v>1</v>
      </c>
      <c r="R95" s="123" t="s">
        <v>251</v>
      </c>
      <c r="S95" s="124">
        <v>500</v>
      </c>
      <c r="T95" s="191">
        <v>13.8</v>
      </c>
      <c r="U95" s="124"/>
      <c r="V95" s="124"/>
      <c r="W95" s="162"/>
      <c r="X95" s="93"/>
      <c r="Y95" s="125">
        <f>(380+S95)/1000*T95</f>
        <v>12.144</v>
      </c>
      <c r="Z95" s="125">
        <f>T95</f>
        <v>13.8</v>
      </c>
      <c r="AA95" s="125">
        <f>T95</f>
        <v>13.8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28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1</v>
      </c>
    </row>
    <row r="96" spans="2:40" ht="15" customHeight="1">
      <c r="B96" s="1037">
        <f>SUBTOTAL(3,$I$83:I96)</f>
        <v>3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4"/>
        <v>49</v>
      </c>
      <c r="J96" s="1013" t="s">
        <v>151</v>
      </c>
      <c r="K96" s="661"/>
      <c r="L96" s="610">
        <f t="shared" si="15"/>
        <v>0</v>
      </c>
      <c r="N96" s="1032">
        <f t="shared" si="13"/>
        <v>1</v>
      </c>
      <c r="O96" s="1051"/>
      <c r="P96" s="1051"/>
      <c r="Q96" s="225">
        <v>2</v>
      </c>
      <c r="R96" s="123" t="s">
        <v>252</v>
      </c>
      <c r="S96" s="124">
        <v>600</v>
      </c>
      <c r="T96" s="124">
        <f>ПР-T95-S101</f>
        <v>20.299999999999997</v>
      </c>
      <c r="U96" s="124">
        <v>500</v>
      </c>
      <c r="V96" s="124">
        <v>50</v>
      </c>
      <c r="W96" s="127" t="s">
        <v>321</v>
      </c>
      <c r="X96" s="93"/>
      <c r="Y96" s="103">
        <f>(380+S96)/1000*T96</f>
        <v>19.893999999999998</v>
      </c>
      <c r="Z96" s="103">
        <f>T96</f>
        <v>20.299999999999997</v>
      </c>
      <c r="AA96" s="103">
        <f>T96</f>
        <v>20.299999999999997</v>
      </c>
      <c r="AB96" s="103">
        <f>IF(S96&gt;=U96,IF(R96=$Z$16,S96/1000*T96,IF(R96=$Z$18,(S96-U96)/1000*T96,IF(R96=$Z$19,(U96+V96)/1000*T96,IF(R96=$Z$20,(S96+V96)/1000*T96,0)))),0)</f>
        <v>2.0299999999999998</v>
      </c>
      <c r="AC96" s="840">
        <f>ROUNDUP(IF(OR(R96=$Z$15,R96=$Z$17,R96=$Z$19),SUM(Z96:AA96),0),0)</f>
        <v>0</v>
      </c>
      <c r="AD96" s="103">
        <f>ROUNDUP(IF(OR(R96=$Z$16,R96=$Z$18,R96=$Z$20),SUM(Z96:AA96),0),0)</f>
        <v>41</v>
      </c>
      <c r="AE96" s="103">
        <f>ROUNDUP(IF(OR(R96=$Z$20,R96=$Z$16),SUM(Z96:AA96)*5*1.03,IF(R96=$Z$18,((AA96+Z96)*5*1.03+AH96),0)),0)</f>
        <v>284</v>
      </c>
      <c r="AF96" s="237">
        <f>ROUNDUP(IF($AE$7=1,U96/1000*V96/1000*T96*1.03,0),1)</f>
        <v>0.6</v>
      </c>
      <c r="AG96" s="121">
        <f>IF(R96=$Z$18,INDEX($AH$307:$AI$339,MATCH(V96,$AG$307:$AG$339,0),2),IF(R96=$Z$17,INDEX($AK$307:$AL$341,MATCH(V96,$AJ$307:$AJ$341,0),2),0))</f>
        <v>100</v>
      </c>
      <c r="AH96" s="121">
        <f>IF($W96=$Y$39,0,IF(AG96=0,0,ROUNDUP(7*T96*U96/1000*1.03,0)))</f>
        <v>74</v>
      </c>
      <c r="AI96" s="121">
        <f>IF(R96=$Z$18,INDEX($AH$307:$AI$339,MATCH(V96,$AG$307:$AG$339,0),1),IF(R96=$Z$17,INDEX($AK$307:$AL$341,MATCH(V96,$AJ$307:$AJ$341,0),1),0))</f>
        <v>20</v>
      </c>
      <c r="AJ96" s="121">
        <f>AH96</f>
        <v>74</v>
      </c>
      <c r="AK96" s="121">
        <f>IF(R96=$Z$18,INDEX($AO$306:$AP$323,MATCH(V96,$AN$306:$AN$323,0),2),IF(R96=$Z$17,INDEX($AR$306:$AS$323,MATCH(V96,$AQ$306:$AQ$323,0),2),0))</f>
        <v>100</v>
      </c>
      <c r="AL96" s="121">
        <v>0</v>
      </c>
      <c r="AN96" s="437">
        <f>IFERROR(MATCH(R96,$Z$15:$Z$20,0),0)</f>
        <v>4</v>
      </c>
    </row>
    <row r="97" spans="2:40" ht="15" customHeight="1">
      <c r="B97" s="1037">
        <f>SUBTOTAL(3,$I$83:I97)</f>
        <v>4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4"/>
        <v>98</v>
      </c>
      <c r="J97" s="1013" t="s">
        <v>151</v>
      </c>
      <c r="K97" s="661"/>
      <c r="L97" s="610">
        <f t="shared" si="15"/>
        <v>0</v>
      </c>
      <c r="N97" s="1032">
        <f t="shared" si="13"/>
        <v>1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5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4"/>
        <v>76</v>
      </c>
      <c r="J98" s="1013" t="s">
        <v>151</v>
      </c>
      <c r="K98" s="661"/>
      <c r="L98" s="610">
        <f t="shared" si="15"/>
        <v>0</v>
      </c>
      <c r="N98" s="1032">
        <f t="shared" si="13"/>
        <v>1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hidden="1" customHeight="1">
      <c r="B99" s="1037">
        <f>SUBTOTAL(3,$I$83:I99)</f>
        <v>5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4"/>
        <v>0</v>
      </c>
      <c r="J99" s="1013" t="s">
        <v>151</v>
      </c>
      <c r="K99" s="661"/>
      <c r="L99" s="610">
        <f t="shared" si="15"/>
        <v>0</v>
      </c>
      <c r="N99" s="1032">
        <f t="shared" si="13"/>
        <v>0</v>
      </c>
      <c r="O99" s="1051"/>
      <c r="P99" s="1051"/>
      <c r="Q99" s="1292" t="str">
        <f>IF(V3=Y4,"Открытый водосток"," ")</f>
        <v>Открытый водосток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hidden="1" customHeight="1">
      <c r="B100" s="1037">
        <f>SUBTOTAL(3,$I$83:I100)</f>
        <v>5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3"/>
        <v>0</v>
      </c>
      <c r="O100" s="1051"/>
      <c r="P100" s="1051"/>
      <c r="Q100" s="1026" t="s">
        <v>302</v>
      </c>
      <c r="R100" s="1026" t="str">
        <f>IF(V3=Y4,"ТИПЫ"," ")</f>
        <v>ТИПЫ</v>
      </c>
      <c r="S100" s="1025" t="str">
        <f>IF(V3=Y4,"ДЛИНА, м"," ")</f>
        <v>ДЛИНА, м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1</v>
      </c>
      <c r="O101" s="1051"/>
      <c r="P101" s="1051"/>
      <c r="Q101" s="225">
        <v>1</v>
      </c>
      <c r="R101" s="123" t="s">
        <v>250</v>
      </c>
      <c r="S101" s="124">
        <v>5.9</v>
      </c>
      <c r="X101" s="93"/>
      <c r="Y101" s="125">
        <f>S101*300/1000</f>
        <v>1.77</v>
      </c>
      <c r="Z101" s="125">
        <f>S101</f>
        <v>5.9</v>
      </c>
      <c r="AA101" s="125">
        <f>ROUNDUP(IF(R101=$Z$15,SUM(Z101),0),0)</f>
        <v>0</v>
      </c>
      <c r="AB101" s="125">
        <f>ROUNDUP(IF(R101=$Z$16,SUM(Z101),0),0)</f>
        <v>6</v>
      </c>
      <c r="AC101" s="125">
        <f>ROUNDUP(IF(OR(R101=$Z$16,R101=$Z$18),SUM(Z101)*5*1.03,0),0)</f>
        <v>31</v>
      </c>
      <c r="AN101" s="439">
        <f>IFERROR(MATCH(R101,$Z$15:$Z$20,0),0)</f>
        <v>2</v>
      </c>
    </row>
    <row r="102" spans="2:40" ht="15" hidden="1" customHeight="1">
      <c r="B102" s="1037">
        <f>SUBTOTAL(3,$I$83:I102)</f>
        <v>5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6">I102*K102</f>
        <v>0</v>
      </c>
      <c r="N102" s="1032">
        <f t="shared" ref="N102:N113" si="17">IF(I102&gt;0,1,0)</f>
        <v>0</v>
      </c>
      <c r="X102" s="93"/>
    </row>
    <row r="103" spans="2:40" ht="15" hidden="1" customHeight="1">
      <c r="B103" s="1037">
        <f>SUBTOTAL(3,$I$83:I103)</f>
        <v>5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остроконечный ТехноНИКОЛЬ   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6"/>
        <v>0</v>
      </c>
      <c r="N103" s="1032">
        <f t="shared" si="17"/>
        <v>0</v>
      </c>
      <c r="P103" s="1289" t="str">
        <f>IF(V3=Y4,"НАЗВАНИЕ ПАРАПЕТА"," ")</f>
        <v>НАЗВАНИЕ ПАРАПЕТА</v>
      </c>
      <c r="Q103" s="1289"/>
      <c r="R103" s="1289"/>
      <c r="S103" s="1289"/>
      <c r="T103" s="1289"/>
      <c r="U103" s="1289"/>
      <c r="X103" s="93"/>
    </row>
    <row r="104" spans="2:40" ht="15" hidden="1" customHeight="1">
      <c r="B104" s="1037">
        <f>SUBTOTAL(3,$I$83:I104)</f>
        <v>5</v>
      </c>
      <c r="C104" s="671" t="str">
        <f>IF(R4=Y7,"Саморез остроконечный ТехноНИКОЛЬ          4,8х","Саморез сверлоконечный ТехноНИКОЛЬ       4,8х")</f>
        <v>Саморез остроконечный ТехноНИКОЛЬ   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6"/>
        <v>0</v>
      </c>
      <c r="N104" s="1032">
        <f t="shared" si="17"/>
        <v>0</v>
      </c>
      <c r="P104" s="1024" t="str">
        <f>IF(V3=Y4,"ПГ_ВЕРХ"," ")</f>
        <v>ПГ_ВЕРХ</v>
      </c>
      <c r="Q104" s="1024"/>
      <c r="R104" s="1024" t="str">
        <f>IF(V3=Y4,"ТЭ"," ")</f>
        <v>ТЭ</v>
      </c>
      <c r="S104" s="1024"/>
      <c r="T104" s="1024" t="str">
        <f>IF(V3=Y4,"АНКЕР"," ")</f>
        <v>АНКЕР</v>
      </c>
      <c r="U104" s="1024"/>
      <c r="X104" s="93"/>
    </row>
    <row r="105" spans="2:40" ht="15" hidden="1" customHeight="1">
      <c r="B105" s="1037">
        <f>SUBTOTAL(3,$I$83:I105)</f>
        <v>5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остроконечный ТехноНИКОЛЬ   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6"/>
        <v>0</v>
      </c>
      <c r="N105" s="1032">
        <f t="shared" si="17"/>
        <v>0</v>
      </c>
      <c r="P105" s="1024" t="str">
        <f>IF(V3=Y4,"ДКР"," ")</f>
        <v>ДКР</v>
      </c>
      <c r="Q105" s="1024"/>
      <c r="R105" s="1024" t="str">
        <f>IF(V3=Y4,"ГнП"," ")</f>
        <v>ГнП</v>
      </c>
      <c r="S105" s="1024"/>
      <c r="T105" s="1024" t="str">
        <f>IF(V3=Y4,"СМРЗ. БЕТ"," ")</f>
        <v>СМРЗ. БЕТ</v>
      </c>
      <c r="U105" s="1024"/>
      <c r="X105" s="93"/>
    </row>
    <row r="106" spans="2:40" ht="15" hidden="1" customHeight="1">
      <c r="B106" s="1037">
        <f>SUBTOTAL(3,$I$83:I106)</f>
        <v>5</v>
      </c>
      <c r="C106" s="654" t="str">
        <f>IF(R4=Y7,"Саморез остроконечный ТехноНИКОЛЬ          4,8х","Саморез сверлоконечный ТехноНИКОЛЬ       4,8х")</f>
        <v>Саморез остроконечный ТехноНИКОЛЬ   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6"/>
        <v>0</v>
      </c>
      <c r="N106" s="1032">
        <f t="shared" si="17"/>
        <v>0</v>
      </c>
      <c r="P106" s="1024" t="str">
        <f>IF(V3=Y4,"ДПР"," ")</f>
        <v>ДПР</v>
      </c>
      <c r="Q106" s="1024"/>
      <c r="R106" s="1024" t="str">
        <f>IF(V3=Y4,"СМРЗ. МЕТ"," ")</f>
        <v>СМРЗ. МЕТ</v>
      </c>
      <c r="S106" s="1024"/>
      <c r="T106" s="1024" t="str">
        <f>IF(V3=Y4,"ПВХ МЕТ."," ")</f>
        <v>ПВХ МЕТ.</v>
      </c>
      <c r="U106" s="1024"/>
      <c r="X106" s="93"/>
    </row>
    <row r="107" spans="2:40" ht="15" hidden="1" customHeight="1">
      <c r="B107" s="1037">
        <f>SUBTOTAL(3,$I$83:I107)</f>
        <v>5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6"/>
        <v>0</v>
      </c>
      <c r="N107" s="1032">
        <f t="shared" si="17"/>
        <v>0</v>
      </c>
      <c r="X107" s="93"/>
    </row>
    <row r="108" spans="2:40" ht="15" customHeight="1">
      <c r="B108" s="1037">
        <f>SUBTOTAL(3,$I$83:I108)</f>
        <v>6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298</v>
      </c>
      <c r="J108" s="1037" t="s">
        <v>151</v>
      </c>
      <c r="K108" s="610"/>
      <c r="L108" s="610">
        <f t="shared" si="16"/>
        <v>0</v>
      </c>
      <c r="N108" s="1032">
        <f t="shared" si="17"/>
        <v>1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hidden="1" customHeight="1">
      <c r="B109" s="1037">
        <f>SUBTOTAL(3,$I$83:I109)</f>
        <v>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8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6"/>
        <v>0</v>
      </c>
      <c r="N109" s="1032">
        <f t="shared" si="17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hidden="1" customHeight="1">
      <c r="B110" s="1037">
        <f>SUBTOTAL(3,$I$83:I110)</f>
        <v>6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8"/>
        <v>0</v>
      </c>
      <c r="J110" s="1013" t="s">
        <v>151</v>
      </c>
      <c r="K110" s="661"/>
      <c r="L110" s="610">
        <f t="shared" si="16"/>
        <v>0</v>
      </c>
      <c r="N110" s="1032">
        <f t="shared" si="17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hidden="1" customHeight="1">
      <c r="B111" s="1037">
        <f>SUBTOTAL(3,$I$83:I111)</f>
        <v>6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8"/>
        <v>0</v>
      </c>
      <c r="J111" s="1013" t="s">
        <v>151</v>
      </c>
      <c r="K111" s="661"/>
      <c r="L111" s="610">
        <f t="shared" si="16"/>
        <v>0</v>
      </c>
      <c r="N111" s="1032">
        <f t="shared" si="17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hidden="1" customHeight="1">
      <c r="B112" s="1037">
        <f>SUBTOTAL(3,$I$83:I112)</f>
        <v>6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8"/>
        <v>0</v>
      </c>
      <c r="J112" s="1013" t="s">
        <v>151</v>
      </c>
      <c r="K112" s="661"/>
      <c r="L112" s="610">
        <f t="shared" si="16"/>
        <v>0</v>
      </c>
      <c r="N112" s="1032">
        <f t="shared" si="17"/>
        <v>0</v>
      </c>
      <c r="P112" s="1350" t="s">
        <v>475</v>
      </c>
      <c r="Q112" s="1351"/>
      <c r="R112" s="1352" t="s">
        <v>525</v>
      </c>
      <c r="S112" s="1353"/>
      <c r="T112" s="382">
        <v>4</v>
      </c>
      <c r="U112" s="382" t="s">
        <v>468</v>
      </c>
      <c r="X112" s="93"/>
    </row>
    <row r="113" spans="2:37" ht="15" hidden="1" customHeight="1">
      <c r="B113" s="1037">
        <f>SUBTOTAL(3,$I$83:I113)</f>
        <v>6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8"/>
        <v>0</v>
      </c>
      <c r="J113" s="1013" t="s">
        <v>151</v>
      </c>
      <c r="K113" s="661"/>
      <c r="L113" s="610">
        <f t="shared" si="16"/>
        <v>0</v>
      </c>
      <c r="N113" s="1032">
        <f t="shared" si="17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1</v>
      </c>
      <c r="S114" s="1024"/>
      <c r="X114" s="93"/>
    </row>
    <row r="115" spans="2:37" ht="15" customHeight="1">
      <c r="B115" s="1037">
        <f>SUBTOTAL(3,$I$83:I115)</f>
        <v>7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298</v>
      </c>
      <c r="J115" s="1037" t="s">
        <v>151</v>
      </c>
      <c r="K115" s="610"/>
      <c r="L115" s="610">
        <f>I115*K115</f>
        <v>0</v>
      </c>
      <c r="N115" s="1032">
        <f>IF(I115&gt;0,1,0)</f>
        <v>1</v>
      </c>
      <c r="X115" s="93"/>
    </row>
    <row r="116" spans="2:37" ht="15" customHeight="1">
      <c r="C116" s="357" t="str">
        <f>IF(F116=" "," ","Толщина основного слоя утеплителя")</f>
        <v>Толщина основного слоя утеплителя</v>
      </c>
      <c r="D116" s="358"/>
      <c r="E116" s="358"/>
      <c r="F116" s="359">
        <f>IF(R3=0," ",R3)</f>
        <v>220</v>
      </c>
      <c r="G116" s="359" t="str">
        <f>IF(F116=" "," ","мм")</f>
        <v>мм</v>
      </c>
      <c r="H116" s="358"/>
      <c r="N116" s="1032">
        <f>IF($V$4="НЕТ",0,1)</f>
        <v>1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>** Количество крепежа дано с учетом закрепления мембраны, над клиновидной теплоизоляцией</v>
      </c>
      <c r="D117" s="358"/>
      <c r="E117" s="358"/>
      <c r="F117" s="358"/>
      <c r="G117" s="358"/>
      <c r="H117" s="358"/>
      <c r="N117" s="1032">
        <f>IF($V$4="НЕТ",0,1)</f>
        <v>1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1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1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>Альбом с примерами раскладки клиновидной теплоизоляции из каменной ваты можно скачать по этой ссылке</v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1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1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1</v>
      </c>
      <c r="X122" s="93"/>
    </row>
    <row r="123" spans="2:37" ht="15" hidden="1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hidden="1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hidden="1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hidden="1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hidden="1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hidden="1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1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>IF(K5=0," ",K5)</f>
        <v>В осях 7-9 / Ж-И и 
12-14 / Ж-И</v>
      </c>
      <c r="L130" s="1342"/>
      <c r="N130" s="1032">
        <f>IF($V$4="НЕТ",0,1)</f>
        <v>1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9">IF($V$4="НЕТ",0,1)</f>
        <v>1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9"/>
        <v>1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9"/>
        <v>1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9"/>
        <v>1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9"/>
        <v>1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9"/>
        <v>1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hidden="1" customHeight="1">
      <c r="B137" s="621">
        <f>SUBTOTAL(3,$I$137:I137)</f>
        <v>0</v>
      </c>
      <c r="C137" s="621">
        <f>R3</f>
        <v>220</v>
      </c>
      <c r="D137" s="676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>180</v>
      </c>
      <c r="E137" s="676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>100</v>
      </c>
      <c r="F137" s="1323" t="str">
        <f t="shared" ref="F137:F200" si="20">IF(AND(OR($V$4=$Y$12,$V$4=$AA$8,$V$4=$AA$9),OR($R$4=$Y$7,$R$4=$Y$9)),"8х45",IF(AND($V$4=$AA$7,C137&gt;300),"8х45",IF(AND($V$4=$AA$7,$AA$2=$AA$6),"8х45","не требуется")))</f>
        <v>8х45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21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1</v>
      </c>
      <c r="C138" s="1037">
        <f t="shared" ref="C138:C184" si="22">IF($T$5=$AA$12,P14,P14+$R$3)</f>
        <v>250</v>
      </c>
      <c r="D138" s="1013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>200</v>
      </c>
      <c r="E138" s="1013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>160</v>
      </c>
      <c r="F138" s="1250" t="str">
        <f t="shared" si="20"/>
        <v>8х45</v>
      </c>
      <c r="G138" s="1250"/>
      <c r="H138" s="1250"/>
      <c r="I138" s="1013">
        <f>ROUND(Q14,0)</f>
        <v>10</v>
      </c>
      <c r="J138" s="1262">
        <f>ROUND(IFERROR(IF($V$4=$Y$11,0,IF($T$3=$Y$13,Q14/$AE$12*$U$12,Q14/$U$14*$U$12)),0),0)</f>
        <v>12</v>
      </c>
      <c r="K138" s="1262"/>
      <c r="L138" s="675">
        <f>I138+J138+IF(AND($V$3=$Y$3,$T$3&lt;&gt;$Y$13,$V$4&lt;&gt;$Y$13),($I$862*8+$I$864*4),IF(AND($V$3=Y4,$T$3&lt;&gt;$Y$13,$V$4&lt;&gt;$Y$13),($I$971*8+$I$976*4),0))</f>
        <v>26</v>
      </c>
      <c r="N138" s="1032">
        <f t="shared" si="21"/>
        <v>1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2</v>
      </c>
      <c r="C139" s="1037">
        <f t="shared" si="22"/>
        <v>270</v>
      </c>
      <c r="D139" s="1013">
        <f t="shared" ref="D139:D202" si="23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>220</v>
      </c>
      <c r="E139" s="1013">
        <f t="shared" ref="E139:E202" si="24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>160</v>
      </c>
      <c r="F139" s="1250" t="str">
        <f t="shared" si="20"/>
        <v>8х45</v>
      </c>
      <c r="G139" s="1250"/>
      <c r="H139" s="1250"/>
      <c r="I139" s="1013">
        <f t="shared" ref="I139:I184" si="25">ROUND(Q15,0)</f>
        <v>22</v>
      </c>
      <c r="J139" s="1262">
        <f t="shared" ref="J139:J184" si="26">ROUND(IFERROR(IF($V$4=$Y$11,0,IF($T$3=$Y$13,Q15/$AE$12*$U$12,Q15/$U$14*$U$12)),0),0)</f>
        <v>27</v>
      </c>
      <c r="K139" s="1262"/>
      <c r="L139" s="675">
        <f t="shared" ref="L139:L202" si="27">I139+J139</f>
        <v>49</v>
      </c>
      <c r="N139" s="1032">
        <f t="shared" si="21"/>
        <v>1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3</v>
      </c>
      <c r="C140" s="1037">
        <f t="shared" si="22"/>
        <v>290</v>
      </c>
      <c r="D140" s="1013">
        <f t="shared" si="23"/>
        <v>240</v>
      </c>
      <c r="E140" s="1013">
        <f t="shared" si="24"/>
        <v>160</v>
      </c>
      <c r="F140" s="1250" t="str">
        <f t="shared" si="20"/>
        <v>8х45</v>
      </c>
      <c r="G140" s="1250"/>
      <c r="H140" s="1250"/>
      <c r="I140" s="1013">
        <f t="shared" si="25"/>
        <v>22</v>
      </c>
      <c r="J140" s="1262">
        <f t="shared" si="26"/>
        <v>27</v>
      </c>
      <c r="K140" s="1262"/>
      <c r="L140" s="675">
        <f t="shared" si="27"/>
        <v>49</v>
      </c>
      <c r="N140" s="1032">
        <f t="shared" si="21"/>
        <v>1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4</v>
      </c>
      <c r="C141" s="1037">
        <f t="shared" si="22"/>
        <v>310</v>
      </c>
      <c r="D141" s="1013">
        <f t="shared" si="23"/>
        <v>260</v>
      </c>
      <c r="E141" s="1013">
        <f t="shared" si="24"/>
        <v>160</v>
      </c>
      <c r="F141" s="1250" t="str">
        <f t="shared" si="20"/>
        <v>8х45</v>
      </c>
      <c r="G141" s="1250"/>
      <c r="H141" s="1250"/>
      <c r="I141" s="1013">
        <f t="shared" si="25"/>
        <v>22</v>
      </c>
      <c r="J141" s="1262">
        <f t="shared" si="26"/>
        <v>27</v>
      </c>
      <c r="K141" s="1262"/>
      <c r="L141" s="675">
        <f t="shared" si="27"/>
        <v>49</v>
      </c>
      <c r="N141" s="1032">
        <f t="shared" si="21"/>
        <v>1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5</v>
      </c>
      <c r="C142" s="1037">
        <f t="shared" si="22"/>
        <v>330</v>
      </c>
      <c r="D142" s="1013">
        <f t="shared" si="23"/>
        <v>260</v>
      </c>
      <c r="E142" s="1013">
        <f t="shared" si="24"/>
        <v>160</v>
      </c>
      <c r="F142" s="1250" t="str">
        <f t="shared" si="20"/>
        <v>8х45</v>
      </c>
      <c r="G142" s="1250"/>
      <c r="H142" s="1250"/>
      <c r="I142" s="1013">
        <f t="shared" si="25"/>
        <v>22</v>
      </c>
      <c r="J142" s="1262">
        <f t="shared" si="26"/>
        <v>27</v>
      </c>
      <c r="K142" s="1262"/>
      <c r="L142" s="675">
        <f t="shared" si="27"/>
        <v>49</v>
      </c>
      <c r="N142" s="1032">
        <f t="shared" si="21"/>
        <v>1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6</v>
      </c>
      <c r="C143" s="1037">
        <f t="shared" si="22"/>
        <v>350</v>
      </c>
      <c r="D143" s="1013">
        <f t="shared" si="23"/>
        <v>300</v>
      </c>
      <c r="E143" s="1013">
        <f t="shared" si="24"/>
        <v>160</v>
      </c>
      <c r="F143" s="1250" t="str">
        <f t="shared" si="20"/>
        <v>8х45</v>
      </c>
      <c r="G143" s="1250"/>
      <c r="H143" s="1250"/>
      <c r="I143" s="1013">
        <f t="shared" si="25"/>
        <v>22</v>
      </c>
      <c r="J143" s="1262">
        <f t="shared" si="26"/>
        <v>27</v>
      </c>
      <c r="K143" s="1262"/>
      <c r="L143" s="675">
        <f t="shared" si="27"/>
        <v>49</v>
      </c>
      <c r="N143" s="1032">
        <f t="shared" si="21"/>
        <v>1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7</v>
      </c>
      <c r="C144" s="1037">
        <f t="shared" si="22"/>
        <v>360</v>
      </c>
      <c r="D144" s="1013">
        <f t="shared" si="23"/>
        <v>300</v>
      </c>
      <c r="E144" s="1013">
        <f t="shared" si="24"/>
        <v>160</v>
      </c>
      <c r="F144" s="1250" t="str">
        <f t="shared" si="20"/>
        <v>8х45</v>
      </c>
      <c r="G144" s="1250"/>
      <c r="H144" s="1250"/>
      <c r="I144" s="1013">
        <f t="shared" si="25"/>
        <v>12</v>
      </c>
      <c r="J144" s="1262">
        <f t="shared" si="26"/>
        <v>15</v>
      </c>
      <c r="K144" s="1262"/>
      <c r="L144" s="675">
        <f t="shared" si="27"/>
        <v>27</v>
      </c>
      <c r="N144" s="1032">
        <f t="shared" si="21"/>
        <v>1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hidden="1" customHeight="1">
      <c r="B145" s="1037">
        <f>SUBTOTAL(3,$I$137:I145)</f>
        <v>7</v>
      </c>
      <c r="C145" s="1037">
        <f t="shared" si="22"/>
        <v>0</v>
      </c>
      <c r="D145" s="1013" t="str">
        <f t="shared" si="23"/>
        <v>ТЭ</v>
      </c>
      <c r="E145" s="1013">
        <f t="shared" si="24"/>
        <v>50</v>
      </c>
      <c r="F145" s="1250" t="str">
        <f t="shared" si="20"/>
        <v>8х45</v>
      </c>
      <c r="G145" s="1250"/>
      <c r="H145" s="1250"/>
      <c r="I145" s="1013">
        <f t="shared" si="25"/>
        <v>0</v>
      </c>
      <c r="J145" s="1262">
        <f t="shared" si="26"/>
        <v>0</v>
      </c>
      <c r="K145" s="1262"/>
      <c r="L145" s="675">
        <f t="shared" si="27"/>
        <v>0</v>
      </c>
      <c r="N145" s="1032">
        <f t="shared" si="21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hidden="1" customHeight="1">
      <c r="B146" s="1037">
        <f>SUBTOTAL(3,$I$137:I146)</f>
        <v>7</v>
      </c>
      <c r="C146" s="1037">
        <f t="shared" si="22"/>
        <v>0</v>
      </c>
      <c r="D146" s="1013" t="str">
        <f t="shared" si="23"/>
        <v>ТЭ</v>
      </c>
      <c r="E146" s="1013">
        <f t="shared" si="24"/>
        <v>50</v>
      </c>
      <c r="F146" s="1250" t="str">
        <f t="shared" si="20"/>
        <v>8х45</v>
      </c>
      <c r="G146" s="1250"/>
      <c r="H146" s="1250"/>
      <c r="I146" s="1013">
        <f t="shared" si="25"/>
        <v>0</v>
      </c>
      <c r="J146" s="1262">
        <f t="shared" si="26"/>
        <v>0</v>
      </c>
      <c r="K146" s="1262"/>
      <c r="L146" s="675">
        <f t="shared" si="27"/>
        <v>0</v>
      </c>
      <c r="N146" s="1032">
        <f t="shared" si="21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hidden="1" customHeight="1">
      <c r="B147" s="1037">
        <f>SUBTOTAL(3,$I$137:I147)</f>
        <v>7</v>
      </c>
      <c r="C147" s="1037">
        <f t="shared" si="22"/>
        <v>0</v>
      </c>
      <c r="D147" s="1013" t="str">
        <f t="shared" si="23"/>
        <v>ТЭ</v>
      </c>
      <c r="E147" s="1013">
        <f t="shared" si="24"/>
        <v>50</v>
      </c>
      <c r="F147" s="1250" t="str">
        <f t="shared" si="20"/>
        <v>8х45</v>
      </c>
      <c r="G147" s="1250"/>
      <c r="H147" s="1250"/>
      <c r="I147" s="1013">
        <f t="shared" si="25"/>
        <v>0</v>
      </c>
      <c r="J147" s="1262">
        <f t="shared" si="26"/>
        <v>0</v>
      </c>
      <c r="K147" s="1262"/>
      <c r="L147" s="675">
        <f t="shared" si="27"/>
        <v>0</v>
      </c>
      <c r="N147" s="1032">
        <f t="shared" si="21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hidden="1" customHeight="1">
      <c r="B148" s="1037">
        <f>SUBTOTAL(3,$I$137:I148)</f>
        <v>7</v>
      </c>
      <c r="C148" s="1037">
        <f t="shared" si="22"/>
        <v>0</v>
      </c>
      <c r="D148" s="1013" t="str">
        <f t="shared" si="23"/>
        <v>ТЭ</v>
      </c>
      <c r="E148" s="1013">
        <f t="shared" si="24"/>
        <v>50</v>
      </c>
      <c r="F148" s="1250" t="str">
        <f t="shared" si="20"/>
        <v>8х45</v>
      </c>
      <c r="G148" s="1250"/>
      <c r="H148" s="1250"/>
      <c r="I148" s="1013">
        <f t="shared" si="25"/>
        <v>0</v>
      </c>
      <c r="J148" s="1262">
        <f t="shared" si="26"/>
        <v>0</v>
      </c>
      <c r="K148" s="1262"/>
      <c r="L148" s="675">
        <f t="shared" si="27"/>
        <v>0</v>
      </c>
      <c r="N148" s="1032">
        <f t="shared" si="21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hidden="1" customHeight="1">
      <c r="B149" s="1037">
        <f>SUBTOTAL(3,$I$137:I149)</f>
        <v>7</v>
      </c>
      <c r="C149" s="1037">
        <f t="shared" si="22"/>
        <v>0</v>
      </c>
      <c r="D149" s="1013" t="str">
        <f t="shared" si="23"/>
        <v>ТЭ</v>
      </c>
      <c r="E149" s="1013">
        <f t="shared" si="24"/>
        <v>50</v>
      </c>
      <c r="F149" s="1250" t="str">
        <f t="shared" si="20"/>
        <v>8х45</v>
      </c>
      <c r="G149" s="1250"/>
      <c r="H149" s="1250"/>
      <c r="I149" s="1013">
        <f t="shared" si="25"/>
        <v>0</v>
      </c>
      <c r="J149" s="1262">
        <f t="shared" si="26"/>
        <v>0</v>
      </c>
      <c r="K149" s="1262"/>
      <c r="L149" s="675">
        <f t="shared" si="27"/>
        <v>0</v>
      </c>
      <c r="N149" s="1032">
        <f t="shared" si="21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hidden="1" customHeight="1">
      <c r="B150" s="1037">
        <f>SUBTOTAL(3,$I$137:I150)</f>
        <v>7</v>
      </c>
      <c r="C150" s="1037">
        <f t="shared" si="22"/>
        <v>0</v>
      </c>
      <c r="D150" s="1013" t="str">
        <f t="shared" si="23"/>
        <v>ТЭ</v>
      </c>
      <c r="E150" s="1013">
        <f t="shared" si="24"/>
        <v>50</v>
      </c>
      <c r="F150" s="1250" t="str">
        <f t="shared" si="20"/>
        <v>8х45</v>
      </c>
      <c r="G150" s="1250"/>
      <c r="H150" s="1250"/>
      <c r="I150" s="1013">
        <f t="shared" si="25"/>
        <v>0</v>
      </c>
      <c r="J150" s="1262">
        <f t="shared" si="26"/>
        <v>0</v>
      </c>
      <c r="K150" s="1262"/>
      <c r="L150" s="675">
        <f t="shared" si="27"/>
        <v>0</v>
      </c>
      <c r="N150" s="1032">
        <f t="shared" si="21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hidden="1" customHeight="1">
      <c r="B151" s="1037">
        <f>SUBTOTAL(3,$I$137:I151)</f>
        <v>7</v>
      </c>
      <c r="C151" s="1037">
        <f t="shared" si="22"/>
        <v>0</v>
      </c>
      <c r="D151" s="1013" t="str">
        <f t="shared" si="23"/>
        <v>ТЭ</v>
      </c>
      <c r="E151" s="1013">
        <f t="shared" si="24"/>
        <v>50</v>
      </c>
      <c r="F151" s="1250" t="str">
        <f t="shared" si="20"/>
        <v>8х45</v>
      </c>
      <c r="G151" s="1250"/>
      <c r="H151" s="1250"/>
      <c r="I151" s="1013">
        <f t="shared" si="25"/>
        <v>0</v>
      </c>
      <c r="J151" s="1262">
        <f t="shared" si="26"/>
        <v>0</v>
      </c>
      <c r="K151" s="1262"/>
      <c r="L151" s="675">
        <f t="shared" si="27"/>
        <v>0</v>
      </c>
      <c r="N151" s="1032">
        <f t="shared" si="21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hidden="1" customHeight="1" thickBot="1">
      <c r="B152" s="1037">
        <f>SUBTOTAL(3,$I$137:I152)</f>
        <v>7</v>
      </c>
      <c r="C152" s="1037">
        <f t="shared" si="22"/>
        <v>0</v>
      </c>
      <c r="D152" s="1013" t="str">
        <f t="shared" si="23"/>
        <v>ТЭ</v>
      </c>
      <c r="E152" s="1013">
        <f t="shared" si="24"/>
        <v>50</v>
      </c>
      <c r="F152" s="1250" t="str">
        <f t="shared" si="20"/>
        <v>8х45</v>
      </c>
      <c r="G152" s="1250"/>
      <c r="H152" s="1250"/>
      <c r="I152" s="1013">
        <f t="shared" si="25"/>
        <v>0</v>
      </c>
      <c r="J152" s="1262">
        <f t="shared" si="26"/>
        <v>0</v>
      </c>
      <c r="K152" s="1262"/>
      <c r="L152" s="675">
        <f t="shared" si="27"/>
        <v>0</v>
      </c>
      <c r="N152" s="1032">
        <f t="shared" si="21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hidden="1" customHeight="1">
      <c r="B153" s="1037">
        <f>SUBTOTAL(3,$I$137:I153)</f>
        <v>7</v>
      </c>
      <c r="C153" s="1037">
        <f t="shared" si="22"/>
        <v>0</v>
      </c>
      <c r="D153" s="1013" t="str">
        <f t="shared" si="23"/>
        <v>ТЭ</v>
      </c>
      <c r="E153" s="1013">
        <f t="shared" si="24"/>
        <v>50</v>
      </c>
      <c r="F153" s="1250" t="str">
        <f t="shared" si="20"/>
        <v>8х45</v>
      </c>
      <c r="G153" s="1250"/>
      <c r="H153" s="1250"/>
      <c r="I153" s="1013">
        <f t="shared" si="25"/>
        <v>0</v>
      </c>
      <c r="J153" s="1262">
        <f t="shared" si="26"/>
        <v>0</v>
      </c>
      <c r="K153" s="1262"/>
      <c r="L153" s="675">
        <f t="shared" si="27"/>
        <v>0</v>
      </c>
      <c r="N153" s="1032">
        <f t="shared" si="21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hidden="1" customHeight="1">
      <c r="B154" s="1037">
        <f>SUBTOTAL(3,$I$137:I154)</f>
        <v>7</v>
      </c>
      <c r="C154" s="1037">
        <f t="shared" si="22"/>
        <v>0</v>
      </c>
      <c r="D154" s="1013" t="str">
        <f t="shared" si="23"/>
        <v>ТЭ</v>
      </c>
      <c r="E154" s="1013">
        <f t="shared" si="24"/>
        <v>50</v>
      </c>
      <c r="F154" s="1250" t="str">
        <f t="shared" si="20"/>
        <v>8х45</v>
      </c>
      <c r="G154" s="1250"/>
      <c r="H154" s="1250"/>
      <c r="I154" s="1013">
        <f t="shared" si="25"/>
        <v>0</v>
      </c>
      <c r="J154" s="1262">
        <f t="shared" si="26"/>
        <v>0</v>
      </c>
      <c r="K154" s="1262"/>
      <c r="L154" s="675">
        <f t="shared" si="27"/>
        <v>0</v>
      </c>
      <c r="N154" s="1032">
        <f t="shared" si="21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hidden="1" customHeight="1">
      <c r="B155" s="1037">
        <f>SUBTOTAL(3,$I$137:I155)</f>
        <v>7</v>
      </c>
      <c r="C155" s="1037">
        <f t="shared" si="22"/>
        <v>0</v>
      </c>
      <c r="D155" s="1013" t="str">
        <f t="shared" si="23"/>
        <v>ТЭ</v>
      </c>
      <c r="E155" s="1013">
        <f t="shared" si="24"/>
        <v>50</v>
      </c>
      <c r="F155" s="1250" t="str">
        <f t="shared" si="20"/>
        <v>8х45</v>
      </c>
      <c r="G155" s="1250"/>
      <c r="H155" s="1250"/>
      <c r="I155" s="1013">
        <f t="shared" si="25"/>
        <v>0</v>
      </c>
      <c r="J155" s="1262">
        <f t="shared" si="26"/>
        <v>0</v>
      </c>
      <c r="K155" s="1262"/>
      <c r="L155" s="675">
        <f t="shared" si="27"/>
        <v>0</v>
      </c>
      <c r="N155" s="1032">
        <f t="shared" si="21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hidden="1" customHeight="1">
      <c r="B156" s="1037">
        <f>SUBTOTAL(3,$I$137:I156)</f>
        <v>7</v>
      </c>
      <c r="C156" s="1037">
        <f t="shared" si="22"/>
        <v>0</v>
      </c>
      <c r="D156" s="1013" t="str">
        <f t="shared" si="23"/>
        <v>ТЭ</v>
      </c>
      <c r="E156" s="1013">
        <f t="shared" si="24"/>
        <v>50</v>
      </c>
      <c r="F156" s="1250" t="str">
        <f t="shared" si="20"/>
        <v>8х45</v>
      </c>
      <c r="G156" s="1250"/>
      <c r="H156" s="1250"/>
      <c r="I156" s="1013">
        <f t="shared" si="25"/>
        <v>0</v>
      </c>
      <c r="J156" s="1262">
        <f t="shared" si="26"/>
        <v>0</v>
      </c>
      <c r="K156" s="1262"/>
      <c r="L156" s="675">
        <f t="shared" si="27"/>
        <v>0</v>
      </c>
      <c r="N156" s="1032">
        <f t="shared" si="21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hidden="1" customHeight="1">
      <c r="B157" s="1037">
        <f>SUBTOTAL(3,$I$137:I157)</f>
        <v>7</v>
      </c>
      <c r="C157" s="1037">
        <f t="shared" si="22"/>
        <v>0</v>
      </c>
      <c r="D157" s="1013" t="str">
        <f t="shared" si="23"/>
        <v>ТЭ</v>
      </c>
      <c r="E157" s="1013">
        <f t="shared" si="24"/>
        <v>50</v>
      </c>
      <c r="F157" s="1250" t="str">
        <f t="shared" si="20"/>
        <v>8х45</v>
      </c>
      <c r="G157" s="1250"/>
      <c r="H157" s="1250"/>
      <c r="I157" s="1013">
        <f t="shared" si="25"/>
        <v>0</v>
      </c>
      <c r="J157" s="1262">
        <f t="shared" si="26"/>
        <v>0</v>
      </c>
      <c r="K157" s="1262"/>
      <c r="L157" s="675">
        <f t="shared" si="27"/>
        <v>0</v>
      </c>
      <c r="N157" s="1032">
        <f t="shared" si="21"/>
        <v>0</v>
      </c>
    </row>
    <row r="158" spans="2:40" ht="15" hidden="1" customHeight="1">
      <c r="B158" s="1037">
        <f>SUBTOTAL(3,$I$137:I158)</f>
        <v>7</v>
      </c>
      <c r="C158" s="1037">
        <f t="shared" si="22"/>
        <v>0</v>
      </c>
      <c r="D158" s="1013" t="str">
        <f t="shared" si="23"/>
        <v>ТЭ</v>
      </c>
      <c r="E158" s="1013">
        <f t="shared" si="24"/>
        <v>50</v>
      </c>
      <c r="F158" s="1250" t="str">
        <f t="shared" si="20"/>
        <v>8х45</v>
      </c>
      <c r="G158" s="1250"/>
      <c r="H158" s="1250"/>
      <c r="I158" s="1013">
        <f t="shared" si="25"/>
        <v>0</v>
      </c>
      <c r="J158" s="1262">
        <f t="shared" si="26"/>
        <v>0</v>
      </c>
      <c r="K158" s="1262"/>
      <c r="L158" s="675">
        <f t="shared" si="27"/>
        <v>0</v>
      </c>
      <c r="N158" s="1032">
        <f t="shared" si="21"/>
        <v>0</v>
      </c>
      <c r="R158" s="218"/>
      <c r="S158" s="218"/>
      <c r="T158" s="218"/>
    </row>
    <row r="159" spans="2:40" ht="15" hidden="1" customHeight="1">
      <c r="B159" s="1037">
        <f>SUBTOTAL(3,$I$137:I159)</f>
        <v>7</v>
      </c>
      <c r="C159" s="1037">
        <f t="shared" si="22"/>
        <v>0</v>
      </c>
      <c r="D159" s="1013" t="str">
        <f t="shared" si="23"/>
        <v>ТЭ</v>
      </c>
      <c r="E159" s="1013">
        <f t="shared" si="24"/>
        <v>50</v>
      </c>
      <c r="F159" s="1250" t="str">
        <f t="shared" si="20"/>
        <v>8х45</v>
      </c>
      <c r="G159" s="1250"/>
      <c r="H159" s="1250"/>
      <c r="I159" s="1013">
        <f t="shared" si="25"/>
        <v>0</v>
      </c>
      <c r="J159" s="1262">
        <f t="shared" si="26"/>
        <v>0</v>
      </c>
      <c r="K159" s="1262"/>
      <c r="L159" s="675">
        <f t="shared" si="27"/>
        <v>0</v>
      </c>
      <c r="N159" s="1032">
        <f t="shared" si="21"/>
        <v>0</v>
      </c>
    </row>
    <row r="160" spans="2:40" ht="15" hidden="1" customHeight="1">
      <c r="B160" s="1037">
        <f>SUBTOTAL(3,$I$137:I160)</f>
        <v>7</v>
      </c>
      <c r="C160" s="1037">
        <f t="shared" si="22"/>
        <v>0</v>
      </c>
      <c r="D160" s="1013" t="str">
        <f t="shared" si="23"/>
        <v>ТЭ</v>
      </c>
      <c r="E160" s="1013">
        <f t="shared" si="24"/>
        <v>50</v>
      </c>
      <c r="F160" s="1250" t="str">
        <f t="shared" si="20"/>
        <v>8х45</v>
      </c>
      <c r="G160" s="1250"/>
      <c r="H160" s="1250"/>
      <c r="I160" s="1013">
        <f t="shared" si="25"/>
        <v>0</v>
      </c>
      <c r="J160" s="1262">
        <f t="shared" si="26"/>
        <v>0</v>
      </c>
      <c r="K160" s="1262"/>
      <c r="L160" s="675">
        <f t="shared" si="27"/>
        <v>0</v>
      </c>
      <c r="N160" s="1032">
        <f t="shared" si="21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hidden="1" customHeight="1">
      <c r="B161" s="1037">
        <f>SUBTOTAL(3,$I$137:I161)</f>
        <v>7</v>
      </c>
      <c r="C161" s="1037">
        <f t="shared" si="22"/>
        <v>0</v>
      </c>
      <c r="D161" s="1013" t="str">
        <f t="shared" si="23"/>
        <v>ТЭ</v>
      </c>
      <c r="E161" s="1013">
        <f t="shared" si="24"/>
        <v>50</v>
      </c>
      <c r="F161" s="1250" t="str">
        <f t="shared" si="20"/>
        <v>8х45</v>
      </c>
      <c r="G161" s="1250"/>
      <c r="H161" s="1250"/>
      <c r="I161" s="1013">
        <f t="shared" si="25"/>
        <v>0</v>
      </c>
      <c r="J161" s="1262">
        <f t="shared" si="26"/>
        <v>0</v>
      </c>
      <c r="K161" s="1262"/>
      <c r="L161" s="675">
        <f t="shared" si="27"/>
        <v>0</v>
      </c>
      <c r="N161" s="1032">
        <f t="shared" si="21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hidden="1" customHeight="1">
      <c r="B162" s="1037">
        <f>SUBTOTAL(3,$I$137:I162)</f>
        <v>7</v>
      </c>
      <c r="C162" s="1037">
        <f t="shared" si="22"/>
        <v>0</v>
      </c>
      <c r="D162" s="1013" t="str">
        <f t="shared" si="23"/>
        <v>ТЭ</v>
      </c>
      <c r="E162" s="1013">
        <f t="shared" si="24"/>
        <v>50</v>
      </c>
      <c r="F162" s="1250" t="str">
        <f t="shared" si="20"/>
        <v>8х45</v>
      </c>
      <c r="G162" s="1250"/>
      <c r="H162" s="1250"/>
      <c r="I162" s="1013">
        <f t="shared" si="25"/>
        <v>0</v>
      </c>
      <c r="J162" s="1262">
        <f t="shared" si="26"/>
        <v>0</v>
      </c>
      <c r="K162" s="1262"/>
      <c r="L162" s="675">
        <f t="shared" si="27"/>
        <v>0</v>
      </c>
      <c r="N162" s="1032">
        <f t="shared" si="21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hidden="1" customHeight="1">
      <c r="B163" s="1037">
        <f>SUBTOTAL(3,$I$137:I163)</f>
        <v>7</v>
      </c>
      <c r="C163" s="1037">
        <f t="shared" si="22"/>
        <v>0</v>
      </c>
      <c r="D163" s="1013" t="str">
        <f t="shared" si="23"/>
        <v>ТЭ</v>
      </c>
      <c r="E163" s="1013">
        <f t="shared" si="24"/>
        <v>50</v>
      </c>
      <c r="F163" s="1250" t="str">
        <f t="shared" si="20"/>
        <v>8х45</v>
      </c>
      <c r="G163" s="1250"/>
      <c r="H163" s="1250"/>
      <c r="I163" s="1013">
        <f t="shared" si="25"/>
        <v>0</v>
      </c>
      <c r="J163" s="1262">
        <f t="shared" si="26"/>
        <v>0</v>
      </c>
      <c r="K163" s="1262"/>
      <c r="L163" s="675">
        <f t="shared" si="27"/>
        <v>0</v>
      </c>
      <c r="N163" s="1032">
        <f t="shared" si="21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hidden="1" customHeight="1">
      <c r="B164" s="1037">
        <f>SUBTOTAL(3,$I$137:I164)</f>
        <v>7</v>
      </c>
      <c r="C164" s="1013">
        <f t="shared" si="22"/>
        <v>0</v>
      </c>
      <c r="D164" s="1013" t="str">
        <f t="shared" si="23"/>
        <v>ТЭ</v>
      </c>
      <c r="E164" s="1013">
        <f t="shared" si="24"/>
        <v>50</v>
      </c>
      <c r="F164" s="1250" t="str">
        <f t="shared" si="20"/>
        <v>8х45</v>
      </c>
      <c r="G164" s="1250"/>
      <c r="H164" s="1250"/>
      <c r="I164" s="1013">
        <f t="shared" si="25"/>
        <v>0</v>
      </c>
      <c r="J164" s="1262">
        <f t="shared" si="26"/>
        <v>0</v>
      </c>
      <c r="K164" s="1262"/>
      <c r="L164" s="675">
        <f t="shared" si="27"/>
        <v>0</v>
      </c>
      <c r="N164" s="1032">
        <f t="shared" si="21"/>
        <v>0</v>
      </c>
    </row>
    <row r="165" spans="2:30" ht="15" hidden="1" customHeight="1">
      <c r="B165" s="1037">
        <f>SUBTOTAL(3,$I$137:I165)</f>
        <v>7</v>
      </c>
      <c r="C165" s="1037">
        <f t="shared" si="22"/>
        <v>0</v>
      </c>
      <c r="D165" s="1013" t="str">
        <f t="shared" si="23"/>
        <v>ТЭ</v>
      </c>
      <c r="E165" s="1013">
        <f t="shared" si="24"/>
        <v>50</v>
      </c>
      <c r="F165" s="1250" t="str">
        <f t="shared" si="20"/>
        <v>8х45</v>
      </c>
      <c r="G165" s="1250"/>
      <c r="H165" s="1250"/>
      <c r="I165" s="1013">
        <f t="shared" si="25"/>
        <v>0</v>
      </c>
      <c r="J165" s="1262">
        <f t="shared" si="26"/>
        <v>0</v>
      </c>
      <c r="K165" s="1262"/>
      <c r="L165" s="675">
        <f t="shared" si="27"/>
        <v>0</v>
      </c>
      <c r="N165" s="1032">
        <f t="shared" si="21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hidden="1" customHeight="1">
      <c r="B166" s="1037">
        <f>SUBTOTAL(3,$I$137:I166)</f>
        <v>7</v>
      </c>
      <c r="C166" s="1037">
        <f t="shared" si="22"/>
        <v>0</v>
      </c>
      <c r="D166" s="1013" t="str">
        <f t="shared" si="23"/>
        <v>ТЭ</v>
      </c>
      <c r="E166" s="1013">
        <f t="shared" si="24"/>
        <v>50</v>
      </c>
      <c r="F166" s="1250" t="str">
        <f t="shared" si="20"/>
        <v>8х45</v>
      </c>
      <c r="G166" s="1250"/>
      <c r="H166" s="1250"/>
      <c r="I166" s="1013">
        <f t="shared" si="25"/>
        <v>0</v>
      </c>
      <c r="J166" s="1262">
        <f t="shared" si="26"/>
        <v>0</v>
      </c>
      <c r="K166" s="1262"/>
      <c r="L166" s="675">
        <f t="shared" si="27"/>
        <v>0</v>
      </c>
      <c r="N166" s="1032">
        <f t="shared" si="21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hidden="1" customHeight="1">
      <c r="B167" s="1037">
        <f>SUBTOTAL(3,$I$137:I167)</f>
        <v>7</v>
      </c>
      <c r="C167" s="1037">
        <f t="shared" si="22"/>
        <v>0</v>
      </c>
      <c r="D167" s="1013" t="str">
        <f t="shared" si="23"/>
        <v>ТЭ</v>
      </c>
      <c r="E167" s="1013">
        <f t="shared" si="24"/>
        <v>50</v>
      </c>
      <c r="F167" s="1250" t="str">
        <f t="shared" si="20"/>
        <v>8х45</v>
      </c>
      <c r="G167" s="1250"/>
      <c r="H167" s="1250"/>
      <c r="I167" s="1013">
        <f t="shared" si="25"/>
        <v>0</v>
      </c>
      <c r="J167" s="1262">
        <f t="shared" si="26"/>
        <v>0</v>
      </c>
      <c r="K167" s="1262"/>
      <c r="L167" s="675">
        <f t="shared" si="27"/>
        <v>0</v>
      </c>
      <c r="N167" s="1032">
        <f t="shared" si="21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hidden="1" customHeight="1">
      <c r="B168" s="1037">
        <f>SUBTOTAL(3,$I$137:I168)</f>
        <v>7</v>
      </c>
      <c r="C168" s="1037">
        <f t="shared" si="22"/>
        <v>0</v>
      </c>
      <c r="D168" s="1013" t="str">
        <f t="shared" si="23"/>
        <v>ТЭ</v>
      </c>
      <c r="E168" s="1013">
        <f t="shared" si="24"/>
        <v>50</v>
      </c>
      <c r="F168" s="1250" t="str">
        <f t="shared" si="20"/>
        <v>8х45</v>
      </c>
      <c r="G168" s="1250"/>
      <c r="H168" s="1250"/>
      <c r="I168" s="1013">
        <f t="shared" si="25"/>
        <v>0</v>
      </c>
      <c r="J168" s="1262">
        <f t="shared" si="26"/>
        <v>0</v>
      </c>
      <c r="K168" s="1262"/>
      <c r="L168" s="675">
        <f t="shared" si="27"/>
        <v>0</v>
      </c>
      <c r="N168" s="1032">
        <f t="shared" si="21"/>
        <v>0</v>
      </c>
    </row>
    <row r="169" spans="2:30" ht="15" hidden="1" customHeight="1">
      <c r="B169" s="1037">
        <f>SUBTOTAL(3,$I$137:I169)</f>
        <v>7</v>
      </c>
      <c r="C169" s="1037">
        <f t="shared" si="22"/>
        <v>0</v>
      </c>
      <c r="D169" s="1013" t="str">
        <f t="shared" si="23"/>
        <v>ТЭ</v>
      </c>
      <c r="E169" s="1013">
        <f t="shared" si="24"/>
        <v>50</v>
      </c>
      <c r="F169" s="1250" t="str">
        <f t="shared" si="20"/>
        <v>8х45</v>
      </c>
      <c r="G169" s="1250"/>
      <c r="H169" s="1250"/>
      <c r="I169" s="1013">
        <f t="shared" si="25"/>
        <v>0</v>
      </c>
      <c r="J169" s="1262">
        <f t="shared" si="26"/>
        <v>0</v>
      </c>
      <c r="K169" s="1262"/>
      <c r="L169" s="675">
        <f t="shared" si="27"/>
        <v>0</v>
      </c>
      <c r="N169" s="1032">
        <f t="shared" si="21"/>
        <v>0</v>
      </c>
    </row>
    <row r="170" spans="2:30" ht="15" hidden="1" customHeight="1">
      <c r="B170" s="1037">
        <f>SUBTOTAL(3,$I$137:I170)</f>
        <v>7</v>
      </c>
      <c r="C170" s="1037">
        <f t="shared" si="22"/>
        <v>0</v>
      </c>
      <c r="D170" s="1013" t="str">
        <f t="shared" si="23"/>
        <v>ТЭ</v>
      </c>
      <c r="E170" s="1013">
        <f t="shared" si="24"/>
        <v>50</v>
      </c>
      <c r="F170" s="1250" t="str">
        <f t="shared" si="20"/>
        <v>8х45</v>
      </c>
      <c r="G170" s="1250"/>
      <c r="H170" s="1250"/>
      <c r="I170" s="1013">
        <f t="shared" si="25"/>
        <v>0</v>
      </c>
      <c r="J170" s="1262">
        <f t="shared" si="26"/>
        <v>0</v>
      </c>
      <c r="K170" s="1262"/>
      <c r="L170" s="675">
        <f t="shared" si="27"/>
        <v>0</v>
      </c>
      <c r="N170" s="1032">
        <f t="shared" si="21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hidden="1" customHeight="1">
      <c r="B171" s="1037">
        <f>SUBTOTAL(3,$I$137:I171)</f>
        <v>7</v>
      </c>
      <c r="C171" s="1037">
        <f t="shared" si="22"/>
        <v>0</v>
      </c>
      <c r="D171" s="1013" t="str">
        <f t="shared" si="23"/>
        <v>ТЭ</v>
      </c>
      <c r="E171" s="1013">
        <f t="shared" si="24"/>
        <v>50</v>
      </c>
      <c r="F171" s="1250" t="str">
        <f t="shared" si="20"/>
        <v>8х45</v>
      </c>
      <c r="G171" s="1250"/>
      <c r="H171" s="1250"/>
      <c r="I171" s="1013">
        <f t="shared" si="25"/>
        <v>0</v>
      </c>
      <c r="J171" s="1262">
        <f t="shared" si="26"/>
        <v>0</v>
      </c>
      <c r="K171" s="1262"/>
      <c r="L171" s="675">
        <f t="shared" si="27"/>
        <v>0</v>
      </c>
      <c r="N171" s="1032">
        <f t="shared" si="21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hidden="1" customHeight="1">
      <c r="B172" s="1037">
        <f>SUBTOTAL(3,$I$137:I172)</f>
        <v>7</v>
      </c>
      <c r="C172" s="1037">
        <f t="shared" si="22"/>
        <v>0</v>
      </c>
      <c r="D172" s="1013" t="str">
        <f t="shared" si="23"/>
        <v>ТЭ</v>
      </c>
      <c r="E172" s="1013">
        <f t="shared" si="24"/>
        <v>50</v>
      </c>
      <c r="F172" s="1250" t="str">
        <f t="shared" si="20"/>
        <v>8х45</v>
      </c>
      <c r="G172" s="1250"/>
      <c r="H172" s="1250"/>
      <c r="I172" s="1013">
        <f t="shared" si="25"/>
        <v>0</v>
      </c>
      <c r="J172" s="1262">
        <f t="shared" si="26"/>
        <v>0</v>
      </c>
      <c r="K172" s="1262"/>
      <c r="L172" s="675">
        <f t="shared" si="27"/>
        <v>0</v>
      </c>
      <c r="N172" s="1032">
        <f t="shared" si="21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hidden="1" customHeight="1">
      <c r="B173" s="1037">
        <f>SUBTOTAL(3,$I$137:I173)</f>
        <v>7</v>
      </c>
      <c r="C173" s="1037">
        <f t="shared" si="22"/>
        <v>0</v>
      </c>
      <c r="D173" s="1013" t="str">
        <f t="shared" si="23"/>
        <v>ТЭ</v>
      </c>
      <c r="E173" s="1013">
        <f t="shared" si="24"/>
        <v>50</v>
      </c>
      <c r="F173" s="1250" t="str">
        <f t="shared" si="20"/>
        <v>8х45</v>
      </c>
      <c r="G173" s="1250"/>
      <c r="H173" s="1250"/>
      <c r="I173" s="1013">
        <f t="shared" si="25"/>
        <v>0</v>
      </c>
      <c r="J173" s="1262">
        <f t="shared" si="26"/>
        <v>0</v>
      </c>
      <c r="K173" s="1262"/>
      <c r="L173" s="675">
        <f t="shared" si="27"/>
        <v>0</v>
      </c>
      <c r="N173" s="1032">
        <f t="shared" si="21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hidden="1" customHeight="1">
      <c r="B174" s="1037">
        <f>SUBTOTAL(3,$I$137:I174)</f>
        <v>7</v>
      </c>
      <c r="C174" s="1037">
        <f t="shared" si="22"/>
        <v>0</v>
      </c>
      <c r="D174" s="1013" t="str">
        <f t="shared" si="23"/>
        <v>ТЭ</v>
      </c>
      <c r="E174" s="1013">
        <f t="shared" si="24"/>
        <v>50</v>
      </c>
      <c r="F174" s="1250" t="str">
        <f t="shared" si="20"/>
        <v>8х45</v>
      </c>
      <c r="G174" s="1250"/>
      <c r="H174" s="1250"/>
      <c r="I174" s="1013">
        <f t="shared" si="25"/>
        <v>0</v>
      </c>
      <c r="J174" s="1262">
        <f t="shared" si="26"/>
        <v>0</v>
      </c>
      <c r="K174" s="1262"/>
      <c r="L174" s="675">
        <f t="shared" si="27"/>
        <v>0</v>
      </c>
      <c r="N174" s="1032">
        <f t="shared" si="21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hidden="1" customHeight="1">
      <c r="B175" s="1037">
        <f>SUBTOTAL(3,$I$137:I175)</f>
        <v>7</v>
      </c>
      <c r="C175" s="1037">
        <f t="shared" si="22"/>
        <v>0</v>
      </c>
      <c r="D175" s="1013" t="str">
        <f t="shared" si="23"/>
        <v>ТЭ</v>
      </c>
      <c r="E175" s="1013">
        <f t="shared" si="24"/>
        <v>50</v>
      </c>
      <c r="F175" s="1250" t="str">
        <f t="shared" si="20"/>
        <v>8х45</v>
      </c>
      <c r="G175" s="1250"/>
      <c r="H175" s="1250"/>
      <c r="I175" s="1013">
        <f t="shared" si="25"/>
        <v>0</v>
      </c>
      <c r="J175" s="1262">
        <f t="shared" si="26"/>
        <v>0</v>
      </c>
      <c r="K175" s="1262"/>
      <c r="L175" s="675">
        <f t="shared" si="27"/>
        <v>0</v>
      </c>
      <c r="N175" s="1032">
        <f t="shared" si="21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hidden="1" customHeight="1">
      <c r="B176" s="1037">
        <f>SUBTOTAL(3,$I$137:I176)</f>
        <v>7</v>
      </c>
      <c r="C176" s="1037">
        <f t="shared" si="22"/>
        <v>0</v>
      </c>
      <c r="D176" s="1013" t="str">
        <f t="shared" si="23"/>
        <v>ТЭ</v>
      </c>
      <c r="E176" s="1013">
        <f t="shared" si="24"/>
        <v>50</v>
      </c>
      <c r="F176" s="1250" t="str">
        <f t="shared" si="20"/>
        <v>8х45</v>
      </c>
      <c r="G176" s="1250"/>
      <c r="H176" s="1250"/>
      <c r="I176" s="1013">
        <f t="shared" si="25"/>
        <v>0</v>
      </c>
      <c r="J176" s="1262">
        <f t="shared" si="26"/>
        <v>0</v>
      </c>
      <c r="K176" s="1262"/>
      <c r="L176" s="675">
        <f t="shared" si="27"/>
        <v>0</v>
      </c>
      <c r="N176" s="1032">
        <f t="shared" si="21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hidden="1" customHeight="1">
      <c r="B177" s="1013">
        <f>SUBTOTAL(3,$I$137:I177)</f>
        <v>7</v>
      </c>
      <c r="C177" s="1037">
        <f t="shared" si="22"/>
        <v>0</v>
      </c>
      <c r="D177" s="1013" t="str">
        <f t="shared" si="23"/>
        <v>ТЭ</v>
      </c>
      <c r="E177" s="1013">
        <f t="shared" si="24"/>
        <v>50</v>
      </c>
      <c r="F177" s="1250" t="str">
        <f t="shared" si="20"/>
        <v>8х45</v>
      </c>
      <c r="G177" s="1250"/>
      <c r="H177" s="1250"/>
      <c r="I177" s="1013">
        <f t="shared" si="25"/>
        <v>0</v>
      </c>
      <c r="J177" s="1262">
        <f t="shared" si="26"/>
        <v>0</v>
      </c>
      <c r="K177" s="1262"/>
      <c r="L177" s="1019">
        <f t="shared" si="27"/>
        <v>0</v>
      </c>
      <c r="N177" s="1032">
        <f t="shared" si="21"/>
        <v>0</v>
      </c>
      <c r="AA177" s="106"/>
    </row>
    <row r="178" spans="2:30" ht="15" hidden="1" customHeight="1">
      <c r="B178" s="1037">
        <f>SUBTOTAL(3,$I$137:I178)</f>
        <v>7</v>
      </c>
      <c r="C178" s="1037">
        <f t="shared" si="22"/>
        <v>0</v>
      </c>
      <c r="D178" s="1013" t="str">
        <f t="shared" si="23"/>
        <v>ТЭ</v>
      </c>
      <c r="E178" s="1013">
        <f t="shared" si="24"/>
        <v>50</v>
      </c>
      <c r="F178" s="1250" t="str">
        <f t="shared" si="20"/>
        <v>8х45</v>
      </c>
      <c r="G178" s="1250"/>
      <c r="H178" s="1250"/>
      <c r="I178" s="1013">
        <f t="shared" si="25"/>
        <v>0</v>
      </c>
      <c r="J178" s="1262">
        <f t="shared" si="26"/>
        <v>0</v>
      </c>
      <c r="K178" s="1262"/>
      <c r="L178" s="675">
        <f t="shared" si="27"/>
        <v>0</v>
      </c>
      <c r="N178" s="1032">
        <f t="shared" si="21"/>
        <v>0</v>
      </c>
      <c r="AA178" s="106"/>
    </row>
    <row r="179" spans="2:30" ht="15" hidden="1" customHeight="1">
      <c r="B179" s="1037">
        <f>SUBTOTAL(3,$I$137:I179)</f>
        <v>7</v>
      </c>
      <c r="C179" s="1037">
        <f t="shared" si="22"/>
        <v>0</v>
      </c>
      <c r="D179" s="1013" t="str">
        <f t="shared" si="23"/>
        <v>ТЭ</v>
      </c>
      <c r="E179" s="1013">
        <f t="shared" si="24"/>
        <v>50</v>
      </c>
      <c r="F179" s="1250" t="str">
        <f t="shared" si="20"/>
        <v>8х45</v>
      </c>
      <c r="G179" s="1250"/>
      <c r="H179" s="1250"/>
      <c r="I179" s="1013">
        <f t="shared" si="25"/>
        <v>0</v>
      </c>
      <c r="J179" s="1262">
        <f t="shared" si="26"/>
        <v>0</v>
      </c>
      <c r="K179" s="1262"/>
      <c r="L179" s="675">
        <f t="shared" si="27"/>
        <v>0</v>
      </c>
      <c r="N179" s="1032">
        <f t="shared" si="21"/>
        <v>0</v>
      </c>
      <c r="AA179" s="106"/>
    </row>
    <row r="180" spans="2:30" ht="15" hidden="1" customHeight="1" thickBot="1">
      <c r="B180" s="1037">
        <f>SUBTOTAL(3,$I$137:I180)</f>
        <v>7</v>
      </c>
      <c r="C180" s="1037">
        <f t="shared" si="22"/>
        <v>0</v>
      </c>
      <c r="D180" s="1013" t="str">
        <f t="shared" si="23"/>
        <v>ТЭ</v>
      </c>
      <c r="E180" s="1013">
        <f t="shared" si="24"/>
        <v>50</v>
      </c>
      <c r="F180" s="1250" t="str">
        <f t="shared" si="20"/>
        <v>8х45</v>
      </c>
      <c r="G180" s="1250"/>
      <c r="H180" s="1250"/>
      <c r="I180" s="1013">
        <f t="shared" si="25"/>
        <v>0</v>
      </c>
      <c r="J180" s="1262">
        <f t="shared" si="26"/>
        <v>0</v>
      </c>
      <c r="K180" s="1262"/>
      <c r="L180" s="675">
        <f t="shared" si="27"/>
        <v>0</v>
      </c>
      <c r="N180" s="1032">
        <f t="shared" si="21"/>
        <v>0</v>
      </c>
    </row>
    <row r="181" spans="2:30" ht="15" hidden="1" customHeight="1" thickBot="1">
      <c r="B181" s="1037">
        <f>SUBTOTAL(3,$I$137:I181)</f>
        <v>7</v>
      </c>
      <c r="C181" s="1037">
        <f t="shared" si="22"/>
        <v>0</v>
      </c>
      <c r="D181" s="1013" t="str">
        <f t="shared" si="23"/>
        <v>ТЭ</v>
      </c>
      <c r="E181" s="1013">
        <f t="shared" si="24"/>
        <v>50</v>
      </c>
      <c r="F181" s="1250" t="str">
        <f t="shared" si="20"/>
        <v>8х45</v>
      </c>
      <c r="G181" s="1250"/>
      <c r="H181" s="1250"/>
      <c r="I181" s="1013">
        <f t="shared" si="25"/>
        <v>0</v>
      </c>
      <c r="J181" s="1262">
        <f t="shared" si="26"/>
        <v>0</v>
      </c>
      <c r="K181" s="1262"/>
      <c r="L181" s="675">
        <f t="shared" si="27"/>
        <v>0</v>
      </c>
      <c r="N181" s="1032">
        <f t="shared" si="21"/>
        <v>0</v>
      </c>
      <c r="AA181" s="904"/>
      <c r="AB181" s="204"/>
      <c r="AC181" s="268" t="s">
        <v>1152</v>
      </c>
      <c r="AD181" s="905" t="s">
        <v>936</v>
      </c>
    </row>
    <row r="182" spans="2:30" ht="15" hidden="1" customHeight="1">
      <c r="B182" s="1037">
        <f>SUBTOTAL(3,$I$137:I182)</f>
        <v>7</v>
      </c>
      <c r="C182" s="1037">
        <f t="shared" si="22"/>
        <v>0</v>
      </c>
      <c r="D182" s="1013" t="str">
        <f t="shared" si="23"/>
        <v>ТЭ</v>
      </c>
      <c r="E182" s="1013">
        <f t="shared" si="24"/>
        <v>50</v>
      </c>
      <c r="F182" s="1250" t="str">
        <f t="shared" si="20"/>
        <v>8х45</v>
      </c>
      <c r="G182" s="1250"/>
      <c r="H182" s="1250"/>
      <c r="I182" s="1013">
        <f t="shared" si="25"/>
        <v>0</v>
      </c>
      <c r="J182" s="1262">
        <f t="shared" si="26"/>
        <v>0</v>
      </c>
      <c r="K182" s="1262"/>
      <c r="L182" s="675">
        <f t="shared" si="27"/>
        <v>0</v>
      </c>
      <c r="N182" s="1032">
        <f t="shared" si="21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hidden="1" customHeight="1">
      <c r="B183" s="1037">
        <f>SUBTOTAL(3,$I$137:I183)</f>
        <v>7</v>
      </c>
      <c r="C183" s="1037">
        <f t="shared" si="22"/>
        <v>0</v>
      </c>
      <c r="D183" s="1013" t="str">
        <f t="shared" si="23"/>
        <v>ТЭ</v>
      </c>
      <c r="E183" s="1013">
        <f t="shared" si="24"/>
        <v>50</v>
      </c>
      <c r="F183" s="1250" t="str">
        <f t="shared" si="20"/>
        <v>8х45</v>
      </c>
      <c r="G183" s="1250"/>
      <c r="H183" s="1250"/>
      <c r="I183" s="1013">
        <f t="shared" si="25"/>
        <v>0</v>
      </c>
      <c r="J183" s="1262">
        <f t="shared" si="26"/>
        <v>0</v>
      </c>
      <c r="K183" s="1262"/>
      <c r="L183" s="675">
        <f t="shared" si="27"/>
        <v>0</v>
      </c>
      <c r="N183" s="1032">
        <f t="shared" si="21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hidden="1" customHeight="1">
      <c r="B184" s="1037">
        <f>SUBTOTAL(3,$I$137:I184)</f>
        <v>7</v>
      </c>
      <c r="C184" s="1037">
        <f t="shared" si="22"/>
        <v>0</v>
      </c>
      <c r="D184" s="1013" t="str">
        <f t="shared" si="23"/>
        <v>ТЭ</v>
      </c>
      <c r="E184" s="1013">
        <f t="shared" si="24"/>
        <v>50</v>
      </c>
      <c r="F184" s="1250" t="str">
        <f t="shared" si="20"/>
        <v>8х45</v>
      </c>
      <c r="G184" s="1250"/>
      <c r="H184" s="1250"/>
      <c r="I184" s="1013">
        <f t="shared" si="25"/>
        <v>0</v>
      </c>
      <c r="J184" s="1262">
        <f t="shared" si="26"/>
        <v>0</v>
      </c>
      <c r="K184" s="1262"/>
      <c r="L184" s="675">
        <f t="shared" si="27"/>
        <v>0</v>
      </c>
      <c r="N184" s="1032">
        <f t="shared" si="21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hidden="1" customHeight="1" thickBot="1">
      <c r="B185" s="1037">
        <f>SUBTOTAL(3,$I$137:I185)</f>
        <v>7</v>
      </c>
      <c r="C185" s="1037">
        <f t="shared" ref="C185:C216" si="28">IF($T$5=$AA$12,S21,S21+$R$3)</f>
        <v>0</v>
      </c>
      <c r="D185" s="1013" t="str">
        <f t="shared" si="23"/>
        <v>ТЭ</v>
      </c>
      <c r="E185" s="1013">
        <f t="shared" si="24"/>
        <v>50</v>
      </c>
      <c r="F185" s="1250" t="str">
        <f t="shared" si="20"/>
        <v>8х45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7"/>
        <v>0</v>
      </c>
      <c r="N185" s="1032">
        <f t="shared" si="21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hidden="1" customHeight="1" thickBot="1">
      <c r="B186" s="1037">
        <f>SUBTOTAL(3,$I$137:I186)</f>
        <v>7</v>
      </c>
      <c r="C186" s="1037">
        <f t="shared" si="28"/>
        <v>0</v>
      </c>
      <c r="D186" s="1013" t="str">
        <f t="shared" si="23"/>
        <v>ТЭ</v>
      </c>
      <c r="E186" s="1013">
        <f t="shared" si="24"/>
        <v>50</v>
      </c>
      <c r="F186" s="1250" t="str">
        <f t="shared" si="20"/>
        <v>8х45</v>
      </c>
      <c r="G186" s="1250"/>
      <c r="H186" s="1250"/>
      <c r="I186" s="1013">
        <f t="shared" ref="I186:I216" si="29">ROUND(T22,0)</f>
        <v>0</v>
      </c>
      <c r="J186" s="1262">
        <f t="shared" ref="J186:J216" si="30">ROUND(IFERROR(IF($V$4=$Y$11,0,IF($T$3=$Y$13,T22/$AE$12*$U$12,T22/$U$14*$U$12)),0),0)</f>
        <v>0</v>
      </c>
      <c r="K186" s="1262"/>
      <c r="L186" s="675">
        <f t="shared" si="27"/>
        <v>0</v>
      </c>
      <c r="N186" s="1032">
        <f t="shared" si="21"/>
        <v>0</v>
      </c>
      <c r="AA186" s="848"/>
      <c r="AB186" s="274"/>
      <c r="AC186" s="274">
        <f ca="1">IF(V3=Y4,SUM(AC182:AC185),0)</f>
        <v>0</v>
      </c>
      <c r="AD186" s="207">
        <f ca="1">IF(V3=Y4,SUM(AD182:AD185),0)</f>
        <v>0</v>
      </c>
    </row>
    <row r="187" spans="2:30" ht="15" hidden="1" customHeight="1">
      <c r="B187" s="1037">
        <f>SUBTOTAL(3,$I$137:I187)</f>
        <v>7</v>
      </c>
      <c r="C187" s="1037">
        <f t="shared" si="28"/>
        <v>0</v>
      </c>
      <c r="D187" s="1013" t="str">
        <f t="shared" si="23"/>
        <v>ТЭ</v>
      </c>
      <c r="E187" s="1013">
        <f t="shared" si="24"/>
        <v>50</v>
      </c>
      <c r="F187" s="1250" t="str">
        <f t="shared" si="20"/>
        <v>8х45</v>
      </c>
      <c r="G187" s="1250"/>
      <c r="H187" s="1250"/>
      <c r="I187" s="1013">
        <f t="shared" si="29"/>
        <v>0</v>
      </c>
      <c r="J187" s="1262">
        <f t="shared" si="30"/>
        <v>0</v>
      </c>
      <c r="K187" s="1262"/>
      <c r="L187" s="675">
        <f t="shared" si="27"/>
        <v>0</v>
      </c>
      <c r="N187" s="1032">
        <f t="shared" si="21"/>
        <v>0</v>
      </c>
      <c r="AA187" s="1"/>
    </row>
    <row r="188" spans="2:30" ht="15" hidden="1" customHeight="1">
      <c r="B188" s="1037">
        <f>SUBTOTAL(3,$I$137:I188)</f>
        <v>7</v>
      </c>
      <c r="C188" s="1037">
        <f t="shared" si="28"/>
        <v>0</v>
      </c>
      <c r="D188" s="1013" t="str">
        <f t="shared" si="23"/>
        <v>ТЭ</v>
      </c>
      <c r="E188" s="1013">
        <f t="shared" si="24"/>
        <v>50</v>
      </c>
      <c r="F188" s="1250" t="str">
        <f t="shared" si="20"/>
        <v>8х45</v>
      </c>
      <c r="G188" s="1250"/>
      <c r="H188" s="1250"/>
      <c r="I188" s="1013">
        <f t="shared" si="29"/>
        <v>0</v>
      </c>
      <c r="J188" s="1262">
        <f t="shared" si="30"/>
        <v>0</v>
      </c>
      <c r="K188" s="1262"/>
      <c r="L188" s="675">
        <f t="shared" si="27"/>
        <v>0</v>
      </c>
      <c r="N188" s="1032">
        <f t="shared" si="21"/>
        <v>0</v>
      </c>
      <c r="AA188" s="1"/>
    </row>
    <row r="189" spans="2:30" ht="15" hidden="1" customHeight="1">
      <c r="B189" s="1037">
        <f>SUBTOTAL(3,$I$137:I189)</f>
        <v>7</v>
      </c>
      <c r="C189" s="1037">
        <f t="shared" si="28"/>
        <v>0</v>
      </c>
      <c r="D189" s="1013" t="str">
        <f t="shared" si="23"/>
        <v>ТЭ</v>
      </c>
      <c r="E189" s="1013">
        <f t="shared" si="24"/>
        <v>50</v>
      </c>
      <c r="F189" s="1250" t="str">
        <f t="shared" si="20"/>
        <v>8х45</v>
      </c>
      <c r="G189" s="1250"/>
      <c r="H189" s="1250"/>
      <c r="I189" s="1013">
        <f t="shared" si="29"/>
        <v>0</v>
      </c>
      <c r="J189" s="1262">
        <f t="shared" si="30"/>
        <v>0</v>
      </c>
      <c r="K189" s="1262"/>
      <c r="L189" s="675">
        <f t="shared" si="27"/>
        <v>0</v>
      </c>
      <c r="N189" s="1032">
        <f t="shared" si="21"/>
        <v>0</v>
      </c>
      <c r="AA189" s="1"/>
    </row>
    <row r="190" spans="2:30" ht="15" hidden="1" customHeight="1">
      <c r="B190" s="1037">
        <f>SUBTOTAL(3,$I$137:I190)</f>
        <v>7</v>
      </c>
      <c r="C190" s="1037">
        <f t="shared" si="28"/>
        <v>0</v>
      </c>
      <c r="D190" s="1013" t="str">
        <f t="shared" si="23"/>
        <v>ТЭ</v>
      </c>
      <c r="E190" s="1013">
        <f t="shared" si="24"/>
        <v>50</v>
      </c>
      <c r="F190" s="1250" t="str">
        <f t="shared" si="20"/>
        <v>8х45</v>
      </c>
      <c r="G190" s="1250"/>
      <c r="H190" s="1250"/>
      <c r="I190" s="1013">
        <f t="shared" si="29"/>
        <v>0</v>
      </c>
      <c r="J190" s="1262">
        <f t="shared" si="30"/>
        <v>0</v>
      </c>
      <c r="K190" s="1262"/>
      <c r="L190" s="675">
        <f t="shared" si="27"/>
        <v>0</v>
      </c>
      <c r="N190" s="1032">
        <f t="shared" si="21"/>
        <v>0</v>
      </c>
      <c r="Z190" s="106"/>
      <c r="AA190" s="106"/>
    </row>
    <row r="191" spans="2:30" ht="15" hidden="1" customHeight="1">
      <c r="B191" s="1037">
        <f>SUBTOTAL(3,$I$137:I191)</f>
        <v>7</v>
      </c>
      <c r="C191" s="1037">
        <f t="shared" si="28"/>
        <v>0</v>
      </c>
      <c r="D191" s="1013" t="str">
        <f t="shared" si="23"/>
        <v>ТЭ</v>
      </c>
      <c r="E191" s="1013">
        <f t="shared" si="24"/>
        <v>50</v>
      </c>
      <c r="F191" s="1250" t="str">
        <f t="shared" si="20"/>
        <v>8х45</v>
      </c>
      <c r="G191" s="1250"/>
      <c r="H191" s="1250"/>
      <c r="I191" s="1013">
        <f t="shared" si="29"/>
        <v>0</v>
      </c>
      <c r="J191" s="1262">
        <f t="shared" si="30"/>
        <v>0</v>
      </c>
      <c r="K191" s="1262"/>
      <c r="L191" s="675">
        <f t="shared" si="27"/>
        <v>0</v>
      </c>
      <c r="N191" s="1032">
        <f t="shared" si="21"/>
        <v>0</v>
      </c>
      <c r="Z191" s="106"/>
      <c r="AA191" s="106"/>
    </row>
    <row r="192" spans="2:30" ht="15" hidden="1" customHeight="1">
      <c r="B192" s="1037">
        <f>SUBTOTAL(3,$I$137:I192)</f>
        <v>7</v>
      </c>
      <c r="C192" s="1037">
        <f t="shared" si="28"/>
        <v>0</v>
      </c>
      <c r="D192" s="1013" t="str">
        <f t="shared" si="23"/>
        <v>ТЭ</v>
      </c>
      <c r="E192" s="1013">
        <f t="shared" si="24"/>
        <v>50</v>
      </c>
      <c r="F192" s="1250" t="str">
        <f t="shared" si="20"/>
        <v>8х45</v>
      </c>
      <c r="G192" s="1250"/>
      <c r="H192" s="1250"/>
      <c r="I192" s="1013">
        <f t="shared" si="29"/>
        <v>0</v>
      </c>
      <c r="J192" s="1262">
        <f t="shared" si="30"/>
        <v>0</v>
      </c>
      <c r="K192" s="1262"/>
      <c r="L192" s="675">
        <f t="shared" si="27"/>
        <v>0</v>
      </c>
      <c r="N192" s="1032">
        <f t="shared" si="21"/>
        <v>0</v>
      </c>
      <c r="Z192" s="106"/>
      <c r="AA192" s="106"/>
    </row>
    <row r="193" spans="2:27" ht="15" hidden="1" customHeight="1">
      <c r="B193" s="1037">
        <f>SUBTOTAL(3,$I$137:I193)</f>
        <v>7</v>
      </c>
      <c r="C193" s="1037">
        <f t="shared" si="28"/>
        <v>0</v>
      </c>
      <c r="D193" s="1013" t="str">
        <f t="shared" si="23"/>
        <v>ТЭ</v>
      </c>
      <c r="E193" s="1013">
        <f t="shared" si="24"/>
        <v>50</v>
      </c>
      <c r="F193" s="1250" t="str">
        <f t="shared" si="20"/>
        <v>8х45</v>
      </c>
      <c r="G193" s="1250"/>
      <c r="H193" s="1250"/>
      <c r="I193" s="1013">
        <f t="shared" si="29"/>
        <v>0</v>
      </c>
      <c r="J193" s="1262">
        <f t="shared" si="30"/>
        <v>0</v>
      </c>
      <c r="K193" s="1262"/>
      <c r="L193" s="675">
        <f t="shared" si="27"/>
        <v>0</v>
      </c>
      <c r="N193" s="1032">
        <f t="shared" si="21"/>
        <v>0</v>
      </c>
      <c r="Z193" s="106"/>
      <c r="AA193" s="106"/>
    </row>
    <row r="194" spans="2:27" ht="15" hidden="1" customHeight="1">
      <c r="B194" s="1037">
        <f>SUBTOTAL(3,$I$137:I194)</f>
        <v>7</v>
      </c>
      <c r="C194" s="1037">
        <f t="shared" si="28"/>
        <v>0</v>
      </c>
      <c r="D194" s="1013" t="str">
        <f t="shared" si="23"/>
        <v>ТЭ</v>
      </c>
      <c r="E194" s="1013">
        <f t="shared" si="24"/>
        <v>50</v>
      </c>
      <c r="F194" s="1250" t="str">
        <f t="shared" si="20"/>
        <v>8х45</v>
      </c>
      <c r="G194" s="1250"/>
      <c r="H194" s="1250"/>
      <c r="I194" s="1013">
        <f t="shared" si="29"/>
        <v>0</v>
      </c>
      <c r="J194" s="1262">
        <f t="shared" si="30"/>
        <v>0</v>
      </c>
      <c r="K194" s="1262"/>
      <c r="L194" s="675">
        <f t="shared" si="27"/>
        <v>0</v>
      </c>
      <c r="N194" s="1032">
        <f t="shared" si="21"/>
        <v>0</v>
      </c>
      <c r="Z194" s="106"/>
      <c r="AA194" s="1"/>
    </row>
    <row r="195" spans="2:27" ht="15" hidden="1" customHeight="1">
      <c r="B195" s="1037">
        <f>SUBTOTAL(3,$I$137:I195)</f>
        <v>7</v>
      </c>
      <c r="C195" s="1037">
        <f t="shared" si="28"/>
        <v>0</v>
      </c>
      <c r="D195" s="1013" t="str">
        <f t="shared" si="23"/>
        <v>ТЭ</v>
      </c>
      <c r="E195" s="1013">
        <f t="shared" si="24"/>
        <v>50</v>
      </c>
      <c r="F195" s="1250" t="str">
        <f t="shared" si="20"/>
        <v>8х45</v>
      </c>
      <c r="G195" s="1250"/>
      <c r="H195" s="1250"/>
      <c r="I195" s="1013">
        <f t="shared" si="29"/>
        <v>0</v>
      </c>
      <c r="J195" s="1262">
        <f t="shared" si="30"/>
        <v>0</v>
      </c>
      <c r="K195" s="1262"/>
      <c r="L195" s="675">
        <f t="shared" si="27"/>
        <v>0</v>
      </c>
      <c r="N195" s="1032">
        <f t="shared" si="21"/>
        <v>0</v>
      </c>
      <c r="Z195" s="1"/>
      <c r="AA195" s="1"/>
    </row>
    <row r="196" spans="2:27" ht="15" hidden="1" customHeight="1">
      <c r="B196" s="1037">
        <f>SUBTOTAL(3,$I$137:I196)</f>
        <v>7</v>
      </c>
      <c r="C196" s="1037">
        <f t="shared" si="28"/>
        <v>0</v>
      </c>
      <c r="D196" s="1013" t="str">
        <f t="shared" si="23"/>
        <v>ТЭ</v>
      </c>
      <c r="E196" s="1013">
        <f t="shared" si="24"/>
        <v>50</v>
      </c>
      <c r="F196" s="1250" t="str">
        <f t="shared" si="20"/>
        <v>8х45</v>
      </c>
      <c r="G196" s="1250"/>
      <c r="H196" s="1250"/>
      <c r="I196" s="1013">
        <f t="shared" si="29"/>
        <v>0</v>
      </c>
      <c r="J196" s="1262">
        <f t="shared" si="30"/>
        <v>0</v>
      </c>
      <c r="K196" s="1262"/>
      <c r="L196" s="675">
        <f t="shared" si="27"/>
        <v>0</v>
      </c>
      <c r="N196" s="1032">
        <f t="shared" si="21"/>
        <v>0</v>
      </c>
      <c r="Z196" s="1"/>
      <c r="AA196" s="1"/>
    </row>
    <row r="197" spans="2:27" ht="15" hidden="1" customHeight="1">
      <c r="B197" s="1037">
        <f>SUBTOTAL(3,$I$137:I197)</f>
        <v>7</v>
      </c>
      <c r="C197" s="1037">
        <f t="shared" si="28"/>
        <v>0</v>
      </c>
      <c r="D197" s="1013" t="str">
        <f t="shared" si="23"/>
        <v>ТЭ</v>
      </c>
      <c r="E197" s="1013">
        <f t="shared" si="24"/>
        <v>50</v>
      </c>
      <c r="F197" s="1250" t="str">
        <f t="shared" si="20"/>
        <v>8х45</v>
      </c>
      <c r="G197" s="1250"/>
      <c r="H197" s="1250"/>
      <c r="I197" s="1013">
        <f t="shared" si="29"/>
        <v>0</v>
      </c>
      <c r="J197" s="1262">
        <f t="shared" si="30"/>
        <v>0</v>
      </c>
      <c r="K197" s="1262"/>
      <c r="L197" s="675">
        <f t="shared" si="27"/>
        <v>0</v>
      </c>
      <c r="N197" s="1032">
        <f t="shared" si="21"/>
        <v>0</v>
      </c>
      <c r="Z197" s="1"/>
      <c r="AA197" s="1"/>
    </row>
    <row r="198" spans="2:27" ht="15" hidden="1" customHeight="1">
      <c r="B198" s="1037">
        <f>SUBTOTAL(3,$I$137:I198)</f>
        <v>7</v>
      </c>
      <c r="C198" s="1037">
        <f t="shared" si="28"/>
        <v>0</v>
      </c>
      <c r="D198" s="1013" t="str">
        <f t="shared" si="23"/>
        <v>ТЭ</v>
      </c>
      <c r="E198" s="1013">
        <f t="shared" si="24"/>
        <v>50</v>
      </c>
      <c r="F198" s="1250" t="str">
        <f t="shared" si="20"/>
        <v>8х45</v>
      </c>
      <c r="G198" s="1250"/>
      <c r="H198" s="1250"/>
      <c r="I198" s="1013">
        <f t="shared" si="29"/>
        <v>0</v>
      </c>
      <c r="J198" s="1262">
        <f t="shared" si="30"/>
        <v>0</v>
      </c>
      <c r="K198" s="1262"/>
      <c r="L198" s="675">
        <f t="shared" si="27"/>
        <v>0</v>
      </c>
      <c r="N198" s="1032">
        <f t="shared" si="21"/>
        <v>0</v>
      </c>
    </row>
    <row r="199" spans="2:27" ht="15" hidden="1" customHeight="1">
      <c r="B199" s="1037">
        <f>SUBTOTAL(3,$I$137:I199)</f>
        <v>7</v>
      </c>
      <c r="C199" s="1037">
        <f t="shared" si="28"/>
        <v>0</v>
      </c>
      <c r="D199" s="1013" t="str">
        <f t="shared" si="23"/>
        <v>ТЭ</v>
      </c>
      <c r="E199" s="1013">
        <f t="shared" si="24"/>
        <v>50</v>
      </c>
      <c r="F199" s="1250" t="str">
        <f t="shared" si="20"/>
        <v>8х45</v>
      </c>
      <c r="G199" s="1250"/>
      <c r="H199" s="1250"/>
      <c r="I199" s="1013">
        <f t="shared" si="29"/>
        <v>0</v>
      </c>
      <c r="J199" s="1262">
        <f t="shared" si="30"/>
        <v>0</v>
      </c>
      <c r="K199" s="1262"/>
      <c r="L199" s="675">
        <f t="shared" si="27"/>
        <v>0</v>
      </c>
      <c r="N199" s="1032">
        <f t="shared" si="21"/>
        <v>0</v>
      </c>
    </row>
    <row r="200" spans="2:27" ht="15" hidden="1" customHeight="1">
      <c r="B200" s="1037">
        <f>SUBTOTAL(3,$I$137:I200)</f>
        <v>7</v>
      </c>
      <c r="C200" s="1037">
        <f t="shared" si="28"/>
        <v>0</v>
      </c>
      <c r="D200" s="1013" t="str">
        <f t="shared" si="23"/>
        <v>ТЭ</v>
      </c>
      <c r="E200" s="1013">
        <f t="shared" si="24"/>
        <v>50</v>
      </c>
      <c r="F200" s="1250" t="str">
        <f t="shared" si="20"/>
        <v>8х45</v>
      </c>
      <c r="G200" s="1250"/>
      <c r="H200" s="1250"/>
      <c r="I200" s="1013">
        <f t="shared" si="29"/>
        <v>0</v>
      </c>
      <c r="J200" s="1262">
        <f t="shared" si="30"/>
        <v>0</v>
      </c>
      <c r="K200" s="1262"/>
      <c r="L200" s="675">
        <f t="shared" si="27"/>
        <v>0</v>
      </c>
      <c r="N200" s="1032">
        <f t="shared" si="21"/>
        <v>0</v>
      </c>
    </row>
    <row r="201" spans="2:27" ht="15" hidden="1" customHeight="1">
      <c r="B201" s="1037">
        <f>SUBTOTAL(3,$I$137:I201)</f>
        <v>7</v>
      </c>
      <c r="C201" s="1037">
        <f t="shared" si="28"/>
        <v>0</v>
      </c>
      <c r="D201" s="1013" t="str">
        <f t="shared" si="23"/>
        <v>ТЭ</v>
      </c>
      <c r="E201" s="1013">
        <f t="shared" si="24"/>
        <v>50</v>
      </c>
      <c r="F201" s="1250" t="str">
        <f t="shared" ref="F201:F216" si="31">IF(AND(OR($V$4=$Y$12,$V$4=$AA$8,$V$4=$AA$9),OR($R$4=$Y$7,$R$4=$Y$9)),"8х45",IF(AND($V$4=$AA$7,C201&gt;300),"8х45",IF(AND($V$4=$AA$7,$AA$2=$AA$6),"8х45","не требуется")))</f>
        <v>8х45</v>
      </c>
      <c r="G201" s="1250"/>
      <c r="H201" s="1250"/>
      <c r="I201" s="1013">
        <f t="shared" si="29"/>
        <v>0</v>
      </c>
      <c r="J201" s="1262">
        <f t="shared" si="30"/>
        <v>0</v>
      </c>
      <c r="K201" s="1262"/>
      <c r="L201" s="675">
        <f t="shared" si="27"/>
        <v>0</v>
      </c>
      <c r="N201" s="1032">
        <f t="shared" ref="N201:N267" si="32">IF(I201&gt;0,1,0)</f>
        <v>0</v>
      </c>
    </row>
    <row r="202" spans="2:27" ht="15" hidden="1" customHeight="1">
      <c r="B202" s="1037">
        <f>SUBTOTAL(3,$I$137:I202)</f>
        <v>7</v>
      </c>
      <c r="C202" s="1037">
        <f t="shared" si="28"/>
        <v>0</v>
      </c>
      <c r="D202" s="1013" t="str">
        <f t="shared" si="23"/>
        <v>ТЭ</v>
      </c>
      <c r="E202" s="1013">
        <f t="shared" si="24"/>
        <v>50</v>
      </c>
      <c r="F202" s="1250" t="str">
        <f t="shared" si="31"/>
        <v>8х45</v>
      </c>
      <c r="G202" s="1250"/>
      <c r="H202" s="1250"/>
      <c r="I202" s="1013">
        <f t="shared" si="29"/>
        <v>0</v>
      </c>
      <c r="J202" s="1262">
        <f t="shared" si="30"/>
        <v>0</v>
      </c>
      <c r="K202" s="1262"/>
      <c r="L202" s="675">
        <f t="shared" si="27"/>
        <v>0</v>
      </c>
      <c r="N202" s="1032">
        <f t="shared" si="32"/>
        <v>0</v>
      </c>
    </row>
    <row r="203" spans="2:27" ht="15" hidden="1" customHeight="1">
      <c r="B203" s="1037">
        <f>SUBTOTAL(3,$I$137:I203)</f>
        <v>7</v>
      </c>
      <c r="C203" s="1037">
        <f t="shared" si="28"/>
        <v>0</v>
      </c>
      <c r="D203" s="1013" t="str">
        <f t="shared" ref="D203:D216" si="33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>ТЭ</v>
      </c>
      <c r="E203" s="1013">
        <f t="shared" ref="E203:E216" si="34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>50</v>
      </c>
      <c r="F203" s="1250" t="str">
        <f t="shared" si="31"/>
        <v>8х45</v>
      </c>
      <c r="G203" s="1250"/>
      <c r="H203" s="1250"/>
      <c r="I203" s="1013">
        <f t="shared" si="29"/>
        <v>0</v>
      </c>
      <c r="J203" s="1262">
        <f t="shared" si="30"/>
        <v>0</v>
      </c>
      <c r="K203" s="1262"/>
      <c r="L203" s="675">
        <f t="shared" ref="L203:L212" si="35">I203+J203</f>
        <v>0</v>
      </c>
      <c r="N203" s="1032">
        <f t="shared" si="32"/>
        <v>0</v>
      </c>
    </row>
    <row r="204" spans="2:27" ht="15" hidden="1" customHeight="1">
      <c r="B204" s="1037">
        <f>SUBTOTAL(3,$I$137:I204)</f>
        <v>7</v>
      </c>
      <c r="C204" s="1037">
        <f t="shared" si="28"/>
        <v>0</v>
      </c>
      <c r="D204" s="1013" t="str">
        <f t="shared" si="33"/>
        <v>ТЭ</v>
      </c>
      <c r="E204" s="1013">
        <f t="shared" si="34"/>
        <v>50</v>
      </c>
      <c r="F204" s="1250" t="str">
        <f t="shared" si="31"/>
        <v>8х45</v>
      </c>
      <c r="G204" s="1250"/>
      <c r="H204" s="1250"/>
      <c r="I204" s="1013">
        <f t="shared" si="29"/>
        <v>0</v>
      </c>
      <c r="J204" s="1262">
        <f t="shared" si="30"/>
        <v>0</v>
      </c>
      <c r="K204" s="1262"/>
      <c r="L204" s="675">
        <f t="shared" si="35"/>
        <v>0</v>
      </c>
      <c r="N204" s="1032">
        <f t="shared" si="32"/>
        <v>0</v>
      </c>
    </row>
    <row r="205" spans="2:27" ht="15" hidden="1" customHeight="1">
      <c r="B205" s="1037">
        <f>SUBTOTAL(3,$I$137:I205)</f>
        <v>7</v>
      </c>
      <c r="C205" s="1037">
        <f t="shared" si="28"/>
        <v>0</v>
      </c>
      <c r="D205" s="1013" t="str">
        <f t="shared" si="33"/>
        <v>ТЭ</v>
      </c>
      <c r="E205" s="1013">
        <f t="shared" si="34"/>
        <v>50</v>
      </c>
      <c r="F205" s="1250" t="str">
        <f t="shared" si="31"/>
        <v>8х45</v>
      </c>
      <c r="G205" s="1250"/>
      <c r="H205" s="1250"/>
      <c r="I205" s="1013">
        <f t="shared" si="29"/>
        <v>0</v>
      </c>
      <c r="J205" s="1262">
        <f t="shared" si="30"/>
        <v>0</v>
      </c>
      <c r="K205" s="1262"/>
      <c r="L205" s="675">
        <f t="shared" si="35"/>
        <v>0</v>
      </c>
      <c r="N205" s="1032">
        <f t="shared" si="32"/>
        <v>0</v>
      </c>
    </row>
    <row r="206" spans="2:27" ht="15" hidden="1" customHeight="1">
      <c r="B206" s="1037">
        <f>SUBTOTAL(3,$I$137:I206)</f>
        <v>7</v>
      </c>
      <c r="C206" s="1037">
        <f t="shared" si="28"/>
        <v>0</v>
      </c>
      <c r="D206" s="1013" t="str">
        <f t="shared" si="33"/>
        <v>ТЭ</v>
      </c>
      <c r="E206" s="1013">
        <f t="shared" si="34"/>
        <v>50</v>
      </c>
      <c r="F206" s="1250" t="str">
        <f t="shared" si="31"/>
        <v>8х45</v>
      </c>
      <c r="G206" s="1250"/>
      <c r="H206" s="1250"/>
      <c r="I206" s="1013">
        <f t="shared" si="29"/>
        <v>0</v>
      </c>
      <c r="J206" s="1262">
        <f t="shared" si="30"/>
        <v>0</v>
      </c>
      <c r="K206" s="1262"/>
      <c r="L206" s="675">
        <f t="shared" si="35"/>
        <v>0</v>
      </c>
      <c r="N206" s="1032">
        <f t="shared" si="32"/>
        <v>0</v>
      </c>
    </row>
    <row r="207" spans="2:27" ht="15" hidden="1" customHeight="1">
      <c r="B207" s="1037">
        <f>SUBTOTAL(3,$I$137:I207)</f>
        <v>7</v>
      </c>
      <c r="C207" s="1037">
        <f t="shared" si="28"/>
        <v>0</v>
      </c>
      <c r="D207" s="1013" t="str">
        <f t="shared" si="33"/>
        <v>ТЭ</v>
      </c>
      <c r="E207" s="1013">
        <f t="shared" si="34"/>
        <v>50</v>
      </c>
      <c r="F207" s="1250" t="str">
        <f t="shared" si="31"/>
        <v>8х45</v>
      </c>
      <c r="G207" s="1250"/>
      <c r="H207" s="1250"/>
      <c r="I207" s="1013">
        <f t="shared" si="29"/>
        <v>0</v>
      </c>
      <c r="J207" s="1262">
        <f t="shared" si="30"/>
        <v>0</v>
      </c>
      <c r="K207" s="1262"/>
      <c r="L207" s="675">
        <f t="shared" si="35"/>
        <v>0</v>
      </c>
      <c r="N207" s="1032">
        <f t="shared" si="32"/>
        <v>0</v>
      </c>
    </row>
    <row r="208" spans="2:27" ht="15" hidden="1" customHeight="1">
      <c r="B208" s="1037">
        <f>SUBTOTAL(3,$I$137:I208)</f>
        <v>7</v>
      </c>
      <c r="C208" s="1037">
        <f t="shared" si="28"/>
        <v>0</v>
      </c>
      <c r="D208" s="1013" t="str">
        <f t="shared" si="33"/>
        <v>ТЭ</v>
      </c>
      <c r="E208" s="1013">
        <f t="shared" si="34"/>
        <v>50</v>
      </c>
      <c r="F208" s="1250" t="str">
        <f t="shared" si="31"/>
        <v>8х45</v>
      </c>
      <c r="G208" s="1250"/>
      <c r="H208" s="1250"/>
      <c r="I208" s="1013">
        <f t="shared" si="29"/>
        <v>0</v>
      </c>
      <c r="J208" s="1262">
        <f t="shared" si="30"/>
        <v>0</v>
      </c>
      <c r="K208" s="1262"/>
      <c r="L208" s="675">
        <f t="shared" si="35"/>
        <v>0</v>
      </c>
      <c r="N208" s="1032">
        <f t="shared" si="32"/>
        <v>0</v>
      </c>
    </row>
    <row r="209" spans="2:36" ht="15" hidden="1" customHeight="1">
      <c r="B209" s="1037">
        <f>SUBTOTAL(3,$I$137:I209)</f>
        <v>7</v>
      </c>
      <c r="C209" s="1037">
        <f t="shared" si="28"/>
        <v>0</v>
      </c>
      <c r="D209" s="1013" t="str">
        <f t="shared" si="33"/>
        <v>ТЭ</v>
      </c>
      <c r="E209" s="1013">
        <f t="shared" si="34"/>
        <v>50</v>
      </c>
      <c r="F209" s="1250" t="str">
        <f t="shared" si="31"/>
        <v>8х45</v>
      </c>
      <c r="G209" s="1250"/>
      <c r="H209" s="1250"/>
      <c r="I209" s="1013">
        <f t="shared" si="29"/>
        <v>0</v>
      </c>
      <c r="J209" s="1262">
        <f t="shared" si="30"/>
        <v>0</v>
      </c>
      <c r="K209" s="1262"/>
      <c r="L209" s="675">
        <f t="shared" si="35"/>
        <v>0</v>
      </c>
      <c r="N209" s="1032">
        <f t="shared" si="32"/>
        <v>0</v>
      </c>
      <c r="P209" s="477"/>
    </row>
    <row r="210" spans="2:36" ht="15" hidden="1" customHeight="1">
      <c r="B210" s="1037">
        <f>SUBTOTAL(3,$I$137:I210)</f>
        <v>7</v>
      </c>
      <c r="C210" s="1037">
        <f t="shared" si="28"/>
        <v>0</v>
      </c>
      <c r="D210" s="1013" t="str">
        <f t="shared" si="33"/>
        <v>ТЭ</v>
      </c>
      <c r="E210" s="1013">
        <f t="shared" si="34"/>
        <v>50</v>
      </c>
      <c r="F210" s="1250" t="str">
        <f t="shared" si="31"/>
        <v>8х45</v>
      </c>
      <c r="G210" s="1250"/>
      <c r="H210" s="1250"/>
      <c r="I210" s="1013">
        <f t="shared" si="29"/>
        <v>0</v>
      </c>
      <c r="J210" s="1262">
        <f t="shared" si="30"/>
        <v>0</v>
      </c>
      <c r="K210" s="1262"/>
      <c r="L210" s="675">
        <f t="shared" si="35"/>
        <v>0</v>
      </c>
      <c r="N210" s="1032">
        <f t="shared" si="32"/>
        <v>0</v>
      </c>
    </row>
    <row r="211" spans="2:36" ht="15" hidden="1" customHeight="1">
      <c r="B211" s="1037">
        <f>SUBTOTAL(3,$I$137:I211)</f>
        <v>7</v>
      </c>
      <c r="C211" s="1037">
        <f t="shared" si="28"/>
        <v>0</v>
      </c>
      <c r="D211" s="1013" t="str">
        <f t="shared" si="33"/>
        <v>ТЭ</v>
      </c>
      <c r="E211" s="1013">
        <f t="shared" si="34"/>
        <v>50</v>
      </c>
      <c r="F211" s="1250" t="str">
        <f t="shared" si="31"/>
        <v>8х45</v>
      </c>
      <c r="G211" s="1250"/>
      <c r="H211" s="1250"/>
      <c r="I211" s="1013">
        <f t="shared" si="29"/>
        <v>0</v>
      </c>
      <c r="J211" s="1262">
        <f t="shared" si="30"/>
        <v>0</v>
      </c>
      <c r="K211" s="1262"/>
      <c r="L211" s="675">
        <f t="shared" si="35"/>
        <v>0</v>
      </c>
      <c r="N211" s="1032">
        <f t="shared" si="32"/>
        <v>0</v>
      </c>
    </row>
    <row r="212" spans="2:36" ht="15" hidden="1" customHeight="1">
      <c r="B212" s="1037">
        <f>SUBTOTAL(3,$I$137:I212)</f>
        <v>7</v>
      </c>
      <c r="C212" s="1037">
        <f t="shared" si="28"/>
        <v>0</v>
      </c>
      <c r="D212" s="1013" t="str">
        <f t="shared" si="33"/>
        <v>ТЭ</v>
      </c>
      <c r="E212" s="1013">
        <f t="shared" si="34"/>
        <v>50</v>
      </c>
      <c r="F212" s="1250" t="str">
        <f t="shared" si="31"/>
        <v>8х45</v>
      </c>
      <c r="G212" s="1250"/>
      <c r="H212" s="1250"/>
      <c r="I212" s="1013">
        <f t="shared" si="29"/>
        <v>0</v>
      </c>
      <c r="J212" s="1262">
        <f t="shared" si="30"/>
        <v>0</v>
      </c>
      <c r="K212" s="1262"/>
      <c r="L212" s="675">
        <f t="shared" si="35"/>
        <v>0</v>
      </c>
      <c r="N212" s="1032">
        <f t="shared" si="32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hidden="1" customHeight="1">
      <c r="B213" s="1037">
        <f>SUBTOTAL(3,$I$137:I213)</f>
        <v>7</v>
      </c>
      <c r="C213" s="1037">
        <f t="shared" si="28"/>
        <v>0</v>
      </c>
      <c r="D213" s="1013" t="str">
        <f t="shared" si="33"/>
        <v>ТЭ</v>
      </c>
      <c r="E213" s="1013">
        <f t="shared" si="34"/>
        <v>50</v>
      </c>
      <c r="F213" s="1250" t="str">
        <f t="shared" si="31"/>
        <v>8х45</v>
      </c>
      <c r="G213" s="1250"/>
      <c r="H213" s="1250"/>
      <c r="I213" s="1013">
        <f t="shared" si="29"/>
        <v>0</v>
      </c>
      <c r="J213" s="1262">
        <f t="shared" si="30"/>
        <v>0</v>
      </c>
      <c r="K213" s="1262"/>
      <c r="L213" s="675">
        <f>I213+J213</f>
        <v>0</v>
      </c>
      <c r="N213" s="1032">
        <f t="shared" si="32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hidden="1" customHeight="1">
      <c r="B214" s="1037">
        <f>SUBTOTAL(3,$I$137:I214)</f>
        <v>7</v>
      </c>
      <c r="C214" s="1037">
        <f t="shared" si="28"/>
        <v>0</v>
      </c>
      <c r="D214" s="1013" t="str">
        <f t="shared" si="33"/>
        <v>ТЭ</v>
      </c>
      <c r="E214" s="1013">
        <f t="shared" si="34"/>
        <v>50</v>
      </c>
      <c r="F214" s="1250" t="str">
        <f t="shared" si="31"/>
        <v>8х45</v>
      </c>
      <c r="G214" s="1250"/>
      <c r="H214" s="1250"/>
      <c r="I214" s="1013">
        <f t="shared" si="29"/>
        <v>0</v>
      </c>
      <c r="J214" s="1262">
        <f t="shared" si="30"/>
        <v>0</v>
      </c>
      <c r="K214" s="1262"/>
      <c r="L214" s="675">
        <f>I214+J214</f>
        <v>0</v>
      </c>
      <c r="N214" s="1032">
        <f t="shared" si="32"/>
        <v>0</v>
      </c>
    </row>
    <row r="215" spans="2:36" ht="15" hidden="1" customHeight="1">
      <c r="B215" s="1037">
        <f>SUBTOTAL(3,$I$137:I215)</f>
        <v>7</v>
      </c>
      <c r="C215" s="1037">
        <f t="shared" si="28"/>
        <v>0</v>
      </c>
      <c r="D215" s="1013" t="str">
        <f t="shared" si="33"/>
        <v>ТЭ</v>
      </c>
      <c r="E215" s="1013">
        <f t="shared" si="34"/>
        <v>50</v>
      </c>
      <c r="F215" s="1250" t="str">
        <f t="shared" si="31"/>
        <v>8х45</v>
      </c>
      <c r="G215" s="1250"/>
      <c r="H215" s="1250"/>
      <c r="I215" s="1013">
        <f t="shared" si="29"/>
        <v>0</v>
      </c>
      <c r="J215" s="1262">
        <f t="shared" si="30"/>
        <v>0</v>
      </c>
      <c r="K215" s="1262"/>
      <c r="L215" s="675">
        <f>I215+J215</f>
        <v>0</v>
      </c>
      <c r="N215" s="1032">
        <f t="shared" si="32"/>
        <v>0</v>
      </c>
    </row>
    <row r="216" spans="2:36" ht="15" hidden="1" customHeight="1">
      <c r="B216" s="1037">
        <f>SUBTOTAL(3,$I$137:I216)</f>
        <v>7</v>
      </c>
      <c r="C216" s="1037">
        <f t="shared" si="28"/>
        <v>0</v>
      </c>
      <c r="D216" s="1013" t="str">
        <f t="shared" si="33"/>
        <v>ТЭ</v>
      </c>
      <c r="E216" s="1013">
        <f t="shared" si="34"/>
        <v>50</v>
      </c>
      <c r="F216" s="1250" t="str">
        <f t="shared" si="31"/>
        <v>8х45</v>
      </c>
      <c r="G216" s="1250"/>
      <c r="H216" s="1250"/>
      <c r="I216" s="1013">
        <f t="shared" si="29"/>
        <v>0</v>
      </c>
      <c r="J216" s="1262">
        <f t="shared" si="30"/>
        <v>0</v>
      </c>
      <c r="K216" s="1262"/>
      <c r="L216" s="675">
        <f>I216+J216</f>
        <v>0</v>
      </c>
      <c r="N216" s="1032">
        <f t="shared" si="32"/>
        <v>0</v>
      </c>
    </row>
    <row r="217" spans="2:36" ht="15" hidden="1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hidden="1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>IF(K5=0," ",K5)</f>
        <v>В осях 7-9 / Ж-И и 
12-14 / Ж-И</v>
      </c>
      <c r="L218" s="1272"/>
      <c r="N218" s="1032">
        <f t="shared" ref="N218:N224" si="36">IF(OR($V$4=$AA$10,$V$4=$AA$11),1,0)</f>
        <v>0</v>
      </c>
    </row>
    <row r="219" spans="2:36" ht="15" hidden="1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6"/>
        <v>0</v>
      </c>
    </row>
    <row r="220" spans="2:36" ht="15" hidden="1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6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hidden="1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6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hidden="1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6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hidden="1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6"/>
        <v>0</v>
      </c>
      <c r="P223" s="461" t="s">
        <v>642</v>
      </c>
      <c r="Q223" s="487" t="s">
        <v>633</v>
      </c>
      <c r="Y223" s="266">
        <f>R3</f>
        <v>220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hidden="1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6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hidden="1" customHeight="1">
      <c r="B225" s="1037">
        <f>SUBTOTAL(3,$I$225:I225)</f>
        <v>0</v>
      </c>
      <c r="C225" s="1037">
        <f>IF(OR($V$4=$AA$10,$V$4=$AA$11),_xlfn.CEILING.MATH($R$3+$Y$222,10),0)</f>
        <v>0</v>
      </c>
      <c r="D225" s="1013" t="str">
        <f t="shared" ref="D225:D288" si="37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8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8х45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2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hidden="1" customHeight="1" thickBot="1">
      <c r="B226" s="1037">
        <f>SUBTOTAL(3,$I$225:I226)</f>
        <v>0</v>
      </c>
      <c r="C226" s="1037">
        <f t="shared" ref="C226:C289" si="39">IF(OR($V$4=$AA$10,$V$4=$AA$11),AF228+_xlfn.CEILING.MATH($Y$222,10),0)</f>
        <v>0</v>
      </c>
      <c r="D226" s="1013" t="str">
        <f t="shared" si="37"/>
        <v xml:space="preserve"> </v>
      </c>
      <c r="E226" s="1013" t="str">
        <f t="shared" si="38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8х45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2"/>
        <v>0</v>
      </c>
      <c r="P226" s="726" t="s">
        <v>649</v>
      </c>
      <c r="Q226" s="485"/>
      <c r="R226" s="450" t="s">
        <v>637</v>
      </c>
      <c r="Z226" s="384"/>
    </row>
    <row r="227" spans="2:36" ht="15" hidden="1" customHeight="1">
      <c r="B227" s="1037">
        <f>SUBTOTAL(3,$I$225:I227)</f>
        <v>0</v>
      </c>
      <c r="C227" s="1037">
        <f t="shared" si="39"/>
        <v>0</v>
      </c>
      <c r="D227" s="1013" t="str">
        <f t="shared" si="37"/>
        <v xml:space="preserve"> </v>
      </c>
      <c r="E227" s="1013" t="str">
        <f t="shared" si="38"/>
        <v xml:space="preserve"> </v>
      </c>
      <c r="F227" s="1250" t="str">
        <f t="shared" ref="F227:F290" si="40">IF(AND(OR($V$4=$Y$12,$V$4=$AA$8,$V$4=$AA$9,$V$4=$AA$10,$V$4=$AA$11),OR($R$4=$Y$7,$R$4=$Y$9)),"8х45",IF(AND($V$4=$AA$7,C227&gt;300),"8х45",IF(AND($V$4=$AA$7,$AA$2=$AA$6),"8х45","не требуется")))</f>
        <v>8х45</v>
      </c>
      <c r="G227" s="1250"/>
      <c r="H227" s="1250"/>
      <c r="I227" s="1013">
        <f t="shared" ref="I227:I290" si="41">IF(AJ229&gt;0,AJ229,0)</f>
        <v>0</v>
      </c>
      <c r="J227" s="1"/>
      <c r="K227" s="1"/>
      <c r="L227" s="1"/>
      <c r="N227" s="1032">
        <f t="shared" si="32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hidden="1" customHeight="1">
      <c r="B228" s="1037">
        <f>SUBTOTAL(3,$I$225:I228)</f>
        <v>0</v>
      </c>
      <c r="C228" s="1037">
        <f t="shared" si="39"/>
        <v>0</v>
      </c>
      <c r="D228" s="1013" t="str">
        <f t="shared" si="37"/>
        <v xml:space="preserve"> </v>
      </c>
      <c r="E228" s="1013" t="str">
        <f t="shared" si="38"/>
        <v xml:space="preserve"> </v>
      </c>
      <c r="F228" s="1250" t="str">
        <f t="shared" si="40"/>
        <v>8х45</v>
      </c>
      <c r="G228" s="1250"/>
      <c r="H228" s="1250"/>
      <c r="I228" s="1013">
        <f t="shared" si="41"/>
        <v>0</v>
      </c>
      <c r="J228" s="1"/>
      <c r="K228" s="1"/>
      <c r="L228" s="1"/>
      <c r="N228" s="1032">
        <f t="shared" si="32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2">SUMIF($Y$233:$Y$285,AF228,$Z$233:$Z$285)</f>
        <v>0</v>
      </c>
      <c r="AH228" s="573">
        <f t="shared" ref="AH228:AH291" si="43">SUMIF($AA$233:$AA$285,AF228,$AB$233:$AB$285)</f>
        <v>0</v>
      </c>
      <c r="AI228" s="457">
        <f t="shared" ref="AI228:AI291" si="44">SUMIF($AC$233:$AC$285,AF228,$AD$233:$AD$285)</f>
        <v>0</v>
      </c>
      <c r="AJ228" s="469">
        <f t="shared" ref="AJ228:AJ291" si="45">AI228+AH228+AG228</f>
        <v>0</v>
      </c>
    </row>
    <row r="229" spans="2:36" ht="15" hidden="1" customHeight="1" thickBot="1">
      <c r="B229" s="1037">
        <f>SUBTOTAL(3,$I$225:I229)</f>
        <v>0</v>
      </c>
      <c r="C229" s="1037">
        <f t="shared" si="39"/>
        <v>0</v>
      </c>
      <c r="D229" s="1013" t="str">
        <f t="shared" si="37"/>
        <v xml:space="preserve"> </v>
      </c>
      <c r="E229" s="1013" t="str">
        <f t="shared" si="38"/>
        <v xml:space="preserve"> </v>
      </c>
      <c r="F229" s="1250" t="str">
        <f t="shared" si="40"/>
        <v>8х45</v>
      </c>
      <c r="G229" s="1250"/>
      <c r="H229" s="1250"/>
      <c r="I229" s="1013">
        <f t="shared" si="41"/>
        <v>0</v>
      </c>
      <c r="J229" s="1"/>
      <c r="K229" s="1"/>
      <c r="L229" s="1"/>
      <c r="N229" s="1032">
        <f t="shared" si="32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2"/>
        <v>0</v>
      </c>
      <c r="AH229" s="573">
        <f t="shared" si="43"/>
        <v>0</v>
      </c>
      <c r="AI229" s="457">
        <f t="shared" si="44"/>
        <v>0</v>
      </c>
      <c r="AJ229" s="469">
        <f t="shared" si="45"/>
        <v>0</v>
      </c>
    </row>
    <row r="230" spans="2:36" ht="15" hidden="1" customHeight="1">
      <c r="B230" s="1037">
        <f>SUBTOTAL(3,$I$225:I230)</f>
        <v>0</v>
      </c>
      <c r="C230" s="1037">
        <f t="shared" si="39"/>
        <v>0</v>
      </c>
      <c r="D230" s="1013" t="str">
        <f t="shared" si="37"/>
        <v xml:space="preserve"> </v>
      </c>
      <c r="E230" s="1013" t="str">
        <f t="shared" si="38"/>
        <v xml:space="preserve"> </v>
      </c>
      <c r="F230" s="1250" t="str">
        <f t="shared" si="40"/>
        <v>8х45</v>
      </c>
      <c r="G230" s="1250"/>
      <c r="H230" s="1250"/>
      <c r="I230" s="1013">
        <f t="shared" si="41"/>
        <v>0</v>
      </c>
      <c r="J230" s="1"/>
      <c r="K230" s="1"/>
      <c r="L230" s="1"/>
      <c r="N230" s="1032">
        <f t="shared" si="32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2"/>
        <v>0</v>
      </c>
      <c r="AH230" s="573">
        <f t="shared" si="43"/>
        <v>0</v>
      </c>
      <c r="AI230" s="457">
        <f t="shared" si="44"/>
        <v>0</v>
      </c>
      <c r="AJ230" s="469">
        <f t="shared" si="45"/>
        <v>0</v>
      </c>
    </row>
    <row r="231" spans="2:36" ht="15" hidden="1" customHeight="1">
      <c r="B231" s="1037">
        <f>SUBTOTAL(3,$I$225:I231)</f>
        <v>0</v>
      </c>
      <c r="C231" s="1037">
        <f t="shared" si="39"/>
        <v>0</v>
      </c>
      <c r="D231" s="1013" t="str">
        <f t="shared" si="37"/>
        <v xml:space="preserve"> </v>
      </c>
      <c r="E231" s="1013" t="str">
        <f t="shared" si="38"/>
        <v xml:space="preserve"> </v>
      </c>
      <c r="F231" s="1250" t="str">
        <f t="shared" si="40"/>
        <v>8х45</v>
      </c>
      <c r="G231" s="1250"/>
      <c r="H231" s="1250"/>
      <c r="I231" s="1013">
        <f t="shared" si="41"/>
        <v>0</v>
      </c>
      <c r="J231" s="1"/>
      <c r="K231" s="1"/>
      <c r="L231" s="1"/>
      <c r="N231" s="1032">
        <f t="shared" si="32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2"/>
        <v>0</v>
      </c>
      <c r="AH231" s="573">
        <f t="shared" si="43"/>
        <v>0</v>
      </c>
      <c r="AI231" s="457">
        <f t="shared" si="44"/>
        <v>0</v>
      </c>
      <c r="AJ231" s="469">
        <f t="shared" si="45"/>
        <v>0</v>
      </c>
    </row>
    <row r="232" spans="2:36" ht="15" hidden="1" customHeight="1">
      <c r="B232" s="1037">
        <f>SUBTOTAL(3,$I$225:I232)</f>
        <v>0</v>
      </c>
      <c r="C232" s="1037">
        <f t="shared" si="39"/>
        <v>0</v>
      </c>
      <c r="D232" s="1013" t="str">
        <f t="shared" si="37"/>
        <v xml:space="preserve"> </v>
      </c>
      <c r="E232" s="1013" t="str">
        <f t="shared" si="38"/>
        <v xml:space="preserve"> </v>
      </c>
      <c r="F232" s="1250" t="str">
        <f t="shared" si="40"/>
        <v>8х45</v>
      </c>
      <c r="G232" s="1250"/>
      <c r="H232" s="1250"/>
      <c r="I232" s="1013">
        <f t="shared" si="41"/>
        <v>0</v>
      </c>
      <c r="J232" s="1"/>
      <c r="K232" s="1"/>
      <c r="L232" s="1"/>
      <c r="N232" s="1032">
        <f t="shared" si="32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2"/>
        <v>0</v>
      </c>
      <c r="AH232" s="573">
        <f t="shared" si="43"/>
        <v>0</v>
      </c>
      <c r="AI232" s="457">
        <f t="shared" si="44"/>
        <v>0</v>
      </c>
      <c r="AJ232" s="469">
        <f t="shared" si="45"/>
        <v>0</v>
      </c>
    </row>
    <row r="233" spans="2:36" ht="15" hidden="1" customHeight="1">
      <c r="B233" s="1037">
        <f>SUBTOTAL(3,$I$225:I233)</f>
        <v>0</v>
      </c>
      <c r="C233" s="1037">
        <f t="shared" si="39"/>
        <v>0</v>
      </c>
      <c r="D233" s="1013" t="str">
        <f t="shared" si="37"/>
        <v xml:space="preserve"> </v>
      </c>
      <c r="E233" s="1013" t="str">
        <f t="shared" si="38"/>
        <v xml:space="preserve"> </v>
      </c>
      <c r="F233" s="1250" t="str">
        <f t="shared" si="40"/>
        <v>8х45</v>
      </c>
      <c r="G233" s="1250"/>
      <c r="H233" s="1250"/>
      <c r="I233" s="1013">
        <f t="shared" si="41"/>
        <v>0</v>
      </c>
      <c r="J233" s="1"/>
      <c r="K233" s="1"/>
      <c r="L233" s="1"/>
      <c r="N233" s="1032">
        <f t="shared" si="32"/>
        <v>0</v>
      </c>
      <c r="P233" s="1255"/>
      <c r="Q233" s="1254"/>
      <c r="S233" s="1255"/>
      <c r="T233" s="1254"/>
      <c r="V233" s="1255"/>
      <c r="W233" s="1254"/>
      <c r="Y233" s="475">
        <f t="shared" ref="Y233:Y285" si="46">P242</f>
        <v>0</v>
      </c>
      <c r="Z233" s="573">
        <f>IFERROR(ROUNDUP(Q242*$Q$228/$Y$230,0),0)</f>
        <v>0</v>
      </c>
      <c r="AA233" s="573">
        <f t="shared" ref="AA233:AA285" si="47">S242</f>
        <v>0</v>
      </c>
      <c r="AB233" s="573">
        <f>IFERROR(ROUNDUP(T242*$Q$229/$AA$230,0),0)</f>
        <v>0</v>
      </c>
      <c r="AC233" s="573">
        <f t="shared" ref="AC233:AC285" si="48">V242</f>
        <v>0</v>
      </c>
      <c r="AD233" s="457">
        <f>IFERROR(ROUNDUP(W242*$Q$230/$AC$230,0),0)</f>
        <v>0</v>
      </c>
      <c r="AF233" s="472">
        <v>60</v>
      </c>
      <c r="AG233" s="475">
        <f t="shared" si="42"/>
        <v>0</v>
      </c>
      <c r="AH233" s="573">
        <f t="shared" si="43"/>
        <v>0</v>
      </c>
      <c r="AI233" s="457">
        <f t="shared" si="44"/>
        <v>0</v>
      </c>
      <c r="AJ233" s="469">
        <f t="shared" si="45"/>
        <v>0</v>
      </c>
    </row>
    <row r="234" spans="2:36" ht="15" hidden="1" customHeight="1">
      <c r="B234" s="1037">
        <f>SUBTOTAL(3,$I$225:I234)</f>
        <v>0</v>
      </c>
      <c r="C234" s="1037">
        <f t="shared" si="39"/>
        <v>0</v>
      </c>
      <c r="D234" s="1013" t="str">
        <f t="shared" si="37"/>
        <v xml:space="preserve"> </v>
      </c>
      <c r="E234" s="1013" t="str">
        <f t="shared" si="38"/>
        <v xml:space="preserve"> </v>
      </c>
      <c r="F234" s="1250" t="str">
        <f t="shared" si="40"/>
        <v>8х45</v>
      </c>
      <c r="G234" s="1250"/>
      <c r="H234" s="1250"/>
      <c r="I234" s="1013">
        <f t="shared" si="41"/>
        <v>0</v>
      </c>
      <c r="J234" s="376"/>
      <c r="K234" s="376"/>
      <c r="L234" s="376"/>
      <c r="N234" s="1032">
        <f t="shared" si="32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6"/>
        <v>0</v>
      </c>
      <c r="Z234" s="573">
        <f t="shared" ref="Z234:Z285" si="49">IFERROR(ROUNDUP(Q243*$Q$228/$Y$230,0),0)</f>
        <v>0</v>
      </c>
      <c r="AA234" s="573">
        <f t="shared" si="47"/>
        <v>0</v>
      </c>
      <c r="AB234" s="573">
        <f t="shared" ref="AB234:AB285" si="50">IFERROR(ROUNDUP(T243*$Q$229/$AA$230,0),0)</f>
        <v>0</v>
      </c>
      <c r="AC234" s="573">
        <f t="shared" si="48"/>
        <v>0</v>
      </c>
      <c r="AD234" s="457">
        <f t="shared" ref="AD234:AD285" si="51">IFERROR(ROUNDUP(W243*$Q$230/$AC$230,0),0)</f>
        <v>0</v>
      </c>
      <c r="AF234" s="472">
        <v>70</v>
      </c>
      <c r="AG234" s="475">
        <f t="shared" si="42"/>
        <v>0</v>
      </c>
      <c r="AH234" s="573">
        <f t="shared" si="43"/>
        <v>0</v>
      </c>
      <c r="AI234" s="457">
        <f t="shared" si="44"/>
        <v>0</v>
      </c>
      <c r="AJ234" s="469">
        <f t="shared" si="45"/>
        <v>0</v>
      </c>
    </row>
    <row r="235" spans="2:36" ht="15" hidden="1" customHeight="1">
      <c r="B235" s="1037">
        <f>SUBTOTAL(3,$I$225:I235)</f>
        <v>0</v>
      </c>
      <c r="C235" s="1037">
        <f t="shared" si="39"/>
        <v>0</v>
      </c>
      <c r="D235" s="1013" t="str">
        <f t="shared" si="37"/>
        <v xml:space="preserve"> </v>
      </c>
      <c r="E235" s="1013" t="str">
        <f t="shared" si="38"/>
        <v xml:space="preserve"> </v>
      </c>
      <c r="F235" s="1250" t="str">
        <f t="shared" si="40"/>
        <v>8х45</v>
      </c>
      <c r="G235" s="1250"/>
      <c r="H235" s="1250"/>
      <c r="I235" s="1013">
        <f t="shared" si="41"/>
        <v>0</v>
      </c>
      <c r="J235" s="376"/>
      <c r="K235" s="376"/>
      <c r="L235" s="376"/>
      <c r="N235" s="1032">
        <f t="shared" si="32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6"/>
        <v>0</v>
      </c>
      <c r="Z235" s="573">
        <f t="shared" si="49"/>
        <v>0</v>
      </c>
      <c r="AA235" s="573">
        <f t="shared" si="47"/>
        <v>0</v>
      </c>
      <c r="AB235" s="573">
        <f t="shared" si="50"/>
        <v>0</v>
      </c>
      <c r="AC235" s="573">
        <f t="shared" si="48"/>
        <v>0</v>
      </c>
      <c r="AD235" s="457">
        <f t="shared" si="51"/>
        <v>0</v>
      </c>
      <c r="AF235" s="472">
        <v>80</v>
      </c>
      <c r="AG235" s="475">
        <f t="shared" si="42"/>
        <v>0</v>
      </c>
      <c r="AH235" s="573">
        <f t="shared" si="43"/>
        <v>0</v>
      </c>
      <c r="AI235" s="457">
        <f t="shared" si="44"/>
        <v>0</v>
      </c>
      <c r="AJ235" s="469">
        <f t="shared" si="45"/>
        <v>0</v>
      </c>
    </row>
    <row r="236" spans="2:36" ht="15" hidden="1" customHeight="1">
      <c r="B236" s="1037">
        <f>SUBTOTAL(3,$I$225:I236)</f>
        <v>0</v>
      </c>
      <c r="C236" s="1037">
        <f t="shared" si="39"/>
        <v>0</v>
      </c>
      <c r="D236" s="1013" t="str">
        <f t="shared" si="37"/>
        <v xml:space="preserve"> </v>
      </c>
      <c r="E236" s="1013" t="str">
        <f t="shared" si="38"/>
        <v xml:space="preserve"> </v>
      </c>
      <c r="F236" s="1250" t="str">
        <f t="shared" si="40"/>
        <v>8х45</v>
      </c>
      <c r="G236" s="1250"/>
      <c r="H236" s="1250"/>
      <c r="I236" s="1013">
        <f t="shared" si="41"/>
        <v>0</v>
      </c>
      <c r="J236" s="376"/>
      <c r="K236" s="376"/>
      <c r="L236" s="376"/>
      <c r="N236" s="1032">
        <f t="shared" si="32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6"/>
        <v>0</v>
      </c>
      <c r="Z236" s="573">
        <f t="shared" si="49"/>
        <v>0</v>
      </c>
      <c r="AA236" s="573">
        <f t="shared" si="47"/>
        <v>0</v>
      </c>
      <c r="AB236" s="573">
        <f t="shared" si="50"/>
        <v>0</v>
      </c>
      <c r="AC236" s="573">
        <f t="shared" si="48"/>
        <v>0</v>
      </c>
      <c r="AD236" s="457">
        <f t="shared" si="51"/>
        <v>0</v>
      </c>
      <c r="AE236" s="1"/>
      <c r="AF236" s="472">
        <v>90</v>
      </c>
      <c r="AG236" s="475">
        <f t="shared" si="42"/>
        <v>0</v>
      </c>
      <c r="AH236" s="573">
        <f t="shared" si="43"/>
        <v>0</v>
      </c>
      <c r="AI236" s="457">
        <f t="shared" si="44"/>
        <v>0</v>
      </c>
      <c r="AJ236" s="469">
        <f t="shared" si="45"/>
        <v>0</v>
      </c>
    </row>
    <row r="237" spans="2:36" ht="15" hidden="1" customHeight="1">
      <c r="B237" s="1037">
        <f>SUBTOTAL(3,$I$225:I237)</f>
        <v>0</v>
      </c>
      <c r="C237" s="1037">
        <f t="shared" si="39"/>
        <v>0</v>
      </c>
      <c r="D237" s="1013" t="str">
        <f t="shared" si="37"/>
        <v xml:space="preserve"> </v>
      </c>
      <c r="E237" s="1013" t="str">
        <f t="shared" si="38"/>
        <v xml:space="preserve"> </v>
      </c>
      <c r="F237" s="1250" t="str">
        <f t="shared" si="40"/>
        <v>8х45</v>
      </c>
      <c r="G237" s="1250"/>
      <c r="H237" s="1250"/>
      <c r="I237" s="1013">
        <f t="shared" si="41"/>
        <v>0</v>
      </c>
      <c r="J237" s="376"/>
      <c r="K237" s="376"/>
      <c r="L237" s="376"/>
      <c r="N237" s="1032">
        <f t="shared" si="32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6"/>
        <v>0</v>
      </c>
      <c r="Z237" s="573">
        <f t="shared" si="49"/>
        <v>0</v>
      </c>
      <c r="AA237" s="573">
        <f t="shared" si="47"/>
        <v>0</v>
      </c>
      <c r="AB237" s="573">
        <f t="shared" si="50"/>
        <v>0</v>
      </c>
      <c r="AC237" s="573">
        <f t="shared" si="48"/>
        <v>0</v>
      </c>
      <c r="AD237" s="457">
        <f t="shared" si="51"/>
        <v>0</v>
      </c>
      <c r="AE237" s="1"/>
      <c r="AF237" s="472">
        <v>100</v>
      </c>
      <c r="AG237" s="475">
        <f t="shared" si="42"/>
        <v>0</v>
      </c>
      <c r="AH237" s="573">
        <f t="shared" si="43"/>
        <v>0</v>
      </c>
      <c r="AI237" s="457">
        <f t="shared" si="44"/>
        <v>0</v>
      </c>
      <c r="AJ237" s="469">
        <f t="shared" si="45"/>
        <v>0</v>
      </c>
    </row>
    <row r="238" spans="2:36" ht="15" hidden="1" customHeight="1">
      <c r="B238" s="1037">
        <f>SUBTOTAL(3,$I$225:I238)</f>
        <v>0</v>
      </c>
      <c r="C238" s="1037">
        <f t="shared" si="39"/>
        <v>0</v>
      </c>
      <c r="D238" s="1013" t="str">
        <f t="shared" si="37"/>
        <v xml:space="preserve"> </v>
      </c>
      <c r="E238" s="1013" t="str">
        <f t="shared" si="38"/>
        <v xml:space="preserve"> </v>
      </c>
      <c r="F238" s="1250" t="str">
        <f t="shared" si="40"/>
        <v>8х45</v>
      </c>
      <c r="G238" s="1250"/>
      <c r="H238" s="1250"/>
      <c r="I238" s="1013">
        <f t="shared" si="41"/>
        <v>0</v>
      </c>
      <c r="J238" s="376"/>
      <c r="K238" s="376"/>
      <c r="L238" s="376"/>
      <c r="N238" s="1032">
        <f t="shared" si="32"/>
        <v>0</v>
      </c>
      <c r="Y238" s="475">
        <f t="shared" si="46"/>
        <v>0</v>
      </c>
      <c r="Z238" s="573">
        <f t="shared" si="49"/>
        <v>0</v>
      </c>
      <c r="AA238" s="573">
        <f t="shared" si="47"/>
        <v>0</v>
      </c>
      <c r="AB238" s="573">
        <f t="shared" si="50"/>
        <v>0</v>
      </c>
      <c r="AC238" s="573">
        <f t="shared" si="48"/>
        <v>0</v>
      </c>
      <c r="AD238" s="457">
        <f t="shared" si="51"/>
        <v>0</v>
      </c>
      <c r="AE238" s="1"/>
      <c r="AF238" s="472">
        <v>110</v>
      </c>
      <c r="AG238" s="475">
        <f t="shared" si="42"/>
        <v>0</v>
      </c>
      <c r="AH238" s="573">
        <f t="shared" si="43"/>
        <v>0</v>
      </c>
      <c r="AI238" s="457">
        <f t="shared" si="44"/>
        <v>0</v>
      </c>
      <c r="AJ238" s="469">
        <f t="shared" si="45"/>
        <v>0</v>
      </c>
    </row>
    <row r="239" spans="2:36" ht="15" hidden="1" customHeight="1">
      <c r="B239" s="1037">
        <f>SUBTOTAL(3,$I$225:I239)</f>
        <v>0</v>
      </c>
      <c r="C239" s="1037">
        <f t="shared" si="39"/>
        <v>0</v>
      </c>
      <c r="D239" s="1013" t="str">
        <f t="shared" si="37"/>
        <v xml:space="preserve"> </v>
      </c>
      <c r="E239" s="1013" t="str">
        <f t="shared" si="38"/>
        <v xml:space="preserve"> </v>
      </c>
      <c r="F239" s="1250" t="str">
        <f t="shared" si="40"/>
        <v>8х45</v>
      </c>
      <c r="G239" s="1250"/>
      <c r="H239" s="1250"/>
      <c r="I239" s="1013">
        <f t="shared" si="41"/>
        <v>0</v>
      </c>
      <c r="J239" s="376"/>
      <c r="K239" s="376"/>
      <c r="L239" s="376"/>
      <c r="N239" s="1032">
        <f t="shared" si="32"/>
        <v>0</v>
      </c>
      <c r="Q239" s="169"/>
      <c r="T239" s="169"/>
      <c r="Y239" s="475">
        <f t="shared" si="46"/>
        <v>0</v>
      </c>
      <c r="Z239" s="573">
        <f t="shared" si="49"/>
        <v>0</v>
      </c>
      <c r="AA239" s="573">
        <f t="shared" si="47"/>
        <v>0</v>
      </c>
      <c r="AB239" s="573">
        <f t="shared" si="50"/>
        <v>0</v>
      </c>
      <c r="AC239" s="573">
        <f t="shared" si="48"/>
        <v>0</v>
      </c>
      <c r="AD239" s="457">
        <f t="shared" si="51"/>
        <v>0</v>
      </c>
      <c r="AE239" s="1"/>
      <c r="AF239" s="472">
        <v>120</v>
      </c>
      <c r="AG239" s="475">
        <f t="shared" si="42"/>
        <v>0</v>
      </c>
      <c r="AH239" s="573">
        <f t="shared" si="43"/>
        <v>0</v>
      </c>
      <c r="AI239" s="457">
        <f t="shared" si="44"/>
        <v>0</v>
      </c>
      <c r="AJ239" s="469">
        <f t="shared" si="45"/>
        <v>0</v>
      </c>
    </row>
    <row r="240" spans="2:36" ht="15" hidden="1" customHeight="1">
      <c r="B240" s="1037">
        <f>SUBTOTAL(3,$I$225:I240)</f>
        <v>0</v>
      </c>
      <c r="C240" s="1037">
        <f t="shared" si="39"/>
        <v>0</v>
      </c>
      <c r="D240" s="1013" t="str">
        <f t="shared" si="37"/>
        <v xml:space="preserve"> </v>
      </c>
      <c r="E240" s="1013" t="str">
        <f t="shared" si="38"/>
        <v xml:space="preserve"> </v>
      </c>
      <c r="F240" s="1250" t="str">
        <f t="shared" si="40"/>
        <v>8х45</v>
      </c>
      <c r="G240" s="1250"/>
      <c r="H240" s="1250"/>
      <c r="I240" s="1013">
        <f t="shared" si="41"/>
        <v>0</v>
      </c>
      <c r="J240" s="376"/>
      <c r="K240" s="376"/>
      <c r="L240" s="376"/>
      <c r="N240" s="1032">
        <f t="shared" si="32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6"/>
        <v>0</v>
      </c>
      <c r="Z240" s="573">
        <f t="shared" si="49"/>
        <v>0</v>
      </c>
      <c r="AA240" s="573">
        <f t="shared" si="47"/>
        <v>0</v>
      </c>
      <c r="AB240" s="573">
        <f t="shared" si="50"/>
        <v>0</v>
      </c>
      <c r="AC240" s="573">
        <f t="shared" si="48"/>
        <v>0</v>
      </c>
      <c r="AD240" s="457">
        <f t="shared" si="51"/>
        <v>0</v>
      </c>
      <c r="AE240" s="1"/>
      <c r="AF240" s="472">
        <v>130</v>
      </c>
      <c r="AG240" s="475">
        <f t="shared" si="42"/>
        <v>0</v>
      </c>
      <c r="AH240" s="573">
        <f t="shared" si="43"/>
        <v>0</v>
      </c>
      <c r="AI240" s="457">
        <f t="shared" si="44"/>
        <v>0</v>
      </c>
      <c r="AJ240" s="469">
        <f t="shared" si="45"/>
        <v>0</v>
      </c>
    </row>
    <row r="241" spans="2:36" ht="15" hidden="1" customHeight="1">
      <c r="B241" s="1037">
        <f>SUBTOTAL(3,$I$225:I241)</f>
        <v>0</v>
      </c>
      <c r="C241" s="1037">
        <f t="shared" si="39"/>
        <v>0</v>
      </c>
      <c r="D241" s="1013" t="str">
        <f t="shared" si="37"/>
        <v xml:space="preserve"> </v>
      </c>
      <c r="E241" s="1013" t="str">
        <f t="shared" si="38"/>
        <v xml:space="preserve"> </v>
      </c>
      <c r="F241" s="1250" t="str">
        <f t="shared" si="40"/>
        <v>8х45</v>
      </c>
      <c r="G241" s="1250"/>
      <c r="H241" s="1250"/>
      <c r="I241" s="1013">
        <f t="shared" si="41"/>
        <v>0</v>
      </c>
      <c r="J241" s="376"/>
      <c r="K241" s="376"/>
      <c r="L241" s="376"/>
      <c r="N241" s="1032">
        <f t="shared" si="32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6"/>
        <v>0</v>
      </c>
      <c r="Z241" s="573">
        <f t="shared" si="49"/>
        <v>0</v>
      </c>
      <c r="AA241" s="573">
        <f t="shared" si="47"/>
        <v>0</v>
      </c>
      <c r="AB241" s="573">
        <f t="shared" si="50"/>
        <v>0</v>
      </c>
      <c r="AC241" s="573">
        <f t="shared" si="48"/>
        <v>0</v>
      </c>
      <c r="AD241" s="457">
        <f t="shared" si="51"/>
        <v>0</v>
      </c>
      <c r="AE241" s="1"/>
      <c r="AF241" s="472">
        <v>140</v>
      </c>
      <c r="AG241" s="475">
        <f t="shared" si="42"/>
        <v>0</v>
      </c>
      <c r="AH241" s="573">
        <f t="shared" si="43"/>
        <v>0</v>
      </c>
      <c r="AI241" s="457">
        <f t="shared" si="44"/>
        <v>0</v>
      </c>
      <c r="AJ241" s="469">
        <f t="shared" si="45"/>
        <v>0</v>
      </c>
    </row>
    <row r="242" spans="2:36" ht="15" hidden="1" customHeight="1">
      <c r="B242" s="1037">
        <f>SUBTOTAL(3,$I$225:I242)</f>
        <v>0</v>
      </c>
      <c r="C242" s="1037">
        <f t="shared" si="39"/>
        <v>0</v>
      </c>
      <c r="D242" s="1013" t="str">
        <f t="shared" si="37"/>
        <v xml:space="preserve"> </v>
      </c>
      <c r="E242" s="1013" t="str">
        <f t="shared" si="38"/>
        <v xml:space="preserve"> </v>
      </c>
      <c r="F242" s="1250" t="str">
        <f t="shared" si="40"/>
        <v>8х45</v>
      </c>
      <c r="G242" s="1250"/>
      <c r="H242" s="1250"/>
      <c r="I242" s="1013">
        <f t="shared" si="41"/>
        <v>0</v>
      </c>
      <c r="J242" s="376"/>
      <c r="K242" s="376"/>
      <c r="L242" s="376"/>
      <c r="N242" s="1032">
        <f t="shared" si="32"/>
        <v>0</v>
      </c>
      <c r="P242" s="573"/>
      <c r="Q242" s="573"/>
      <c r="S242" s="573"/>
      <c r="T242" s="573"/>
      <c r="V242" s="573"/>
      <c r="W242" s="573"/>
      <c r="Y242" s="475">
        <f t="shared" si="46"/>
        <v>0</v>
      </c>
      <c r="Z242" s="573">
        <f t="shared" si="49"/>
        <v>0</v>
      </c>
      <c r="AA242" s="573">
        <f t="shared" si="47"/>
        <v>0</v>
      </c>
      <c r="AB242" s="573">
        <f t="shared" si="50"/>
        <v>0</v>
      </c>
      <c r="AC242" s="573">
        <f t="shared" si="48"/>
        <v>0</v>
      </c>
      <c r="AD242" s="457">
        <f t="shared" si="51"/>
        <v>0</v>
      </c>
      <c r="AE242" s="1"/>
      <c r="AF242" s="472">
        <v>150</v>
      </c>
      <c r="AG242" s="475">
        <f t="shared" si="42"/>
        <v>0</v>
      </c>
      <c r="AH242" s="573">
        <f t="shared" si="43"/>
        <v>0</v>
      </c>
      <c r="AI242" s="457">
        <f t="shared" si="44"/>
        <v>0</v>
      </c>
      <c r="AJ242" s="469">
        <f t="shared" si="45"/>
        <v>0</v>
      </c>
    </row>
    <row r="243" spans="2:36" ht="15" hidden="1" customHeight="1">
      <c r="B243" s="1037">
        <f>SUBTOTAL(3,$I$225:I243)</f>
        <v>0</v>
      </c>
      <c r="C243" s="1037">
        <f t="shared" si="39"/>
        <v>0</v>
      </c>
      <c r="D243" s="1013" t="str">
        <f t="shared" si="37"/>
        <v xml:space="preserve"> </v>
      </c>
      <c r="E243" s="1013" t="str">
        <f t="shared" si="38"/>
        <v xml:space="preserve"> </v>
      </c>
      <c r="F243" s="1250" t="str">
        <f t="shared" si="40"/>
        <v>8х45</v>
      </c>
      <c r="G243" s="1250"/>
      <c r="H243" s="1250"/>
      <c r="I243" s="1013">
        <f t="shared" si="41"/>
        <v>0</v>
      </c>
      <c r="J243" s="376"/>
      <c r="K243" s="376"/>
      <c r="L243" s="376"/>
      <c r="N243" s="1032">
        <f t="shared" si="32"/>
        <v>0</v>
      </c>
      <c r="P243" s="524"/>
      <c r="Q243" s="524"/>
      <c r="S243" s="524"/>
      <c r="T243" s="524"/>
      <c r="V243" s="524"/>
      <c r="W243" s="524"/>
      <c r="Y243" s="475">
        <f t="shared" si="46"/>
        <v>0</v>
      </c>
      <c r="Z243" s="573">
        <f t="shared" si="49"/>
        <v>0</v>
      </c>
      <c r="AA243" s="573">
        <f t="shared" si="47"/>
        <v>0</v>
      </c>
      <c r="AB243" s="573">
        <f t="shared" si="50"/>
        <v>0</v>
      </c>
      <c r="AC243" s="573">
        <f t="shared" si="48"/>
        <v>0</v>
      </c>
      <c r="AD243" s="457">
        <f t="shared" si="51"/>
        <v>0</v>
      </c>
      <c r="AE243" s="1"/>
      <c r="AF243" s="472">
        <v>160</v>
      </c>
      <c r="AG243" s="475">
        <f t="shared" si="42"/>
        <v>0</v>
      </c>
      <c r="AH243" s="573">
        <f t="shared" si="43"/>
        <v>0</v>
      </c>
      <c r="AI243" s="457">
        <f t="shared" si="44"/>
        <v>0</v>
      </c>
      <c r="AJ243" s="469">
        <f t="shared" si="45"/>
        <v>0</v>
      </c>
    </row>
    <row r="244" spans="2:36" ht="15" hidden="1" customHeight="1">
      <c r="B244" s="1037">
        <f>SUBTOTAL(3,$I$225:I244)</f>
        <v>0</v>
      </c>
      <c r="C244" s="1037">
        <f t="shared" si="39"/>
        <v>0</v>
      </c>
      <c r="D244" s="1013" t="str">
        <f t="shared" si="37"/>
        <v xml:space="preserve"> </v>
      </c>
      <c r="E244" s="1013" t="str">
        <f t="shared" si="38"/>
        <v xml:space="preserve"> </v>
      </c>
      <c r="F244" s="1250" t="str">
        <f t="shared" si="40"/>
        <v>8х45</v>
      </c>
      <c r="G244" s="1250"/>
      <c r="H244" s="1250"/>
      <c r="I244" s="1013">
        <f t="shared" si="41"/>
        <v>0</v>
      </c>
      <c r="J244" s="376"/>
      <c r="K244" s="376"/>
      <c r="L244" s="376"/>
      <c r="N244" s="1032">
        <f t="shared" si="32"/>
        <v>0</v>
      </c>
      <c r="P244" s="573"/>
      <c r="Q244" s="573"/>
      <c r="S244" s="573"/>
      <c r="T244" s="573"/>
      <c r="V244" s="573"/>
      <c r="W244" s="573"/>
      <c r="Y244" s="475">
        <f t="shared" si="46"/>
        <v>0</v>
      </c>
      <c r="Z244" s="573">
        <f t="shared" si="49"/>
        <v>0</v>
      </c>
      <c r="AA244" s="573">
        <f t="shared" si="47"/>
        <v>0</v>
      </c>
      <c r="AB244" s="573">
        <f t="shared" si="50"/>
        <v>0</v>
      </c>
      <c r="AC244" s="573">
        <f t="shared" si="48"/>
        <v>0</v>
      </c>
      <c r="AD244" s="457">
        <f t="shared" si="51"/>
        <v>0</v>
      </c>
      <c r="AE244" s="1"/>
      <c r="AF244" s="472">
        <v>170</v>
      </c>
      <c r="AG244" s="475">
        <f t="shared" si="42"/>
        <v>0</v>
      </c>
      <c r="AH244" s="573">
        <f t="shared" si="43"/>
        <v>0</v>
      </c>
      <c r="AI244" s="457">
        <f t="shared" si="44"/>
        <v>0</v>
      </c>
      <c r="AJ244" s="469">
        <f t="shared" si="45"/>
        <v>0</v>
      </c>
    </row>
    <row r="245" spans="2:36" ht="15" hidden="1" customHeight="1">
      <c r="B245" s="1037">
        <f>SUBTOTAL(3,$I$225:I245)</f>
        <v>0</v>
      </c>
      <c r="C245" s="1037">
        <f t="shared" si="39"/>
        <v>0</v>
      </c>
      <c r="D245" s="1013" t="str">
        <f t="shared" si="37"/>
        <v xml:space="preserve"> </v>
      </c>
      <c r="E245" s="1013" t="str">
        <f t="shared" si="38"/>
        <v xml:space="preserve"> </v>
      </c>
      <c r="F245" s="1250" t="str">
        <f t="shared" si="40"/>
        <v>8х45</v>
      </c>
      <c r="G245" s="1250"/>
      <c r="H245" s="1250"/>
      <c r="I245" s="1013">
        <f t="shared" si="41"/>
        <v>0</v>
      </c>
      <c r="J245" s="376"/>
      <c r="K245" s="376"/>
      <c r="L245" s="376"/>
      <c r="N245" s="1032">
        <f t="shared" si="32"/>
        <v>0</v>
      </c>
      <c r="P245" s="524"/>
      <c r="Q245" s="573"/>
      <c r="S245" s="573"/>
      <c r="T245" s="573"/>
      <c r="V245" s="524"/>
      <c r="W245" s="573"/>
      <c r="Y245" s="475">
        <f t="shared" si="46"/>
        <v>0</v>
      </c>
      <c r="Z245" s="573">
        <f t="shared" si="49"/>
        <v>0</v>
      </c>
      <c r="AA245" s="573">
        <f t="shared" si="47"/>
        <v>0</v>
      </c>
      <c r="AB245" s="573">
        <f t="shared" si="50"/>
        <v>0</v>
      </c>
      <c r="AC245" s="573">
        <f t="shared" si="48"/>
        <v>0</v>
      </c>
      <c r="AD245" s="457">
        <f t="shared" si="51"/>
        <v>0</v>
      </c>
      <c r="AE245" s="1"/>
      <c r="AF245" s="472">
        <v>180</v>
      </c>
      <c r="AG245" s="475">
        <f t="shared" si="42"/>
        <v>0</v>
      </c>
      <c r="AH245" s="573">
        <f t="shared" si="43"/>
        <v>0</v>
      </c>
      <c r="AI245" s="457">
        <f t="shared" si="44"/>
        <v>0</v>
      </c>
      <c r="AJ245" s="469">
        <f t="shared" si="45"/>
        <v>0</v>
      </c>
    </row>
    <row r="246" spans="2:36" ht="15" hidden="1" customHeight="1">
      <c r="B246" s="1037">
        <f>SUBTOTAL(3,$I$225:I246)</f>
        <v>0</v>
      </c>
      <c r="C246" s="1037">
        <f t="shared" si="39"/>
        <v>0</v>
      </c>
      <c r="D246" s="1013" t="str">
        <f t="shared" si="37"/>
        <v xml:space="preserve"> </v>
      </c>
      <c r="E246" s="1013" t="str">
        <f t="shared" si="38"/>
        <v xml:space="preserve"> </v>
      </c>
      <c r="F246" s="1250" t="str">
        <f t="shared" si="40"/>
        <v>8х45</v>
      </c>
      <c r="G246" s="1250"/>
      <c r="H246" s="1250"/>
      <c r="I246" s="1013">
        <f t="shared" si="41"/>
        <v>0</v>
      </c>
      <c r="J246" s="376"/>
      <c r="K246" s="376"/>
      <c r="L246" s="376"/>
      <c r="N246" s="1032">
        <f t="shared" si="32"/>
        <v>0</v>
      </c>
      <c r="P246" s="573"/>
      <c r="Q246" s="573"/>
      <c r="S246" s="573"/>
      <c r="T246" s="573"/>
      <c r="V246" s="573"/>
      <c r="W246" s="573"/>
      <c r="Y246" s="475">
        <f t="shared" si="46"/>
        <v>0</v>
      </c>
      <c r="Z246" s="573">
        <f t="shared" si="49"/>
        <v>0</v>
      </c>
      <c r="AA246" s="573">
        <f t="shared" si="47"/>
        <v>0</v>
      </c>
      <c r="AB246" s="573">
        <f t="shared" si="50"/>
        <v>0</v>
      </c>
      <c r="AC246" s="573">
        <f t="shared" si="48"/>
        <v>0</v>
      </c>
      <c r="AD246" s="457">
        <f t="shared" si="51"/>
        <v>0</v>
      </c>
      <c r="AE246" s="1"/>
      <c r="AF246" s="472">
        <v>190</v>
      </c>
      <c r="AG246" s="475">
        <f t="shared" si="42"/>
        <v>0</v>
      </c>
      <c r="AH246" s="573">
        <f t="shared" si="43"/>
        <v>0</v>
      </c>
      <c r="AI246" s="457">
        <f t="shared" si="44"/>
        <v>0</v>
      </c>
      <c r="AJ246" s="469">
        <f t="shared" si="45"/>
        <v>0</v>
      </c>
    </row>
    <row r="247" spans="2:36" ht="15" hidden="1" customHeight="1">
      <c r="B247" s="1037">
        <f>SUBTOTAL(3,$I$225:I247)</f>
        <v>0</v>
      </c>
      <c r="C247" s="1037">
        <f t="shared" si="39"/>
        <v>0</v>
      </c>
      <c r="D247" s="1013" t="str">
        <f t="shared" si="37"/>
        <v xml:space="preserve"> </v>
      </c>
      <c r="E247" s="1013" t="str">
        <f t="shared" si="38"/>
        <v xml:space="preserve"> </v>
      </c>
      <c r="F247" s="1250" t="str">
        <f t="shared" si="40"/>
        <v>8х45</v>
      </c>
      <c r="G247" s="1250"/>
      <c r="H247" s="1250"/>
      <c r="I247" s="1013">
        <f t="shared" si="41"/>
        <v>0</v>
      </c>
      <c r="J247" s="376"/>
      <c r="K247" s="376"/>
      <c r="L247" s="376"/>
      <c r="N247" s="1032">
        <f t="shared" si="32"/>
        <v>0</v>
      </c>
      <c r="P247" s="524"/>
      <c r="Q247" s="573"/>
      <c r="S247" s="573"/>
      <c r="T247" s="573"/>
      <c r="V247" s="524"/>
      <c r="W247" s="573"/>
      <c r="Y247" s="475">
        <f t="shared" si="46"/>
        <v>0</v>
      </c>
      <c r="Z247" s="573">
        <f t="shared" si="49"/>
        <v>0</v>
      </c>
      <c r="AA247" s="573">
        <f t="shared" si="47"/>
        <v>0</v>
      </c>
      <c r="AB247" s="573">
        <f t="shared" si="50"/>
        <v>0</v>
      </c>
      <c r="AC247" s="573">
        <f t="shared" si="48"/>
        <v>0</v>
      </c>
      <c r="AD247" s="457">
        <f t="shared" si="51"/>
        <v>0</v>
      </c>
      <c r="AE247" s="1"/>
      <c r="AF247" s="472">
        <v>200</v>
      </c>
      <c r="AG247" s="475">
        <f t="shared" si="42"/>
        <v>0</v>
      </c>
      <c r="AH247" s="573">
        <f t="shared" si="43"/>
        <v>0</v>
      </c>
      <c r="AI247" s="457">
        <f t="shared" si="44"/>
        <v>0</v>
      </c>
      <c r="AJ247" s="469">
        <f t="shared" si="45"/>
        <v>0</v>
      </c>
    </row>
    <row r="248" spans="2:36" ht="15" hidden="1" customHeight="1">
      <c r="B248" s="1037">
        <f>SUBTOTAL(3,$I$225:I248)</f>
        <v>0</v>
      </c>
      <c r="C248" s="1037">
        <f t="shared" si="39"/>
        <v>0</v>
      </c>
      <c r="D248" s="1013" t="str">
        <f t="shared" si="37"/>
        <v xml:space="preserve"> </v>
      </c>
      <c r="E248" s="1013" t="str">
        <f t="shared" si="38"/>
        <v xml:space="preserve"> </v>
      </c>
      <c r="F248" s="1250" t="str">
        <f t="shared" si="40"/>
        <v>8х45</v>
      </c>
      <c r="G248" s="1250"/>
      <c r="H248" s="1250"/>
      <c r="I248" s="1013">
        <f t="shared" si="41"/>
        <v>0</v>
      </c>
      <c r="J248" s="376"/>
      <c r="K248" s="376"/>
      <c r="L248" s="376"/>
      <c r="N248" s="1032">
        <f t="shared" si="32"/>
        <v>0</v>
      </c>
      <c r="P248" s="573"/>
      <c r="Q248" s="573"/>
      <c r="S248" s="573"/>
      <c r="T248" s="573"/>
      <c r="V248" s="573"/>
      <c r="W248" s="573"/>
      <c r="Y248" s="475">
        <f t="shared" si="46"/>
        <v>0</v>
      </c>
      <c r="Z248" s="573">
        <f t="shared" si="49"/>
        <v>0</v>
      </c>
      <c r="AA248" s="573">
        <f t="shared" si="47"/>
        <v>0</v>
      </c>
      <c r="AB248" s="573">
        <f t="shared" si="50"/>
        <v>0</v>
      </c>
      <c r="AC248" s="573">
        <f t="shared" si="48"/>
        <v>0</v>
      </c>
      <c r="AD248" s="457">
        <f t="shared" si="51"/>
        <v>0</v>
      </c>
      <c r="AE248" s="1"/>
      <c r="AF248" s="472">
        <v>210</v>
      </c>
      <c r="AG248" s="475">
        <f t="shared" si="42"/>
        <v>0</v>
      </c>
      <c r="AH248" s="573">
        <f t="shared" si="43"/>
        <v>0</v>
      </c>
      <c r="AI248" s="457">
        <f t="shared" si="44"/>
        <v>0</v>
      </c>
      <c r="AJ248" s="469">
        <f t="shared" si="45"/>
        <v>0</v>
      </c>
    </row>
    <row r="249" spans="2:36" ht="15" hidden="1" customHeight="1">
      <c r="B249" s="1037">
        <f>SUBTOTAL(3,$I$225:I249)</f>
        <v>0</v>
      </c>
      <c r="C249" s="1037">
        <f t="shared" si="39"/>
        <v>0</v>
      </c>
      <c r="D249" s="1013" t="str">
        <f t="shared" si="37"/>
        <v xml:space="preserve"> </v>
      </c>
      <c r="E249" s="1013" t="str">
        <f t="shared" si="38"/>
        <v xml:space="preserve"> </v>
      </c>
      <c r="F249" s="1250" t="str">
        <f t="shared" si="40"/>
        <v>8х45</v>
      </c>
      <c r="G249" s="1250"/>
      <c r="H249" s="1250"/>
      <c r="I249" s="1013">
        <f t="shared" si="41"/>
        <v>0</v>
      </c>
      <c r="J249" s="376"/>
      <c r="K249" s="376"/>
      <c r="L249" s="376"/>
      <c r="N249" s="1032">
        <f t="shared" si="32"/>
        <v>0</v>
      </c>
      <c r="P249" s="524"/>
      <c r="Q249" s="573"/>
      <c r="S249" s="573"/>
      <c r="T249" s="573"/>
      <c r="V249" s="524"/>
      <c r="W249" s="573"/>
      <c r="Y249" s="475">
        <f t="shared" si="46"/>
        <v>0</v>
      </c>
      <c r="Z249" s="573">
        <f t="shared" si="49"/>
        <v>0</v>
      </c>
      <c r="AA249" s="573">
        <f t="shared" si="47"/>
        <v>0</v>
      </c>
      <c r="AB249" s="573">
        <f t="shared" si="50"/>
        <v>0</v>
      </c>
      <c r="AC249" s="573">
        <f t="shared" si="48"/>
        <v>0</v>
      </c>
      <c r="AD249" s="457">
        <f t="shared" si="51"/>
        <v>0</v>
      </c>
      <c r="AE249" s="1"/>
      <c r="AF249" s="472">
        <v>220</v>
      </c>
      <c r="AG249" s="475">
        <f t="shared" si="42"/>
        <v>0</v>
      </c>
      <c r="AH249" s="573">
        <f t="shared" si="43"/>
        <v>0</v>
      </c>
      <c r="AI249" s="457">
        <f t="shared" si="44"/>
        <v>0</v>
      </c>
      <c r="AJ249" s="469">
        <f t="shared" si="45"/>
        <v>0</v>
      </c>
    </row>
    <row r="250" spans="2:36" ht="15" hidden="1" customHeight="1">
      <c r="B250" s="1037">
        <f>SUBTOTAL(3,$I$225:I250)</f>
        <v>0</v>
      </c>
      <c r="C250" s="1037">
        <f t="shared" si="39"/>
        <v>0</v>
      </c>
      <c r="D250" s="1013" t="str">
        <f t="shared" si="37"/>
        <v xml:space="preserve"> </v>
      </c>
      <c r="E250" s="1013" t="str">
        <f t="shared" si="38"/>
        <v xml:space="preserve"> </v>
      </c>
      <c r="F250" s="1250" t="str">
        <f t="shared" si="40"/>
        <v>8х45</v>
      </c>
      <c r="G250" s="1250"/>
      <c r="H250" s="1250"/>
      <c r="I250" s="1013">
        <f t="shared" si="41"/>
        <v>0</v>
      </c>
      <c r="J250" s="376"/>
      <c r="K250" s="376"/>
      <c r="L250" s="376"/>
      <c r="N250" s="1032">
        <f t="shared" si="32"/>
        <v>0</v>
      </c>
      <c r="P250" s="573"/>
      <c r="Q250" s="573"/>
      <c r="S250" s="573"/>
      <c r="T250" s="573"/>
      <c r="V250" s="573"/>
      <c r="W250" s="573"/>
      <c r="Y250" s="475">
        <f t="shared" si="46"/>
        <v>0</v>
      </c>
      <c r="Z250" s="573">
        <f t="shared" si="49"/>
        <v>0</v>
      </c>
      <c r="AA250" s="573">
        <f t="shared" si="47"/>
        <v>0</v>
      </c>
      <c r="AB250" s="573">
        <f t="shared" si="50"/>
        <v>0</v>
      </c>
      <c r="AC250" s="573">
        <f t="shared" si="48"/>
        <v>0</v>
      </c>
      <c r="AD250" s="457">
        <f t="shared" si="51"/>
        <v>0</v>
      </c>
      <c r="AE250" s="1"/>
      <c r="AF250" s="472">
        <v>230</v>
      </c>
      <c r="AG250" s="475">
        <f t="shared" si="42"/>
        <v>0</v>
      </c>
      <c r="AH250" s="573">
        <f t="shared" si="43"/>
        <v>0</v>
      </c>
      <c r="AI250" s="457">
        <f t="shared" si="44"/>
        <v>0</v>
      </c>
      <c r="AJ250" s="469">
        <f t="shared" si="45"/>
        <v>0</v>
      </c>
    </row>
    <row r="251" spans="2:36" ht="15" hidden="1" customHeight="1">
      <c r="B251" s="1037">
        <f>SUBTOTAL(3,$I$225:I251)</f>
        <v>0</v>
      </c>
      <c r="C251" s="1037">
        <f t="shared" si="39"/>
        <v>0</v>
      </c>
      <c r="D251" s="1013" t="str">
        <f t="shared" si="37"/>
        <v xml:space="preserve"> </v>
      </c>
      <c r="E251" s="1013" t="str">
        <f t="shared" si="38"/>
        <v xml:space="preserve"> </v>
      </c>
      <c r="F251" s="1250" t="str">
        <f t="shared" si="40"/>
        <v>8х45</v>
      </c>
      <c r="G251" s="1250"/>
      <c r="H251" s="1250"/>
      <c r="I251" s="1013">
        <f t="shared" si="41"/>
        <v>0</v>
      </c>
      <c r="J251" s="376"/>
      <c r="K251" s="376"/>
      <c r="L251" s="376"/>
      <c r="N251" s="1032">
        <f t="shared" si="32"/>
        <v>0</v>
      </c>
      <c r="P251" s="573"/>
      <c r="Q251" s="573"/>
      <c r="S251" s="573"/>
      <c r="T251" s="573"/>
      <c r="V251" s="524"/>
      <c r="W251" s="573"/>
      <c r="Y251" s="475">
        <f t="shared" si="46"/>
        <v>0</v>
      </c>
      <c r="Z251" s="573">
        <f t="shared" si="49"/>
        <v>0</v>
      </c>
      <c r="AA251" s="573">
        <f t="shared" si="47"/>
        <v>0</v>
      </c>
      <c r="AB251" s="573">
        <f t="shared" si="50"/>
        <v>0</v>
      </c>
      <c r="AC251" s="573">
        <f t="shared" si="48"/>
        <v>0</v>
      </c>
      <c r="AD251" s="457">
        <f t="shared" si="51"/>
        <v>0</v>
      </c>
      <c r="AE251" s="1"/>
      <c r="AF251" s="472">
        <v>240</v>
      </c>
      <c r="AG251" s="475">
        <f t="shared" si="42"/>
        <v>0</v>
      </c>
      <c r="AH251" s="573">
        <f t="shared" si="43"/>
        <v>0</v>
      </c>
      <c r="AI251" s="457">
        <f t="shared" si="44"/>
        <v>0</v>
      </c>
      <c r="AJ251" s="469">
        <f t="shared" si="45"/>
        <v>0</v>
      </c>
    </row>
    <row r="252" spans="2:36" ht="15" hidden="1" customHeight="1">
      <c r="B252" s="1037">
        <f>SUBTOTAL(3,$I$225:I252)</f>
        <v>0</v>
      </c>
      <c r="C252" s="1037">
        <f t="shared" si="39"/>
        <v>0</v>
      </c>
      <c r="D252" s="1013" t="str">
        <f t="shared" si="37"/>
        <v xml:space="preserve"> </v>
      </c>
      <c r="E252" s="1013" t="str">
        <f t="shared" si="38"/>
        <v xml:space="preserve"> </v>
      </c>
      <c r="F252" s="1250" t="str">
        <f t="shared" si="40"/>
        <v>8х45</v>
      </c>
      <c r="G252" s="1250"/>
      <c r="H252" s="1250"/>
      <c r="I252" s="1013">
        <f t="shared" si="41"/>
        <v>0</v>
      </c>
      <c r="J252" s="376"/>
      <c r="K252" s="376"/>
      <c r="L252" s="376"/>
      <c r="N252" s="1032">
        <f t="shared" si="32"/>
        <v>0</v>
      </c>
      <c r="P252" s="573"/>
      <c r="Q252" s="573"/>
      <c r="S252" s="573"/>
      <c r="T252" s="573"/>
      <c r="V252" s="573"/>
      <c r="W252" s="573"/>
      <c r="Y252" s="475">
        <f t="shared" si="46"/>
        <v>0</v>
      </c>
      <c r="Z252" s="573">
        <f t="shared" si="49"/>
        <v>0</v>
      </c>
      <c r="AA252" s="573">
        <f t="shared" si="47"/>
        <v>0</v>
      </c>
      <c r="AB252" s="573">
        <f t="shared" si="50"/>
        <v>0</v>
      </c>
      <c r="AC252" s="573">
        <f t="shared" si="48"/>
        <v>0</v>
      </c>
      <c r="AD252" s="457">
        <f t="shared" si="51"/>
        <v>0</v>
      </c>
      <c r="AE252" s="1"/>
      <c r="AF252" s="472">
        <v>250</v>
      </c>
      <c r="AG252" s="475">
        <f t="shared" si="42"/>
        <v>0</v>
      </c>
      <c r="AH252" s="573">
        <f t="shared" si="43"/>
        <v>0</v>
      </c>
      <c r="AI252" s="457">
        <f t="shared" si="44"/>
        <v>0</v>
      </c>
      <c r="AJ252" s="469">
        <f t="shared" si="45"/>
        <v>0</v>
      </c>
    </row>
    <row r="253" spans="2:36" ht="15" hidden="1" customHeight="1">
      <c r="B253" s="1037">
        <f>SUBTOTAL(3,$I$225:I253)</f>
        <v>0</v>
      </c>
      <c r="C253" s="1037">
        <f t="shared" si="39"/>
        <v>0</v>
      </c>
      <c r="D253" s="1013" t="str">
        <f t="shared" si="37"/>
        <v xml:space="preserve"> </v>
      </c>
      <c r="E253" s="1013" t="str">
        <f t="shared" si="38"/>
        <v xml:space="preserve"> </v>
      </c>
      <c r="F253" s="1250" t="str">
        <f t="shared" si="40"/>
        <v>8х45</v>
      </c>
      <c r="G253" s="1250"/>
      <c r="H253" s="1250"/>
      <c r="I253" s="1013">
        <f t="shared" si="41"/>
        <v>0</v>
      </c>
      <c r="J253" s="376"/>
      <c r="K253" s="376"/>
      <c r="L253" s="376"/>
      <c r="N253" s="1032">
        <f t="shared" si="32"/>
        <v>0</v>
      </c>
      <c r="P253" s="573"/>
      <c r="Q253" s="573"/>
      <c r="S253" s="573"/>
      <c r="T253" s="573"/>
      <c r="V253" s="524"/>
      <c r="W253" s="573"/>
      <c r="Y253" s="475">
        <f t="shared" si="46"/>
        <v>0</v>
      </c>
      <c r="Z253" s="573">
        <f t="shared" si="49"/>
        <v>0</v>
      </c>
      <c r="AA253" s="573">
        <f t="shared" si="47"/>
        <v>0</v>
      </c>
      <c r="AB253" s="573">
        <f t="shared" si="50"/>
        <v>0</v>
      </c>
      <c r="AC253" s="573">
        <f t="shared" si="48"/>
        <v>0</v>
      </c>
      <c r="AD253" s="457">
        <f t="shared" si="51"/>
        <v>0</v>
      </c>
      <c r="AE253" s="1"/>
      <c r="AF253" s="472">
        <v>260</v>
      </c>
      <c r="AG253" s="475">
        <f t="shared" si="42"/>
        <v>0</v>
      </c>
      <c r="AH253" s="573">
        <f>SUMIF($AA$233:$AA$285,AF253,$AB$233:$AB$285)</f>
        <v>0</v>
      </c>
      <c r="AI253" s="457">
        <f t="shared" si="44"/>
        <v>0</v>
      </c>
      <c r="AJ253" s="469">
        <f t="shared" si="45"/>
        <v>0</v>
      </c>
    </row>
    <row r="254" spans="2:36" ht="15" hidden="1" customHeight="1">
      <c r="B254" s="1037">
        <f>SUBTOTAL(3,$I$225:I254)</f>
        <v>0</v>
      </c>
      <c r="C254" s="1037">
        <f t="shared" si="39"/>
        <v>0</v>
      </c>
      <c r="D254" s="1013" t="str">
        <f t="shared" si="37"/>
        <v xml:space="preserve"> </v>
      </c>
      <c r="E254" s="1013" t="str">
        <f t="shared" si="38"/>
        <v xml:space="preserve"> </v>
      </c>
      <c r="F254" s="1250" t="str">
        <f t="shared" si="40"/>
        <v>8х45</v>
      </c>
      <c r="G254" s="1250"/>
      <c r="H254" s="1250"/>
      <c r="I254" s="1013">
        <f t="shared" si="41"/>
        <v>0</v>
      </c>
      <c r="J254" s="376"/>
      <c r="K254" s="376"/>
      <c r="L254" s="376"/>
      <c r="N254" s="1032">
        <f t="shared" si="32"/>
        <v>0</v>
      </c>
      <c r="P254" s="573"/>
      <c r="Q254" s="573"/>
      <c r="S254" s="573"/>
      <c r="T254" s="573"/>
      <c r="V254" s="573"/>
      <c r="W254" s="573"/>
      <c r="Y254" s="475">
        <f t="shared" si="46"/>
        <v>0</v>
      </c>
      <c r="Z254" s="573">
        <f t="shared" si="49"/>
        <v>0</v>
      </c>
      <c r="AA254" s="573">
        <f t="shared" si="47"/>
        <v>0</v>
      </c>
      <c r="AB254" s="573">
        <f t="shared" si="50"/>
        <v>0</v>
      </c>
      <c r="AC254" s="573">
        <f t="shared" si="48"/>
        <v>0</v>
      </c>
      <c r="AD254" s="457">
        <f t="shared" si="51"/>
        <v>0</v>
      </c>
      <c r="AE254" s="1"/>
      <c r="AF254" s="472">
        <v>270</v>
      </c>
      <c r="AG254" s="475">
        <f t="shared" si="42"/>
        <v>0</v>
      </c>
      <c r="AH254" s="573">
        <f t="shared" si="43"/>
        <v>0</v>
      </c>
      <c r="AI254" s="457">
        <f t="shared" si="44"/>
        <v>0</v>
      </c>
      <c r="AJ254" s="469">
        <f t="shared" si="45"/>
        <v>0</v>
      </c>
    </row>
    <row r="255" spans="2:36" ht="15" hidden="1" customHeight="1">
      <c r="B255" s="1037">
        <f>SUBTOTAL(3,$I$225:I255)</f>
        <v>0</v>
      </c>
      <c r="C255" s="1037">
        <f t="shared" si="39"/>
        <v>0</v>
      </c>
      <c r="D255" s="1013" t="str">
        <f t="shared" si="37"/>
        <v xml:space="preserve"> </v>
      </c>
      <c r="E255" s="1013" t="str">
        <f t="shared" si="38"/>
        <v xml:space="preserve"> </v>
      </c>
      <c r="F255" s="1250" t="str">
        <f t="shared" si="40"/>
        <v>8х45</v>
      </c>
      <c r="G255" s="1250"/>
      <c r="H255" s="1250"/>
      <c r="I255" s="1013">
        <f t="shared" si="41"/>
        <v>0</v>
      </c>
      <c r="J255" s="376"/>
      <c r="K255" s="376"/>
      <c r="L255" s="376"/>
      <c r="N255" s="1032">
        <f t="shared" si="32"/>
        <v>0</v>
      </c>
      <c r="P255" s="573"/>
      <c r="Q255" s="573"/>
      <c r="S255" s="573"/>
      <c r="T255" s="573"/>
      <c r="V255" s="573"/>
      <c r="W255" s="573"/>
      <c r="Y255" s="475">
        <f t="shared" si="46"/>
        <v>0</v>
      </c>
      <c r="Z255" s="573">
        <f t="shared" si="49"/>
        <v>0</v>
      </c>
      <c r="AA255" s="573">
        <f t="shared" si="47"/>
        <v>0</v>
      </c>
      <c r="AB255" s="573">
        <f t="shared" si="50"/>
        <v>0</v>
      </c>
      <c r="AC255" s="573">
        <f t="shared" si="48"/>
        <v>0</v>
      </c>
      <c r="AD255" s="457">
        <f t="shared" si="51"/>
        <v>0</v>
      </c>
      <c r="AE255" s="1"/>
      <c r="AF255" s="472">
        <v>280</v>
      </c>
      <c r="AG255" s="475">
        <f t="shared" si="42"/>
        <v>0</v>
      </c>
      <c r="AH255" s="573">
        <f t="shared" si="43"/>
        <v>0</v>
      </c>
      <c r="AI255" s="457">
        <f t="shared" si="44"/>
        <v>0</v>
      </c>
      <c r="AJ255" s="469">
        <f t="shared" si="45"/>
        <v>0</v>
      </c>
    </row>
    <row r="256" spans="2:36" ht="15" hidden="1" customHeight="1">
      <c r="B256" s="1037">
        <f>SUBTOTAL(3,$I$225:I256)</f>
        <v>0</v>
      </c>
      <c r="C256" s="1037">
        <f t="shared" si="39"/>
        <v>0</v>
      </c>
      <c r="D256" s="1013" t="str">
        <f t="shared" si="37"/>
        <v xml:space="preserve"> </v>
      </c>
      <c r="E256" s="1013" t="str">
        <f t="shared" si="38"/>
        <v xml:space="preserve"> </v>
      </c>
      <c r="F256" s="1250" t="str">
        <f t="shared" si="40"/>
        <v>8х45</v>
      </c>
      <c r="G256" s="1250"/>
      <c r="H256" s="1250"/>
      <c r="I256" s="1013">
        <f t="shared" si="41"/>
        <v>0</v>
      </c>
      <c r="J256" s="376"/>
      <c r="K256" s="376"/>
      <c r="L256" s="376"/>
      <c r="N256" s="1032">
        <f t="shared" si="32"/>
        <v>0</v>
      </c>
      <c r="P256" s="573"/>
      <c r="Q256" s="573"/>
      <c r="S256" s="573"/>
      <c r="T256" s="573"/>
      <c r="V256" s="573"/>
      <c r="W256" s="573"/>
      <c r="Y256" s="475">
        <f t="shared" si="46"/>
        <v>0</v>
      </c>
      <c r="Z256" s="573">
        <f t="shared" si="49"/>
        <v>0</v>
      </c>
      <c r="AA256" s="573">
        <f t="shared" si="47"/>
        <v>0</v>
      </c>
      <c r="AB256" s="573">
        <f t="shared" si="50"/>
        <v>0</v>
      </c>
      <c r="AC256" s="573">
        <f t="shared" si="48"/>
        <v>0</v>
      </c>
      <c r="AD256" s="457">
        <f t="shared" si="51"/>
        <v>0</v>
      </c>
      <c r="AE256" s="1"/>
      <c r="AF256" s="472">
        <v>290</v>
      </c>
      <c r="AG256" s="475">
        <f t="shared" si="42"/>
        <v>0</v>
      </c>
      <c r="AH256" s="573">
        <f t="shared" si="43"/>
        <v>0</v>
      </c>
      <c r="AI256" s="457">
        <f t="shared" si="44"/>
        <v>0</v>
      </c>
      <c r="AJ256" s="469">
        <f t="shared" si="45"/>
        <v>0</v>
      </c>
    </row>
    <row r="257" spans="2:36" ht="15" hidden="1" customHeight="1">
      <c r="B257" s="1037">
        <f>SUBTOTAL(3,$I$225:I257)</f>
        <v>0</v>
      </c>
      <c r="C257" s="1037">
        <f t="shared" si="39"/>
        <v>0</v>
      </c>
      <c r="D257" s="1013" t="str">
        <f t="shared" si="37"/>
        <v xml:space="preserve"> </v>
      </c>
      <c r="E257" s="1013" t="str">
        <f t="shared" si="38"/>
        <v xml:space="preserve"> </v>
      </c>
      <c r="F257" s="1250" t="str">
        <f t="shared" si="40"/>
        <v>8х45</v>
      </c>
      <c r="G257" s="1250"/>
      <c r="H257" s="1250"/>
      <c r="I257" s="1013">
        <f t="shared" si="41"/>
        <v>0</v>
      </c>
      <c r="J257" s="376"/>
      <c r="K257" s="376"/>
      <c r="L257" s="376"/>
      <c r="N257" s="1032">
        <f t="shared" si="32"/>
        <v>0</v>
      </c>
      <c r="P257" s="573"/>
      <c r="Q257" s="573"/>
      <c r="S257" s="573"/>
      <c r="T257" s="573"/>
      <c r="V257" s="573"/>
      <c r="W257" s="573"/>
      <c r="Y257" s="475">
        <f t="shared" si="46"/>
        <v>0</v>
      </c>
      <c r="Z257" s="573">
        <f t="shared" si="49"/>
        <v>0</v>
      </c>
      <c r="AA257" s="573">
        <f t="shared" si="47"/>
        <v>0</v>
      </c>
      <c r="AB257" s="573">
        <f t="shared" si="50"/>
        <v>0</v>
      </c>
      <c r="AC257" s="573">
        <f t="shared" si="48"/>
        <v>0</v>
      </c>
      <c r="AD257" s="457">
        <f t="shared" si="51"/>
        <v>0</v>
      </c>
      <c r="AE257" s="1"/>
      <c r="AF257" s="472">
        <v>300</v>
      </c>
      <c r="AG257" s="475">
        <f t="shared" si="42"/>
        <v>0</v>
      </c>
      <c r="AH257" s="573">
        <f t="shared" si="43"/>
        <v>0</v>
      </c>
      <c r="AI257" s="457">
        <f t="shared" si="44"/>
        <v>0</v>
      </c>
      <c r="AJ257" s="469">
        <f t="shared" si="45"/>
        <v>0</v>
      </c>
    </row>
    <row r="258" spans="2:36" ht="15" hidden="1" customHeight="1">
      <c r="B258" s="1037">
        <f>SUBTOTAL(3,$I$225:I258)</f>
        <v>0</v>
      </c>
      <c r="C258" s="1037">
        <f t="shared" si="39"/>
        <v>0</v>
      </c>
      <c r="D258" s="1013" t="str">
        <f t="shared" si="37"/>
        <v xml:space="preserve"> </v>
      </c>
      <c r="E258" s="1013" t="str">
        <f t="shared" si="38"/>
        <v xml:space="preserve"> </v>
      </c>
      <c r="F258" s="1250" t="str">
        <f t="shared" si="40"/>
        <v>8х45</v>
      </c>
      <c r="G258" s="1250"/>
      <c r="H258" s="1250"/>
      <c r="I258" s="1013">
        <f t="shared" si="41"/>
        <v>0</v>
      </c>
      <c r="J258" s="376"/>
      <c r="K258" s="376"/>
      <c r="L258" s="376"/>
      <c r="N258" s="1032">
        <f t="shared" si="32"/>
        <v>0</v>
      </c>
      <c r="P258" s="573"/>
      <c r="Q258" s="573"/>
      <c r="S258" s="573"/>
      <c r="T258" s="573"/>
      <c r="V258" s="573"/>
      <c r="W258" s="573"/>
      <c r="Y258" s="475">
        <f t="shared" si="46"/>
        <v>0</v>
      </c>
      <c r="Z258" s="573">
        <f t="shared" si="49"/>
        <v>0</v>
      </c>
      <c r="AA258" s="573">
        <f t="shared" si="47"/>
        <v>0</v>
      </c>
      <c r="AB258" s="573">
        <f t="shared" si="50"/>
        <v>0</v>
      </c>
      <c r="AC258" s="573">
        <f t="shared" si="48"/>
        <v>0</v>
      </c>
      <c r="AD258" s="457">
        <f t="shared" si="51"/>
        <v>0</v>
      </c>
      <c r="AE258" s="1"/>
      <c r="AF258" s="472">
        <v>310</v>
      </c>
      <c r="AG258" s="475">
        <f t="shared" si="42"/>
        <v>0</v>
      </c>
      <c r="AH258" s="573">
        <f t="shared" si="43"/>
        <v>0</v>
      </c>
      <c r="AI258" s="457">
        <f t="shared" si="44"/>
        <v>0</v>
      </c>
      <c r="AJ258" s="469">
        <f t="shared" si="45"/>
        <v>0</v>
      </c>
    </row>
    <row r="259" spans="2:36" ht="15" hidden="1" customHeight="1">
      <c r="B259" s="1037">
        <f>SUBTOTAL(3,$I$225:I259)</f>
        <v>0</v>
      </c>
      <c r="C259" s="1037">
        <f t="shared" si="39"/>
        <v>0</v>
      </c>
      <c r="D259" s="1013" t="str">
        <f t="shared" si="37"/>
        <v xml:space="preserve"> </v>
      </c>
      <c r="E259" s="1013" t="str">
        <f t="shared" si="38"/>
        <v xml:space="preserve"> </v>
      </c>
      <c r="F259" s="1250" t="str">
        <f t="shared" si="40"/>
        <v>8х45</v>
      </c>
      <c r="G259" s="1250"/>
      <c r="H259" s="1250"/>
      <c r="I259" s="1013">
        <f t="shared" si="41"/>
        <v>0</v>
      </c>
      <c r="J259" s="376"/>
      <c r="K259" s="376"/>
      <c r="L259" s="376"/>
      <c r="N259" s="1032">
        <f t="shared" si="32"/>
        <v>0</v>
      </c>
      <c r="P259" s="573"/>
      <c r="Q259" s="573"/>
      <c r="S259" s="573"/>
      <c r="T259" s="573"/>
      <c r="V259" s="573"/>
      <c r="W259" s="573"/>
      <c r="Y259" s="475">
        <f t="shared" si="46"/>
        <v>0</v>
      </c>
      <c r="Z259" s="573">
        <f t="shared" si="49"/>
        <v>0</v>
      </c>
      <c r="AA259" s="573">
        <f t="shared" si="47"/>
        <v>0</v>
      </c>
      <c r="AB259" s="573">
        <f t="shared" si="50"/>
        <v>0</v>
      </c>
      <c r="AC259" s="573">
        <f t="shared" si="48"/>
        <v>0</v>
      </c>
      <c r="AD259" s="457">
        <f t="shared" si="51"/>
        <v>0</v>
      </c>
      <c r="AE259" s="1"/>
      <c r="AF259" s="472">
        <v>320</v>
      </c>
      <c r="AG259" s="475">
        <f t="shared" si="42"/>
        <v>0</v>
      </c>
      <c r="AH259" s="573">
        <f t="shared" si="43"/>
        <v>0</v>
      </c>
      <c r="AI259" s="457">
        <f t="shared" si="44"/>
        <v>0</v>
      </c>
      <c r="AJ259" s="469">
        <f t="shared" si="45"/>
        <v>0</v>
      </c>
    </row>
    <row r="260" spans="2:36" ht="15" hidden="1" customHeight="1">
      <c r="B260" s="1037">
        <f>SUBTOTAL(3,$I$225:I260)</f>
        <v>0</v>
      </c>
      <c r="C260" s="1037">
        <f t="shared" si="39"/>
        <v>0</v>
      </c>
      <c r="D260" s="1013" t="str">
        <f t="shared" si="37"/>
        <v xml:space="preserve"> </v>
      </c>
      <c r="E260" s="1013" t="str">
        <f t="shared" si="38"/>
        <v xml:space="preserve"> </v>
      </c>
      <c r="F260" s="1250" t="str">
        <f t="shared" si="40"/>
        <v>8х45</v>
      </c>
      <c r="G260" s="1250"/>
      <c r="H260" s="1250"/>
      <c r="I260" s="1013">
        <f t="shared" si="41"/>
        <v>0</v>
      </c>
      <c r="J260" s="376"/>
      <c r="K260" s="376"/>
      <c r="L260" s="376"/>
      <c r="N260" s="1032">
        <f t="shared" si="32"/>
        <v>0</v>
      </c>
      <c r="P260" s="573"/>
      <c r="Q260" s="573"/>
      <c r="S260" s="573"/>
      <c r="T260" s="573"/>
      <c r="V260" s="573"/>
      <c r="W260" s="573"/>
      <c r="Y260" s="475">
        <f t="shared" si="46"/>
        <v>0</v>
      </c>
      <c r="Z260" s="573">
        <f t="shared" si="49"/>
        <v>0</v>
      </c>
      <c r="AA260" s="573">
        <f t="shared" si="47"/>
        <v>0</v>
      </c>
      <c r="AB260" s="573">
        <f t="shared" si="50"/>
        <v>0</v>
      </c>
      <c r="AC260" s="573">
        <f t="shared" si="48"/>
        <v>0</v>
      </c>
      <c r="AD260" s="457">
        <f t="shared" si="51"/>
        <v>0</v>
      </c>
      <c r="AE260" s="1"/>
      <c r="AF260" s="472">
        <v>330</v>
      </c>
      <c r="AG260" s="475">
        <f t="shared" si="42"/>
        <v>0</v>
      </c>
      <c r="AH260" s="573">
        <f t="shared" si="43"/>
        <v>0</v>
      </c>
      <c r="AI260" s="457">
        <f t="shared" si="44"/>
        <v>0</v>
      </c>
      <c r="AJ260" s="469">
        <f t="shared" si="45"/>
        <v>0</v>
      </c>
    </row>
    <row r="261" spans="2:36" ht="15" hidden="1" customHeight="1">
      <c r="B261" s="1037">
        <f>SUBTOTAL(3,$I$225:I261)</f>
        <v>0</v>
      </c>
      <c r="C261" s="1037">
        <f t="shared" si="39"/>
        <v>0</v>
      </c>
      <c r="D261" s="1013" t="str">
        <f t="shared" si="37"/>
        <v xml:space="preserve"> </v>
      </c>
      <c r="E261" s="1013" t="str">
        <f t="shared" si="38"/>
        <v xml:space="preserve"> </v>
      </c>
      <c r="F261" s="1250" t="str">
        <f t="shared" si="40"/>
        <v>8х45</v>
      </c>
      <c r="G261" s="1250"/>
      <c r="H261" s="1250"/>
      <c r="I261" s="1013">
        <f t="shared" si="41"/>
        <v>0</v>
      </c>
      <c r="J261" s="376"/>
      <c r="K261" s="376"/>
      <c r="L261" s="376"/>
      <c r="N261" s="1032">
        <f t="shared" si="32"/>
        <v>0</v>
      </c>
      <c r="P261" s="573"/>
      <c r="Q261" s="573"/>
      <c r="S261" s="573"/>
      <c r="T261" s="573"/>
      <c r="V261" s="573"/>
      <c r="W261" s="573"/>
      <c r="Y261" s="475">
        <f t="shared" si="46"/>
        <v>0</v>
      </c>
      <c r="Z261" s="573">
        <f t="shared" si="49"/>
        <v>0</v>
      </c>
      <c r="AA261" s="573">
        <f t="shared" si="47"/>
        <v>0</v>
      </c>
      <c r="AB261" s="573">
        <f t="shared" si="50"/>
        <v>0</v>
      </c>
      <c r="AC261" s="573">
        <f t="shared" si="48"/>
        <v>0</v>
      </c>
      <c r="AD261" s="457">
        <f t="shared" si="51"/>
        <v>0</v>
      </c>
      <c r="AE261" s="1"/>
      <c r="AF261" s="472">
        <v>340</v>
      </c>
      <c r="AG261" s="475">
        <f t="shared" si="42"/>
        <v>0</v>
      </c>
      <c r="AH261" s="573">
        <f t="shared" si="43"/>
        <v>0</v>
      </c>
      <c r="AI261" s="457">
        <f t="shared" si="44"/>
        <v>0</v>
      </c>
      <c r="AJ261" s="469">
        <f t="shared" si="45"/>
        <v>0</v>
      </c>
    </row>
    <row r="262" spans="2:36" ht="15" hidden="1" customHeight="1">
      <c r="B262" s="1037">
        <f>SUBTOTAL(3,$I$225:I262)</f>
        <v>0</v>
      </c>
      <c r="C262" s="1037">
        <f t="shared" si="39"/>
        <v>0</v>
      </c>
      <c r="D262" s="1013" t="str">
        <f t="shared" si="37"/>
        <v xml:space="preserve"> </v>
      </c>
      <c r="E262" s="1013" t="str">
        <f t="shared" si="38"/>
        <v xml:space="preserve"> </v>
      </c>
      <c r="F262" s="1250" t="str">
        <f t="shared" si="40"/>
        <v>8х45</v>
      </c>
      <c r="G262" s="1250"/>
      <c r="H262" s="1250"/>
      <c r="I262" s="1013">
        <f t="shared" si="41"/>
        <v>0</v>
      </c>
      <c r="J262" s="376"/>
      <c r="K262" s="376"/>
      <c r="L262" s="376"/>
      <c r="N262" s="1032">
        <f t="shared" si="32"/>
        <v>0</v>
      </c>
      <c r="P262" s="573"/>
      <c r="Q262" s="573"/>
      <c r="S262" s="573"/>
      <c r="T262" s="573"/>
      <c r="V262" s="573"/>
      <c r="W262" s="573"/>
      <c r="Y262" s="475">
        <f t="shared" si="46"/>
        <v>0</v>
      </c>
      <c r="Z262" s="573">
        <f t="shared" si="49"/>
        <v>0</v>
      </c>
      <c r="AA262" s="573">
        <f t="shared" si="47"/>
        <v>0</v>
      </c>
      <c r="AB262" s="573">
        <f t="shared" si="50"/>
        <v>0</v>
      </c>
      <c r="AC262" s="573">
        <f t="shared" si="48"/>
        <v>0</v>
      </c>
      <c r="AD262" s="457">
        <f t="shared" si="51"/>
        <v>0</v>
      </c>
      <c r="AE262" s="1"/>
      <c r="AF262" s="472">
        <v>350</v>
      </c>
      <c r="AG262" s="475">
        <f t="shared" si="42"/>
        <v>0</v>
      </c>
      <c r="AH262" s="573">
        <f t="shared" si="43"/>
        <v>0</v>
      </c>
      <c r="AI262" s="457">
        <f t="shared" si="44"/>
        <v>0</v>
      </c>
      <c r="AJ262" s="469">
        <f t="shared" si="45"/>
        <v>0</v>
      </c>
    </row>
    <row r="263" spans="2:36" ht="15" hidden="1" customHeight="1">
      <c r="B263" s="1037">
        <f>SUBTOTAL(3,$I$225:I263)</f>
        <v>0</v>
      </c>
      <c r="C263" s="1037">
        <f t="shared" si="39"/>
        <v>0</v>
      </c>
      <c r="D263" s="1013" t="str">
        <f t="shared" si="37"/>
        <v xml:space="preserve"> </v>
      </c>
      <c r="E263" s="1013" t="str">
        <f t="shared" si="38"/>
        <v xml:space="preserve"> </v>
      </c>
      <c r="F263" s="1250" t="str">
        <f t="shared" si="40"/>
        <v>8х45</v>
      </c>
      <c r="G263" s="1250"/>
      <c r="H263" s="1250"/>
      <c r="I263" s="1013">
        <f t="shared" si="41"/>
        <v>0</v>
      </c>
      <c r="J263" s="376"/>
      <c r="K263" s="376"/>
      <c r="L263" s="376"/>
      <c r="N263" s="1032">
        <f t="shared" si="32"/>
        <v>0</v>
      </c>
      <c r="P263" s="573"/>
      <c r="Q263" s="573"/>
      <c r="S263" s="573"/>
      <c r="T263" s="573"/>
      <c r="V263" s="573"/>
      <c r="W263" s="573"/>
      <c r="Y263" s="475">
        <f t="shared" si="46"/>
        <v>0</v>
      </c>
      <c r="Z263" s="573">
        <f t="shared" si="49"/>
        <v>0</v>
      </c>
      <c r="AA263" s="573">
        <f t="shared" si="47"/>
        <v>0</v>
      </c>
      <c r="AB263" s="573">
        <f t="shared" si="50"/>
        <v>0</v>
      </c>
      <c r="AC263" s="573">
        <f t="shared" si="48"/>
        <v>0</v>
      </c>
      <c r="AD263" s="457">
        <f t="shared" si="51"/>
        <v>0</v>
      </c>
      <c r="AE263" s="1"/>
      <c r="AF263" s="472">
        <v>360</v>
      </c>
      <c r="AG263" s="475">
        <f t="shared" si="42"/>
        <v>0</v>
      </c>
      <c r="AH263" s="573">
        <f t="shared" si="43"/>
        <v>0</v>
      </c>
      <c r="AI263" s="457">
        <f t="shared" si="44"/>
        <v>0</v>
      </c>
      <c r="AJ263" s="469">
        <f t="shared" si="45"/>
        <v>0</v>
      </c>
    </row>
    <row r="264" spans="2:36" ht="15" hidden="1" customHeight="1">
      <c r="B264" s="1037">
        <f>SUBTOTAL(3,$I$225:I264)</f>
        <v>0</v>
      </c>
      <c r="C264" s="1037">
        <f t="shared" si="39"/>
        <v>0</v>
      </c>
      <c r="D264" s="1013" t="str">
        <f t="shared" si="37"/>
        <v xml:space="preserve"> </v>
      </c>
      <c r="E264" s="1013" t="str">
        <f t="shared" si="38"/>
        <v xml:space="preserve"> </v>
      </c>
      <c r="F264" s="1250" t="str">
        <f t="shared" si="40"/>
        <v>8х45</v>
      </c>
      <c r="G264" s="1250"/>
      <c r="H264" s="1250"/>
      <c r="I264" s="1013">
        <f t="shared" si="41"/>
        <v>0</v>
      </c>
      <c r="J264" s="376"/>
      <c r="K264" s="376"/>
      <c r="L264" s="376"/>
      <c r="N264" s="1032">
        <f t="shared" si="32"/>
        <v>0</v>
      </c>
      <c r="P264" s="573"/>
      <c r="Q264" s="573"/>
      <c r="S264" s="573"/>
      <c r="T264" s="573"/>
      <c r="V264" s="573"/>
      <c r="W264" s="573"/>
      <c r="Y264" s="475">
        <f t="shared" si="46"/>
        <v>0</v>
      </c>
      <c r="Z264" s="573">
        <f t="shared" si="49"/>
        <v>0</v>
      </c>
      <c r="AA264" s="573">
        <f t="shared" si="47"/>
        <v>0</v>
      </c>
      <c r="AB264" s="573">
        <f t="shared" si="50"/>
        <v>0</v>
      </c>
      <c r="AC264" s="573">
        <f t="shared" si="48"/>
        <v>0</v>
      </c>
      <c r="AD264" s="457">
        <f t="shared" si="51"/>
        <v>0</v>
      </c>
      <c r="AE264" s="1"/>
      <c r="AF264" s="472">
        <v>370</v>
      </c>
      <c r="AG264" s="475">
        <f t="shared" si="42"/>
        <v>0</v>
      </c>
      <c r="AH264" s="573">
        <f t="shared" si="43"/>
        <v>0</v>
      </c>
      <c r="AI264" s="457">
        <f t="shared" si="44"/>
        <v>0</v>
      </c>
      <c r="AJ264" s="469">
        <f t="shared" si="45"/>
        <v>0</v>
      </c>
    </row>
    <row r="265" spans="2:36" ht="15" hidden="1" customHeight="1">
      <c r="B265" s="1037">
        <f>SUBTOTAL(3,$I$225:I265)</f>
        <v>0</v>
      </c>
      <c r="C265" s="1037">
        <f t="shared" si="39"/>
        <v>0</v>
      </c>
      <c r="D265" s="1013" t="str">
        <f t="shared" si="37"/>
        <v xml:space="preserve"> </v>
      </c>
      <c r="E265" s="1013" t="str">
        <f t="shared" si="38"/>
        <v xml:space="preserve"> </v>
      </c>
      <c r="F265" s="1250" t="str">
        <f t="shared" si="40"/>
        <v>8х45</v>
      </c>
      <c r="G265" s="1250"/>
      <c r="H265" s="1250"/>
      <c r="I265" s="1013">
        <f t="shared" si="41"/>
        <v>0</v>
      </c>
      <c r="J265" s="376"/>
      <c r="K265" s="376"/>
      <c r="L265" s="376"/>
      <c r="N265" s="1032">
        <f t="shared" si="32"/>
        <v>0</v>
      </c>
      <c r="P265" s="573"/>
      <c r="Q265" s="573"/>
      <c r="S265" s="573"/>
      <c r="T265" s="573"/>
      <c r="V265" s="573"/>
      <c r="W265" s="573"/>
      <c r="Y265" s="475">
        <f t="shared" si="46"/>
        <v>0</v>
      </c>
      <c r="Z265" s="573">
        <f t="shared" si="49"/>
        <v>0</v>
      </c>
      <c r="AA265" s="573">
        <f t="shared" si="47"/>
        <v>0</v>
      </c>
      <c r="AB265" s="573">
        <f t="shared" si="50"/>
        <v>0</v>
      </c>
      <c r="AC265" s="573">
        <f t="shared" si="48"/>
        <v>0</v>
      </c>
      <c r="AD265" s="457">
        <f t="shared" si="51"/>
        <v>0</v>
      </c>
      <c r="AE265" s="1"/>
      <c r="AF265" s="472">
        <v>380</v>
      </c>
      <c r="AG265" s="475">
        <f t="shared" si="42"/>
        <v>0</v>
      </c>
      <c r="AH265" s="573">
        <f t="shared" si="43"/>
        <v>0</v>
      </c>
      <c r="AI265" s="457">
        <f t="shared" si="44"/>
        <v>0</v>
      </c>
      <c r="AJ265" s="469">
        <f t="shared" si="45"/>
        <v>0</v>
      </c>
    </row>
    <row r="266" spans="2:36" ht="15" hidden="1" customHeight="1">
      <c r="B266" s="1037">
        <f>SUBTOTAL(3,$I$225:I266)</f>
        <v>0</v>
      </c>
      <c r="C266" s="1037">
        <f t="shared" si="39"/>
        <v>0</v>
      </c>
      <c r="D266" s="1013" t="str">
        <f t="shared" si="37"/>
        <v xml:space="preserve"> </v>
      </c>
      <c r="E266" s="1013" t="str">
        <f t="shared" si="38"/>
        <v xml:space="preserve"> </v>
      </c>
      <c r="F266" s="1250" t="str">
        <f t="shared" si="40"/>
        <v>8х45</v>
      </c>
      <c r="G266" s="1250"/>
      <c r="H266" s="1250"/>
      <c r="I266" s="1013">
        <f t="shared" si="41"/>
        <v>0</v>
      </c>
      <c r="J266" s="376"/>
      <c r="K266" s="376"/>
      <c r="L266" s="376"/>
      <c r="N266" s="1032">
        <f t="shared" si="32"/>
        <v>0</v>
      </c>
      <c r="P266" s="573"/>
      <c r="Q266" s="573"/>
      <c r="S266" s="573"/>
      <c r="T266" s="573"/>
      <c r="V266" s="573"/>
      <c r="W266" s="573"/>
      <c r="Y266" s="475">
        <f t="shared" si="46"/>
        <v>0</v>
      </c>
      <c r="Z266" s="573">
        <f t="shared" si="49"/>
        <v>0</v>
      </c>
      <c r="AA266" s="573">
        <f t="shared" si="47"/>
        <v>0</v>
      </c>
      <c r="AB266" s="573">
        <f t="shared" si="50"/>
        <v>0</v>
      </c>
      <c r="AC266" s="573">
        <f t="shared" si="48"/>
        <v>0</v>
      </c>
      <c r="AD266" s="457">
        <f t="shared" si="51"/>
        <v>0</v>
      </c>
      <c r="AE266" s="1"/>
      <c r="AF266" s="472">
        <v>390</v>
      </c>
      <c r="AG266" s="475">
        <f t="shared" si="42"/>
        <v>0</v>
      </c>
      <c r="AH266" s="573">
        <f t="shared" si="43"/>
        <v>0</v>
      </c>
      <c r="AI266" s="457">
        <f t="shared" si="44"/>
        <v>0</v>
      </c>
      <c r="AJ266" s="469">
        <f t="shared" si="45"/>
        <v>0</v>
      </c>
    </row>
    <row r="267" spans="2:36" ht="15" hidden="1" customHeight="1">
      <c r="B267" s="1037">
        <f>SUBTOTAL(3,$I$225:I267)</f>
        <v>0</v>
      </c>
      <c r="C267" s="1037">
        <f t="shared" si="39"/>
        <v>0</v>
      </c>
      <c r="D267" s="1013" t="str">
        <f t="shared" si="37"/>
        <v xml:space="preserve"> </v>
      </c>
      <c r="E267" s="1013" t="str">
        <f t="shared" si="38"/>
        <v xml:space="preserve"> </v>
      </c>
      <c r="F267" s="1250" t="str">
        <f t="shared" si="40"/>
        <v>8х45</v>
      </c>
      <c r="G267" s="1250"/>
      <c r="H267" s="1250"/>
      <c r="I267" s="1013">
        <f t="shared" si="41"/>
        <v>0</v>
      </c>
      <c r="J267" s="376"/>
      <c r="K267" s="376"/>
      <c r="L267" s="376"/>
      <c r="N267" s="1032">
        <f t="shared" si="32"/>
        <v>0</v>
      </c>
      <c r="P267" s="573"/>
      <c r="Q267" s="573"/>
      <c r="S267" s="573"/>
      <c r="T267" s="573"/>
      <c r="V267" s="573"/>
      <c r="W267" s="573"/>
      <c r="Y267" s="475">
        <f t="shared" si="46"/>
        <v>0</v>
      </c>
      <c r="Z267" s="573">
        <f t="shared" si="49"/>
        <v>0</v>
      </c>
      <c r="AA267" s="573">
        <f t="shared" si="47"/>
        <v>0</v>
      </c>
      <c r="AB267" s="573">
        <f t="shared" si="50"/>
        <v>0</v>
      </c>
      <c r="AC267" s="573">
        <f t="shared" si="48"/>
        <v>0</v>
      </c>
      <c r="AD267" s="457">
        <f t="shared" si="51"/>
        <v>0</v>
      </c>
      <c r="AE267" s="1"/>
      <c r="AF267" s="472">
        <v>400</v>
      </c>
      <c r="AG267" s="475">
        <f t="shared" si="42"/>
        <v>0</v>
      </c>
      <c r="AH267" s="573">
        <f t="shared" si="43"/>
        <v>0</v>
      </c>
      <c r="AI267" s="457">
        <f t="shared" si="44"/>
        <v>0</v>
      </c>
      <c r="AJ267" s="469">
        <f t="shared" si="45"/>
        <v>0</v>
      </c>
    </row>
    <row r="268" spans="2:36" ht="15" hidden="1" customHeight="1">
      <c r="B268" s="1037">
        <f>SUBTOTAL(3,$I$225:I268)</f>
        <v>0</v>
      </c>
      <c r="C268" s="1037">
        <f t="shared" si="39"/>
        <v>0</v>
      </c>
      <c r="D268" s="1013" t="str">
        <f t="shared" si="37"/>
        <v xml:space="preserve"> </v>
      </c>
      <c r="E268" s="1013" t="str">
        <f t="shared" si="38"/>
        <v xml:space="preserve"> </v>
      </c>
      <c r="F268" s="1250" t="str">
        <f t="shared" si="40"/>
        <v>8х45</v>
      </c>
      <c r="G268" s="1250"/>
      <c r="H268" s="1250"/>
      <c r="I268" s="1013">
        <f t="shared" si="41"/>
        <v>0</v>
      </c>
      <c r="J268" s="376"/>
      <c r="K268" s="376"/>
      <c r="L268" s="376"/>
      <c r="N268" s="1032">
        <f t="shared" ref="N268:N295" si="52">IF(I268&gt;0,1,0)</f>
        <v>0</v>
      </c>
      <c r="P268" s="573"/>
      <c r="Q268" s="573"/>
      <c r="S268" s="573"/>
      <c r="T268" s="573"/>
      <c r="V268" s="573"/>
      <c r="W268" s="573"/>
      <c r="Y268" s="475">
        <f t="shared" si="46"/>
        <v>0</v>
      </c>
      <c r="Z268" s="573">
        <f t="shared" si="49"/>
        <v>0</v>
      </c>
      <c r="AA268" s="573">
        <f t="shared" si="47"/>
        <v>0</v>
      </c>
      <c r="AB268" s="573">
        <f t="shared" si="50"/>
        <v>0</v>
      </c>
      <c r="AC268" s="573">
        <f t="shared" si="48"/>
        <v>0</v>
      </c>
      <c r="AD268" s="457">
        <f t="shared" si="51"/>
        <v>0</v>
      </c>
      <c r="AE268" s="1"/>
      <c r="AF268" s="472">
        <v>410</v>
      </c>
      <c r="AG268" s="475">
        <f t="shared" si="42"/>
        <v>0</v>
      </c>
      <c r="AH268" s="573">
        <f t="shared" si="43"/>
        <v>0</v>
      </c>
      <c r="AI268" s="457">
        <f t="shared" si="44"/>
        <v>0</v>
      </c>
      <c r="AJ268" s="469">
        <f t="shared" si="45"/>
        <v>0</v>
      </c>
    </row>
    <row r="269" spans="2:36" ht="15" hidden="1" customHeight="1">
      <c r="B269" s="1037">
        <f>SUBTOTAL(3,$I$225:I269)</f>
        <v>0</v>
      </c>
      <c r="C269" s="1037">
        <f t="shared" si="39"/>
        <v>0</v>
      </c>
      <c r="D269" s="1013" t="str">
        <f t="shared" si="37"/>
        <v xml:space="preserve"> </v>
      </c>
      <c r="E269" s="1013" t="str">
        <f t="shared" si="38"/>
        <v xml:space="preserve"> </v>
      </c>
      <c r="F269" s="1250" t="str">
        <f t="shared" si="40"/>
        <v>8х45</v>
      </c>
      <c r="G269" s="1250"/>
      <c r="H269" s="1250"/>
      <c r="I269" s="1013">
        <f t="shared" si="41"/>
        <v>0</v>
      </c>
      <c r="J269" s="376"/>
      <c r="K269" s="376"/>
      <c r="L269" s="376"/>
      <c r="N269" s="1032">
        <f t="shared" si="52"/>
        <v>0</v>
      </c>
      <c r="P269" s="573"/>
      <c r="Q269" s="573"/>
      <c r="S269" s="573"/>
      <c r="T269" s="573"/>
      <c r="V269" s="573"/>
      <c r="W269" s="573"/>
      <c r="Y269" s="475">
        <f t="shared" si="46"/>
        <v>0</v>
      </c>
      <c r="Z269" s="573">
        <f t="shared" si="49"/>
        <v>0</v>
      </c>
      <c r="AA269" s="573">
        <f t="shared" si="47"/>
        <v>0</v>
      </c>
      <c r="AB269" s="573">
        <f t="shared" si="50"/>
        <v>0</v>
      </c>
      <c r="AC269" s="573">
        <f t="shared" si="48"/>
        <v>0</v>
      </c>
      <c r="AD269" s="457">
        <f t="shared" si="51"/>
        <v>0</v>
      </c>
      <c r="AF269" s="472">
        <v>420</v>
      </c>
      <c r="AG269" s="475">
        <f t="shared" si="42"/>
        <v>0</v>
      </c>
      <c r="AH269" s="573">
        <f t="shared" si="43"/>
        <v>0</v>
      </c>
      <c r="AI269" s="457">
        <f t="shared" si="44"/>
        <v>0</v>
      </c>
      <c r="AJ269" s="469">
        <f t="shared" si="45"/>
        <v>0</v>
      </c>
    </row>
    <row r="270" spans="2:36" ht="15" hidden="1" customHeight="1">
      <c r="B270" s="1037">
        <f>SUBTOTAL(3,$I$225:I270)</f>
        <v>0</v>
      </c>
      <c r="C270" s="1037">
        <f t="shared" si="39"/>
        <v>0</v>
      </c>
      <c r="D270" s="1013" t="str">
        <f t="shared" si="37"/>
        <v xml:space="preserve"> </v>
      </c>
      <c r="E270" s="1013" t="str">
        <f t="shared" si="38"/>
        <v xml:space="preserve"> </v>
      </c>
      <c r="F270" s="1250" t="str">
        <f t="shared" si="40"/>
        <v>8х45</v>
      </c>
      <c r="G270" s="1250"/>
      <c r="H270" s="1250"/>
      <c r="I270" s="1013">
        <f t="shared" si="41"/>
        <v>0</v>
      </c>
      <c r="J270" s="376"/>
      <c r="K270" s="376"/>
      <c r="L270" s="376"/>
      <c r="N270" s="1032">
        <f t="shared" si="52"/>
        <v>0</v>
      </c>
      <c r="P270" s="573"/>
      <c r="Q270" s="573"/>
      <c r="S270" s="573"/>
      <c r="T270" s="573"/>
      <c r="V270" s="573"/>
      <c r="W270" s="573"/>
      <c r="Y270" s="475">
        <f t="shared" si="46"/>
        <v>0</v>
      </c>
      <c r="Z270" s="573">
        <f t="shared" si="49"/>
        <v>0</v>
      </c>
      <c r="AA270" s="573">
        <f t="shared" si="47"/>
        <v>0</v>
      </c>
      <c r="AB270" s="573">
        <f t="shared" si="50"/>
        <v>0</v>
      </c>
      <c r="AC270" s="573">
        <f t="shared" si="48"/>
        <v>0</v>
      </c>
      <c r="AD270" s="457">
        <f t="shared" si="51"/>
        <v>0</v>
      </c>
      <c r="AF270" s="472">
        <v>430</v>
      </c>
      <c r="AG270" s="475">
        <f t="shared" si="42"/>
        <v>0</v>
      </c>
      <c r="AH270" s="573">
        <f t="shared" si="43"/>
        <v>0</v>
      </c>
      <c r="AI270" s="457">
        <f t="shared" si="44"/>
        <v>0</v>
      </c>
      <c r="AJ270" s="469">
        <f t="shared" si="45"/>
        <v>0</v>
      </c>
    </row>
    <row r="271" spans="2:36" ht="15" hidden="1" customHeight="1">
      <c r="B271" s="1037">
        <f>SUBTOTAL(3,$I$225:I271)</f>
        <v>0</v>
      </c>
      <c r="C271" s="1037">
        <f t="shared" si="39"/>
        <v>0</v>
      </c>
      <c r="D271" s="1013" t="str">
        <f t="shared" si="37"/>
        <v xml:space="preserve"> </v>
      </c>
      <c r="E271" s="1013" t="str">
        <f t="shared" si="38"/>
        <v xml:space="preserve"> </v>
      </c>
      <c r="F271" s="1250" t="str">
        <f t="shared" si="40"/>
        <v>8х45</v>
      </c>
      <c r="G271" s="1250"/>
      <c r="H271" s="1250"/>
      <c r="I271" s="1013">
        <f t="shared" si="41"/>
        <v>0</v>
      </c>
      <c r="J271" s="376"/>
      <c r="K271" s="376"/>
      <c r="L271" s="376"/>
      <c r="N271" s="1032">
        <f t="shared" si="52"/>
        <v>0</v>
      </c>
      <c r="P271" s="573"/>
      <c r="Q271" s="573"/>
      <c r="S271" s="573"/>
      <c r="T271" s="573"/>
      <c r="V271" s="573"/>
      <c r="W271" s="573"/>
      <c r="Y271" s="475">
        <f t="shared" si="46"/>
        <v>0</v>
      </c>
      <c r="Z271" s="573">
        <f t="shared" si="49"/>
        <v>0</v>
      </c>
      <c r="AA271" s="573">
        <f t="shared" si="47"/>
        <v>0</v>
      </c>
      <c r="AB271" s="573">
        <f t="shared" si="50"/>
        <v>0</v>
      </c>
      <c r="AC271" s="573">
        <f t="shared" si="48"/>
        <v>0</v>
      </c>
      <c r="AD271" s="457">
        <f t="shared" si="51"/>
        <v>0</v>
      </c>
      <c r="AF271" s="472">
        <v>440</v>
      </c>
      <c r="AG271" s="475">
        <f t="shared" si="42"/>
        <v>0</v>
      </c>
      <c r="AH271" s="573">
        <f t="shared" si="43"/>
        <v>0</v>
      </c>
      <c r="AI271" s="457">
        <f t="shared" si="44"/>
        <v>0</v>
      </c>
      <c r="AJ271" s="469">
        <f t="shared" si="45"/>
        <v>0</v>
      </c>
    </row>
    <row r="272" spans="2:36" ht="15" hidden="1" customHeight="1">
      <c r="B272" s="1037">
        <f>SUBTOTAL(3,$I$225:I272)</f>
        <v>0</v>
      </c>
      <c r="C272" s="1037">
        <f t="shared" si="39"/>
        <v>0</v>
      </c>
      <c r="D272" s="1013" t="str">
        <f t="shared" si="37"/>
        <v xml:space="preserve"> </v>
      </c>
      <c r="E272" s="1013" t="str">
        <f t="shared" si="38"/>
        <v xml:space="preserve"> </v>
      </c>
      <c r="F272" s="1250" t="str">
        <f t="shared" si="40"/>
        <v>8х45</v>
      </c>
      <c r="G272" s="1250"/>
      <c r="H272" s="1250"/>
      <c r="I272" s="1013">
        <f t="shared" si="41"/>
        <v>0</v>
      </c>
      <c r="J272" s="376"/>
      <c r="K272" s="376"/>
      <c r="L272" s="376"/>
      <c r="N272" s="1032">
        <f t="shared" si="52"/>
        <v>0</v>
      </c>
      <c r="P272" s="573"/>
      <c r="Q272" s="573"/>
      <c r="S272" s="573"/>
      <c r="T272" s="573"/>
      <c r="V272" s="573"/>
      <c r="W272" s="573"/>
      <c r="Y272" s="475">
        <f t="shared" si="46"/>
        <v>0</v>
      </c>
      <c r="Z272" s="573">
        <f t="shared" si="49"/>
        <v>0</v>
      </c>
      <c r="AA272" s="573">
        <f t="shared" si="47"/>
        <v>0</v>
      </c>
      <c r="AB272" s="573">
        <f t="shared" si="50"/>
        <v>0</v>
      </c>
      <c r="AC272" s="573">
        <f t="shared" si="48"/>
        <v>0</v>
      </c>
      <c r="AD272" s="457">
        <f t="shared" si="51"/>
        <v>0</v>
      </c>
      <c r="AF272" s="472">
        <v>450</v>
      </c>
      <c r="AG272" s="475">
        <f t="shared" si="42"/>
        <v>0</v>
      </c>
      <c r="AH272" s="573">
        <f t="shared" si="43"/>
        <v>0</v>
      </c>
      <c r="AI272" s="457">
        <f t="shared" si="44"/>
        <v>0</v>
      </c>
      <c r="AJ272" s="469">
        <f t="shared" si="45"/>
        <v>0</v>
      </c>
    </row>
    <row r="273" spans="2:36" ht="15" hidden="1" customHeight="1">
      <c r="B273" s="1037">
        <f>SUBTOTAL(3,$I$225:I273)</f>
        <v>0</v>
      </c>
      <c r="C273" s="1037">
        <f t="shared" si="39"/>
        <v>0</v>
      </c>
      <c r="D273" s="1013" t="str">
        <f t="shared" si="37"/>
        <v xml:space="preserve"> </v>
      </c>
      <c r="E273" s="1013" t="str">
        <f t="shared" si="38"/>
        <v xml:space="preserve"> </v>
      </c>
      <c r="F273" s="1250" t="str">
        <f t="shared" si="40"/>
        <v>8х45</v>
      </c>
      <c r="G273" s="1250"/>
      <c r="H273" s="1250"/>
      <c r="I273" s="1013">
        <f t="shared" si="41"/>
        <v>0</v>
      </c>
      <c r="J273" s="376"/>
      <c r="K273" s="376"/>
      <c r="L273" s="376"/>
      <c r="N273" s="1032">
        <f t="shared" si="52"/>
        <v>0</v>
      </c>
      <c r="P273" s="573"/>
      <c r="Q273" s="573"/>
      <c r="S273" s="573"/>
      <c r="T273" s="573"/>
      <c r="V273" s="573"/>
      <c r="W273" s="573"/>
      <c r="Y273" s="475">
        <f t="shared" si="46"/>
        <v>0</v>
      </c>
      <c r="Z273" s="573">
        <f t="shared" si="49"/>
        <v>0</v>
      </c>
      <c r="AA273" s="573">
        <f t="shared" si="47"/>
        <v>0</v>
      </c>
      <c r="AB273" s="573">
        <f t="shared" si="50"/>
        <v>0</v>
      </c>
      <c r="AC273" s="573">
        <f t="shared" si="48"/>
        <v>0</v>
      </c>
      <c r="AD273" s="457">
        <f t="shared" si="51"/>
        <v>0</v>
      </c>
      <c r="AF273" s="472">
        <v>460</v>
      </c>
      <c r="AG273" s="475">
        <f t="shared" si="42"/>
        <v>0</v>
      </c>
      <c r="AH273" s="573">
        <f t="shared" si="43"/>
        <v>0</v>
      </c>
      <c r="AI273" s="457">
        <f t="shared" si="44"/>
        <v>0</v>
      </c>
      <c r="AJ273" s="469">
        <f t="shared" si="45"/>
        <v>0</v>
      </c>
    </row>
    <row r="274" spans="2:36" ht="15" hidden="1" customHeight="1">
      <c r="B274" s="1037">
        <f>SUBTOTAL(3,$I$225:I274)</f>
        <v>0</v>
      </c>
      <c r="C274" s="1037">
        <f t="shared" si="39"/>
        <v>0</v>
      </c>
      <c r="D274" s="1013" t="str">
        <f t="shared" si="37"/>
        <v xml:space="preserve"> </v>
      </c>
      <c r="E274" s="1013" t="str">
        <f t="shared" si="38"/>
        <v xml:space="preserve"> </v>
      </c>
      <c r="F274" s="1250" t="str">
        <f t="shared" si="40"/>
        <v>8х45</v>
      </c>
      <c r="G274" s="1250"/>
      <c r="H274" s="1250"/>
      <c r="I274" s="1013">
        <f t="shared" si="41"/>
        <v>0</v>
      </c>
      <c r="J274" s="376"/>
      <c r="K274" s="376"/>
      <c r="L274" s="376"/>
      <c r="N274" s="1032">
        <f t="shared" si="52"/>
        <v>0</v>
      </c>
      <c r="P274" s="573"/>
      <c r="Q274" s="573"/>
      <c r="S274" s="573"/>
      <c r="T274" s="573"/>
      <c r="V274" s="573"/>
      <c r="W274" s="573"/>
      <c r="Y274" s="475">
        <f t="shared" si="46"/>
        <v>0</v>
      </c>
      <c r="Z274" s="573">
        <f t="shared" si="49"/>
        <v>0</v>
      </c>
      <c r="AA274" s="573">
        <f t="shared" si="47"/>
        <v>0</v>
      </c>
      <c r="AB274" s="573">
        <f t="shared" si="50"/>
        <v>0</v>
      </c>
      <c r="AC274" s="573">
        <f t="shared" si="48"/>
        <v>0</v>
      </c>
      <c r="AD274" s="457">
        <f t="shared" si="51"/>
        <v>0</v>
      </c>
      <c r="AF274" s="472">
        <v>470</v>
      </c>
      <c r="AG274" s="475">
        <f t="shared" si="42"/>
        <v>0</v>
      </c>
      <c r="AH274" s="573">
        <f t="shared" si="43"/>
        <v>0</v>
      </c>
      <c r="AI274" s="457">
        <f t="shared" si="44"/>
        <v>0</v>
      </c>
      <c r="AJ274" s="469">
        <f t="shared" si="45"/>
        <v>0</v>
      </c>
    </row>
    <row r="275" spans="2:36" ht="15" hidden="1" customHeight="1">
      <c r="B275" s="1037">
        <f>SUBTOTAL(3,$I$225:I275)</f>
        <v>0</v>
      </c>
      <c r="C275" s="1037">
        <f t="shared" si="39"/>
        <v>0</v>
      </c>
      <c r="D275" s="1013" t="str">
        <f t="shared" si="37"/>
        <v xml:space="preserve"> </v>
      </c>
      <c r="E275" s="1013" t="str">
        <f t="shared" si="38"/>
        <v xml:space="preserve"> </v>
      </c>
      <c r="F275" s="1250" t="str">
        <f t="shared" si="40"/>
        <v>8х45</v>
      </c>
      <c r="G275" s="1250"/>
      <c r="H275" s="1250"/>
      <c r="I275" s="1013">
        <f t="shared" si="41"/>
        <v>0</v>
      </c>
      <c r="J275" s="376"/>
      <c r="K275" s="376"/>
      <c r="L275" s="376"/>
      <c r="N275" s="1032">
        <f t="shared" si="52"/>
        <v>0</v>
      </c>
      <c r="P275" s="573"/>
      <c r="Q275" s="573"/>
      <c r="S275" s="573"/>
      <c r="T275" s="573"/>
      <c r="V275" s="573"/>
      <c r="W275" s="573"/>
      <c r="Y275" s="475">
        <f t="shared" si="46"/>
        <v>0</v>
      </c>
      <c r="Z275" s="573">
        <f t="shared" si="49"/>
        <v>0</v>
      </c>
      <c r="AA275" s="573">
        <f t="shared" si="47"/>
        <v>0</v>
      </c>
      <c r="AB275" s="573">
        <f t="shared" si="50"/>
        <v>0</v>
      </c>
      <c r="AC275" s="573">
        <f t="shared" si="48"/>
        <v>0</v>
      </c>
      <c r="AD275" s="457">
        <f t="shared" si="51"/>
        <v>0</v>
      </c>
      <c r="AF275" s="472">
        <v>480</v>
      </c>
      <c r="AG275" s="475">
        <f t="shared" si="42"/>
        <v>0</v>
      </c>
      <c r="AH275" s="573">
        <f t="shared" si="43"/>
        <v>0</v>
      </c>
      <c r="AI275" s="457">
        <f t="shared" si="44"/>
        <v>0</v>
      </c>
      <c r="AJ275" s="469">
        <f t="shared" si="45"/>
        <v>0</v>
      </c>
    </row>
    <row r="276" spans="2:36" ht="15" hidden="1" customHeight="1">
      <c r="B276" s="1037">
        <f>SUBTOTAL(3,$I$225:I276)</f>
        <v>0</v>
      </c>
      <c r="C276" s="1037">
        <f t="shared" si="39"/>
        <v>0</v>
      </c>
      <c r="D276" s="1013" t="str">
        <f t="shared" si="37"/>
        <v xml:space="preserve"> </v>
      </c>
      <c r="E276" s="1013" t="str">
        <f t="shared" si="38"/>
        <v xml:space="preserve"> </v>
      </c>
      <c r="F276" s="1250" t="str">
        <f t="shared" si="40"/>
        <v>8х45</v>
      </c>
      <c r="G276" s="1250"/>
      <c r="H276" s="1250"/>
      <c r="I276" s="1013">
        <f t="shared" si="41"/>
        <v>0</v>
      </c>
      <c r="J276" s="376"/>
      <c r="K276" s="376"/>
      <c r="L276" s="376"/>
      <c r="N276" s="1032">
        <f t="shared" si="52"/>
        <v>0</v>
      </c>
      <c r="P276" s="573"/>
      <c r="Q276" s="573"/>
      <c r="S276" s="573"/>
      <c r="T276" s="573"/>
      <c r="V276" s="573"/>
      <c r="W276" s="573"/>
      <c r="Y276" s="475">
        <f t="shared" si="46"/>
        <v>0</v>
      </c>
      <c r="Z276" s="573">
        <f t="shared" si="49"/>
        <v>0</v>
      </c>
      <c r="AA276" s="573">
        <f t="shared" si="47"/>
        <v>0</v>
      </c>
      <c r="AB276" s="573">
        <f t="shared" si="50"/>
        <v>0</v>
      </c>
      <c r="AC276" s="573">
        <f t="shared" si="48"/>
        <v>0</v>
      </c>
      <c r="AD276" s="457">
        <f t="shared" si="51"/>
        <v>0</v>
      </c>
      <c r="AF276" s="472">
        <v>490</v>
      </c>
      <c r="AG276" s="475">
        <f t="shared" si="42"/>
        <v>0</v>
      </c>
      <c r="AH276" s="573">
        <f t="shared" si="43"/>
        <v>0</v>
      </c>
      <c r="AI276" s="457">
        <f t="shared" si="44"/>
        <v>0</v>
      </c>
      <c r="AJ276" s="469">
        <f t="shared" si="45"/>
        <v>0</v>
      </c>
    </row>
    <row r="277" spans="2:36" ht="15" hidden="1" customHeight="1">
      <c r="B277" s="1037">
        <f>SUBTOTAL(3,$I$225:I277)</f>
        <v>0</v>
      </c>
      <c r="C277" s="1037">
        <f t="shared" si="39"/>
        <v>0</v>
      </c>
      <c r="D277" s="1013" t="str">
        <f t="shared" si="37"/>
        <v xml:space="preserve"> </v>
      </c>
      <c r="E277" s="1013" t="str">
        <f t="shared" si="38"/>
        <v xml:space="preserve"> </v>
      </c>
      <c r="F277" s="1250" t="str">
        <f t="shared" si="40"/>
        <v>8х45</v>
      </c>
      <c r="G277" s="1250"/>
      <c r="H277" s="1250"/>
      <c r="I277" s="1013">
        <f t="shared" si="41"/>
        <v>0</v>
      </c>
      <c r="J277" s="376"/>
      <c r="K277" s="376"/>
      <c r="L277" s="376"/>
      <c r="N277" s="1032">
        <f t="shared" si="52"/>
        <v>0</v>
      </c>
      <c r="P277" s="573"/>
      <c r="Q277" s="573"/>
      <c r="S277" s="573"/>
      <c r="T277" s="573"/>
      <c r="V277" s="573"/>
      <c r="W277" s="573"/>
      <c r="Y277" s="475">
        <f t="shared" si="46"/>
        <v>0</v>
      </c>
      <c r="Z277" s="573">
        <f t="shared" si="49"/>
        <v>0</v>
      </c>
      <c r="AA277" s="573">
        <f t="shared" si="47"/>
        <v>0</v>
      </c>
      <c r="AB277" s="573">
        <f t="shared" si="50"/>
        <v>0</v>
      </c>
      <c r="AC277" s="573">
        <f t="shared" si="48"/>
        <v>0</v>
      </c>
      <c r="AD277" s="457">
        <f t="shared" si="51"/>
        <v>0</v>
      </c>
      <c r="AF277" s="472">
        <v>500</v>
      </c>
      <c r="AG277" s="475">
        <f t="shared" si="42"/>
        <v>0</v>
      </c>
      <c r="AH277" s="573">
        <f t="shared" si="43"/>
        <v>0</v>
      </c>
      <c r="AI277" s="457">
        <f t="shared" si="44"/>
        <v>0</v>
      </c>
      <c r="AJ277" s="469">
        <f t="shared" si="45"/>
        <v>0</v>
      </c>
    </row>
    <row r="278" spans="2:36" ht="15" hidden="1" customHeight="1">
      <c r="B278" s="1037">
        <f>SUBTOTAL(3,$I$225:I278)</f>
        <v>0</v>
      </c>
      <c r="C278" s="1037">
        <f t="shared" si="39"/>
        <v>0</v>
      </c>
      <c r="D278" s="1013" t="str">
        <f t="shared" si="37"/>
        <v xml:space="preserve"> </v>
      </c>
      <c r="E278" s="1013" t="str">
        <f t="shared" si="38"/>
        <v xml:space="preserve"> </v>
      </c>
      <c r="F278" s="1250" t="str">
        <f t="shared" si="40"/>
        <v>8х45</v>
      </c>
      <c r="G278" s="1250"/>
      <c r="H278" s="1250"/>
      <c r="I278" s="1013">
        <f t="shared" si="41"/>
        <v>0</v>
      </c>
      <c r="J278" s="376"/>
      <c r="K278" s="376"/>
      <c r="L278" s="376"/>
      <c r="N278" s="1032">
        <f t="shared" si="52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6"/>
        <v>0</v>
      </c>
      <c r="Z278" s="573">
        <f t="shared" si="49"/>
        <v>0</v>
      </c>
      <c r="AA278" s="573">
        <f t="shared" si="47"/>
        <v>0</v>
      </c>
      <c r="AB278" s="573">
        <f t="shared" si="50"/>
        <v>0</v>
      </c>
      <c r="AC278" s="573">
        <f t="shared" si="48"/>
        <v>0</v>
      </c>
      <c r="AD278" s="457">
        <f t="shared" si="51"/>
        <v>0</v>
      </c>
      <c r="AF278" s="472">
        <v>510</v>
      </c>
      <c r="AG278" s="475">
        <f t="shared" si="42"/>
        <v>0</v>
      </c>
      <c r="AH278" s="573">
        <f t="shared" si="43"/>
        <v>0</v>
      </c>
      <c r="AI278" s="457">
        <f t="shared" si="44"/>
        <v>0</v>
      </c>
      <c r="AJ278" s="469">
        <f t="shared" si="45"/>
        <v>0</v>
      </c>
    </row>
    <row r="279" spans="2:36" ht="15" hidden="1" customHeight="1">
      <c r="B279" s="1037">
        <f>SUBTOTAL(3,$I$225:I279)</f>
        <v>0</v>
      </c>
      <c r="C279" s="1037">
        <f t="shared" si="39"/>
        <v>0</v>
      </c>
      <c r="D279" s="1013" t="str">
        <f t="shared" si="37"/>
        <v xml:space="preserve"> </v>
      </c>
      <c r="E279" s="1013" t="str">
        <f t="shared" si="38"/>
        <v xml:space="preserve"> </v>
      </c>
      <c r="F279" s="1250" t="str">
        <f t="shared" si="40"/>
        <v>8х45</v>
      </c>
      <c r="G279" s="1250"/>
      <c r="H279" s="1250"/>
      <c r="I279" s="1013">
        <f t="shared" si="41"/>
        <v>0</v>
      </c>
      <c r="J279" s="376"/>
      <c r="K279" s="376"/>
      <c r="L279" s="376"/>
      <c r="N279" s="1032">
        <f t="shared" si="52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6"/>
        <v>0</v>
      </c>
      <c r="Z279" s="573">
        <f t="shared" si="49"/>
        <v>0</v>
      </c>
      <c r="AA279" s="573">
        <f t="shared" si="47"/>
        <v>0</v>
      </c>
      <c r="AB279" s="573">
        <f t="shared" si="50"/>
        <v>0</v>
      </c>
      <c r="AC279" s="573">
        <f t="shared" si="48"/>
        <v>0</v>
      </c>
      <c r="AD279" s="457">
        <f t="shared" si="51"/>
        <v>0</v>
      </c>
      <c r="AF279" s="472">
        <v>520</v>
      </c>
      <c r="AG279" s="475">
        <f t="shared" si="42"/>
        <v>0</v>
      </c>
      <c r="AH279" s="573">
        <f t="shared" si="43"/>
        <v>0</v>
      </c>
      <c r="AI279" s="457">
        <f t="shared" si="44"/>
        <v>0</v>
      </c>
      <c r="AJ279" s="469">
        <f t="shared" si="45"/>
        <v>0</v>
      </c>
    </row>
    <row r="280" spans="2:36" ht="15" hidden="1" customHeight="1">
      <c r="B280" s="1037">
        <f>SUBTOTAL(3,$I$225:I280)</f>
        <v>0</v>
      </c>
      <c r="C280" s="1037">
        <f t="shared" si="39"/>
        <v>0</v>
      </c>
      <c r="D280" s="1013" t="str">
        <f t="shared" si="37"/>
        <v xml:space="preserve"> </v>
      </c>
      <c r="E280" s="1013" t="str">
        <f t="shared" si="38"/>
        <v xml:space="preserve"> </v>
      </c>
      <c r="F280" s="1250" t="str">
        <f t="shared" si="40"/>
        <v>8х45</v>
      </c>
      <c r="G280" s="1250"/>
      <c r="H280" s="1250"/>
      <c r="I280" s="1013">
        <f t="shared" si="41"/>
        <v>0</v>
      </c>
      <c r="J280" s="376"/>
      <c r="K280" s="376"/>
      <c r="L280" s="376"/>
      <c r="N280" s="1032">
        <f t="shared" si="52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6"/>
        <v>0</v>
      </c>
      <c r="Z280" s="573">
        <f t="shared" si="49"/>
        <v>0</v>
      </c>
      <c r="AA280" s="573">
        <f t="shared" si="47"/>
        <v>0</v>
      </c>
      <c r="AB280" s="573">
        <f t="shared" si="50"/>
        <v>0</v>
      </c>
      <c r="AC280" s="573">
        <f t="shared" si="48"/>
        <v>0</v>
      </c>
      <c r="AD280" s="457">
        <f t="shared" si="51"/>
        <v>0</v>
      </c>
      <c r="AF280" s="472">
        <v>530</v>
      </c>
      <c r="AG280" s="475">
        <f t="shared" si="42"/>
        <v>0</v>
      </c>
      <c r="AH280" s="573">
        <f t="shared" si="43"/>
        <v>0</v>
      </c>
      <c r="AI280" s="457">
        <f t="shared" si="44"/>
        <v>0</v>
      </c>
      <c r="AJ280" s="469">
        <f t="shared" si="45"/>
        <v>0</v>
      </c>
    </row>
    <row r="281" spans="2:36" ht="15" hidden="1" customHeight="1">
      <c r="B281" s="1037">
        <f>SUBTOTAL(3,$I$225:I281)</f>
        <v>0</v>
      </c>
      <c r="C281" s="1037">
        <f t="shared" si="39"/>
        <v>0</v>
      </c>
      <c r="D281" s="1013" t="str">
        <f t="shared" si="37"/>
        <v xml:space="preserve"> </v>
      </c>
      <c r="E281" s="1013" t="str">
        <f t="shared" si="38"/>
        <v xml:space="preserve"> </v>
      </c>
      <c r="F281" s="1250" t="str">
        <f t="shared" si="40"/>
        <v>8х45</v>
      </c>
      <c r="G281" s="1250"/>
      <c r="H281" s="1250"/>
      <c r="I281" s="1013">
        <f t="shared" si="41"/>
        <v>0</v>
      </c>
      <c r="J281" s="376"/>
      <c r="K281" s="376"/>
      <c r="L281" s="376"/>
      <c r="N281" s="1032">
        <f t="shared" si="52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6"/>
        <v>0</v>
      </c>
      <c r="Z281" s="573">
        <f t="shared" si="49"/>
        <v>0</v>
      </c>
      <c r="AA281" s="573">
        <f t="shared" si="47"/>
        <v>0</v>
      </c>
      <c r="AB281" s="573">
        <f t="shared" si="50"/>
        <v>0</v>
      </c>
      <c r="AC281" s="573">
        <f t="shared" si="48"/>
        <v>0</v>
      </c>
      <c r="AD281" s="457">
        <f t="shared" si="51"/>
        <v>0</v>
      </c>
      <c r="AF281" s="472">
        <v>540</v>
      </c>
      <c r="AG281" s="475">
        <f t="shared" si="42"/>
        <v>0</v>
      </c>
      <c r="AH281" s="573">
        <f t="shared" si="43"/>
        <v>0</v>
      </c>
      <c r="AI281" s="457">
        <f t="shared" si="44"/>
        <v>0</v>
      </c>
      <c r="AJ281" s="469">
        <f t="shared" si="45"/>
        <v>0</v>
      </c>
    </row>
    <row r="282" spans="2:36" ht="15" hidden="1" customHeight="1">
      <c r="B282" s="1037">
        <f>SUBTOTAL(3,$I$225:I282)</f>
        <v>0</v>
      </c>
      <c r="C282" s="1037">
        <f t="shared" si="39"/>
        <v>0</v>
      </c>
      <c r="D282" s="1013" t="str">
        <f t="shared" si="37"/>
        <v xml:space="preserve"> </v>
      </c>
      <c r="E282" s="1013" t="str">
        <f t="shared" si="38"/>
        <v xml:space="preserve"> </v>
      </c>
      <c r="F282" s="1250" t="str">
        <f t="shared" si="40"/>
        <v>8х45</v>
      </c>
      <c r="G282" s="1250"/>
      <c r="H282" s="1250"/>
      <c r="I282" s="1013">
        <f t="shared" si="41"/>
        <v>0</v>
      </c>
      <c r="J282" s="376"/>
      <c r="K282" s="376"/>
      <c r="L282" s="376"/>
      <c r="N282" s="1032">
        <f t="shared" si="52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6"/>
        <v>0</v>
      </c>
      <c r="Z282" s="573">
        <f t="shared" si="49"/>
        <v>0</v>
      </c>
      <c r="AA282" s="573">
        <f t="shared" si="47"/>
        <v>0</v>
      </c>
      <c r="AB282" s="573">
        <f t="shared" si="50"/>
        <v>0</v>
      </c>
      <c r="AC282" s="573">
        <f t="shared" si="48"/>
        <v>0</v>
      </c>
      <c r="AD282" s="457">
        <f t="shared" si="51"/>
        <v>0</v>
      </c>
      <c r="AF282" s="472">
        <v>550</v>
      </c>
      <c r="AG282" s="475">
        <f t="shared" si="42"/>
        <v>0</v>
      </c>
      <c r="AH282" s="573">
        <f t="shared" si="43"/>
        <v>0</v>
      </c>
      <c r="AI282" s="457">
        <f t="shared" si="44"/>
        <v>0</v>
      </c>
      <c r="AJ282" s="469">
        <f t="shared" si="45"/>
        <v>0</v>
      </c>
    </row>
    <row r="283" spans="2:36" ht="15" hidden="1" customHeight="1">
      <c r="B283" s="1037">
        <f>SUBTOTAL(3,$I$225:I283)</f>
        <v>0</v>
      </c>
      <c r="C283" s="1037">
        <f t="shared" si="39"/>
        <v>0</v>
      </c>
      <c r="D283" s="1013" t="str">
        <f t="shared" si="37"/>
        <v xml:space="preserve"> </v>
      </c>
      <c r="E283" s="1013" t="str">
        <f t="shared" si="38"/>
        <v xml:space="preserve"> </v>
      </c>
      <c r="F283" s="1250" t="str">
        <f t="shared" si="40"/>
        <v>8х45</v>
      </c>
      <c r="G283" s="1250"/>
      <c r="H283" s="1250"/>
      <c r="I283" s="1013">
        <f t="shared" si="41"/>
        <v>0</v>
      </c>
      <c r="J283" s="376"/>
      <c r="K283" s="376"/>
      <c r="L283" s="376"/>
      <c r="N283" s="1032">
        <f t="shared" si="52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6"/>
        <v>0</v>
      </c>
      <c r="Z283" s="573">
        <f t="shared" si="49"/>
        <v>0</v>
      </c>
      <c r="AA283" s="573">
        <f t="shared" si="47"/>
        <v>0</v>
      </c>
      <c r="AB283" s="573">
        <f t="shared" si="50"/>
        <v>0</v>
      </c>
      <c r="AC283" s="573">
        <f t="shared" si="48"/>
        <v>0</v>
      </c>
      <c r="AD283" s="457">
        <f t="shared" si="51"/>
        <v>0</v>
      </c>
      <c r="AF283" s="472">
        <v>560</v>
      </c>
      <c r="AG283" s="475">
        <f t="shared" si="42"/>
        <v>0</v>
      </c>
      <c r="AH283" s="573">
        <f t="shared" si="43"/>
        <v>0</v>
      </c>
      <c r="AI283" s="457">
        <f t="shared" si="44"/>
        <v>0</v>
      </c>
      <c r="AJ283" s="469">
        <f t="shared" si="45"/>
        <v>0</v>
      </c>
    </row>
    <row r="284" spans="2:36" ht="15" hidden="1" customHeight="1">
      <c r="B284" s="1037">
        <f>SUBTOTAL(3,$I$225:I284)</f>
        <v>0</v>
      </c>
      <c r="C284" s="1037">
        <f t="shared" si="39"/>
        <v>0</v>
      </c>
      <c r="D284" s="1013" t="str">
        <f t="shared" si="37"/>
        <v xml:space="preserve"> </v>
      </c>
      <c r="E284" s="1013" t="str">
        <f t="shared" si="38"/>
        <v xml:space="preserve"> </v>
      </c>
      <c r="F284" s="1250" t="str">
        <f t="shared" si="40"/>
        <v>8х45</v>
      </c>
      <c r="G284" s="1250"/>
      <c r="H284" s="1250"/>
      <c r="I284" s="1013">
        <f t="shared" si="41"/>
        <v>0</v>
      </c>
      <c r="J284" s="376"/>
      <c r="K284" s="376"/>
      <c r="L284" s="376"/>
      <c r="N284" s="1032">
        <f t="shared" si="52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6"/>
        <v>0</v>
      </c>
      <c r="Z284" s="573">
        <f t="shared" si="49"/>
        <v>0</v>
      </c>
      <c r="AA284" s="573">
        <f t="shared" si="47"/>
        <v>0</v>
      </c>
      <c r="AB284" s="573">
        <f t="shared" si="50"/>
        <v>0</v>
      </c>
      <c r="AC284" s="573">
        <f t="shared" si="48"/>
        <v>0</v>
      </c>
      <c r="AD284" s="457">
        <f t="shared" si="51"/>
        <v>0</v>
      </c>
      <c r="AF284" s="472">
        <v>570</v>
      </c>
      <c r="AG284" s="475">
        <f t="shared" si="42"/>
        <v>0</v>
      </c>
      <c r="AH284" s="573">
        <f t="shared" si="43"/>
        <v>0</v>
      </c>
      <c r="AI284" s="457">
        <f t="shared" si="44"/>
        <v>0</v>
      </c>
      <c r="AJ284" s="469">
        <f t="shared" si="45"/>
        <v>0</v>
      </c>
    </row>
    <row r="285" spans="2:36" ht="15" hidden="1" customHeight="1">
      <c r="B285" s="1037">
        <f>SUBTOTAL(3,$I$225:I285)</f>
        <v>0</v>
      </c>
      <c r="C285" s="1037">
        <f t="shared" si="39"/>
        <v>0</v>
      </c>
      <c r="D285" s="1013" t="str">
        <f t="shared" si="37"/>
        <v xml:space="preserve"> </v>
      </c>
      <c r="E285" s="1013" t="str">
        <f t="shared" si="38"/>
        <v xml:space="preserve"> </v>
      </c>
      <c r="F285" s="1250" t="str">
        <f t="shared" si="40"/>
        <v>8х45</v>
      </c>
      <c r="G285" s="1250"/>
      <c r="H285" s="1250"/>
      <c r="I285" s="1013">
        <f t="shared" si="41"/>
        <v>0</v>
      </c>
      <c r="J285" s="376"/>
      <c r="K285" s="376"/>
      <c r="L285" s="376"/>
      <c r="N285" s="1032">
        <f t="shared" si="52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6"/>
        <v>0</v>
      </c>
      <c r="Z285" s="573">
        <f t="shared" si="49"/>
        <v>0</v>
      </c>
      <c r="AA285" s="573">
        <f t="shared" si="47"/>
        <v>0</v>
      </c>
      <c r="AB285" s="573">
        <f t="shared" si="50"/>
        <v>0</v>
      </c>
      <c r="AC285" s="573">
        <f t="shared" si="48"/>
        <v>0</v>
      </c>
      <c r="AD285" s="457">
        <f t="shared" si="51"/>
        <v>0</v>
      </c>
      <c r="AF285" s="472">
        <v>580</v>
      </c>
      <c r="AG285" s="475">
        <f t="shared" si="42"/>
        <v>0</v>
      </c>
      <c r="AH285" s="573">
        <f t="shared" si="43"/>
        <v>0</v>
      </c>
      <c r="AI285" s="457">
        <f t="shared" si="44"/>
        <v>0</v>
      </c>
      <c r="AJ285" s="469">
        <f t="shared" si="45"/>
        <v>0</v>
      </c>
    </row>
    <row r="286" spans="2:36" ht="15" hidden="1" customHeight="1">
      <c r="B286" s="1037">
        <f>SUBTOTAL(3,$I$225:I286)</f>
        <v>0</v>
      </c>
      <c r="C286" s="1037">
        <f t="shared" si="39"/>
        <v>0</v>
      </c>
      <c r="D286" s="1013" t="str">
        <f t="shared" si="37"/>
        <v xml:space="preserve"> </v>
      </c>
      <c r="E286" s="1013" t="str">
        <f t="shared" si="38"/>
        <v xml:space="preserve"> </v>
      </c>
      <c r="F286" s="1250" t="str">
        <f t="shared" si="40"/>
        <v>8х45</v>
      </c>
      <c r="G286" s="1250"/>
      <c r="H286" s="1250"/>
      <c r="I286" s="1013">
        <f t="shared" si="41"/>
        <v>0</v>
      </c>
      <c r="J286" s="376"/>
      <c r="K286" s="376"/>
      <c r="L286" s="376"/>
      <c r="N286" s="1032">
        <f t="shared" si="52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2"/>
        <v>0</v>
      </c>
      <c r="AH286" s="573">
        <f t="shared" si="43"/>
        <v>0</v>
      </c>
      <c r="AI286" s="457">
        <f t="shared" si="44"/>
        <v>0</v>
      </c>
      <c r="AJ286" s="469">
        <f t="shared" si="45"/>
        <v>0</v>
      </c>
    </row>
    <row r="287" spans="2:36" ht="15" hidden="1" customHeight="1" thickBot="1">
      <c r="B287" s="1037">
        <f>SUBTOTAL(3,$I$225:I287)</f>
        <v>0</v>
      </c>
      <c r="C287" s="1037">
        <f t="shared" si="39"/>
        <v>0</v>
      </c>
      <c r="D287" s="1013" t="str">
        <f t="shared" si="37"/>
        <v xml:space="preserve"> </v>
      </c>
      <c r="E287" s="1013" t="str">
        <f t="shared" si="38"/>
        <v xml:space="preserve"> </v>
      </c>
      <c r="F287" s="1250" t="str">
        <f t="shared" si="40"/>
        <v>8х45</v>
      </c>
      <c r="G287" s="1250"/>
      <c r="H287" s="1250"/>
      <c r="I287" s="1013">
        <f t="shared" si="41"/>
        <v>0</v>
      </c>
      <c r="J287" s="376"/>
      <c r="K287" s="376"/>
      <c r="L287" s="376"/>
      <c r="N287" s="1032">
        <f t="shared" si="52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2"/>
        <v>0</v>
      </c>
      <c r="AH287" s="573">
        <f t="shared" si="43"/>
        <v>0</v>
      </c>
      <c r="AI287" s="457">
        <f t="shared" si="44"/>
        <v>0</v>
      </c>
      <c r="AJ287" s="469">
        <f t="shared" si="45"/>
        <v>0</v>
      </c>
    </row>
    <row r="288" spans="2:36" ht="15" hidden="1" customHeight="1">
      <c r="B288" s="1037">
        <f>SUBTOTAL(3,$I$225:I288)</f>
        <v>0</v>
      </c>
      <c r="C288" s="1037">
        <f t="shared" si="39"/>
        <v>0</v>
      </c>
      <c r="D288" s="1013" t="str">
        <f t="shared" si="37"/>
        <v xml:space="preserve"> </v>
      </c>
      <c r="E288" s="1013" t="str">
        <f t="shared" si="38"/>
        <v xml:space="preserve"> </v>
      </c>
      <c r="F288" s="1250" t="str">
        <f t="shared" si="40"/>
        <v>8х45</v>
      </c>
      <c r="G288" s="1250"/>
      <c r="H288" s="1250"/>
      <c r="I288" s="1013">
        <f t="shared" si="41"/>
        <v>0</v>
      </c>
      <c r="J288" s="376"/>
      <c r="K288" s="376"/>
      <c r="L288" s="376"/>
      <c r="N288" s="1032">
        <f t="shared" si="52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2"/>
        <v>0</v>
      </c>
      <c r="AH288" s="573">
        <f t="shared" si="43"/>
        <v>0</v>
      </c>
      <c r="AI288" s="457">
        <f t="shared" si="44"/>
        <v>0</v>
      </c>
      <c r="AJ288" s="469">
        <f t="shared" si="45"/>
        <v>0</v>
      </c>
    </row>
    <row r="289" spans="1:60" ht="15" hidden="1" customHeight="1">
      <c r="B289" s="1037">
        <f>SUBTOTAL(3,$I$225:I289)</f>
        <v>0</v>
      </c>
      <c r="C289" s="1037">
        <f t="shared" si="39"/>
        <v>0</v>
      </c>
      <c r="D289" s="1013" t="str">
        <f t="shared" ref="D289:D295" si="53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4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40"/>
        <v>8х45</v>
      </c>
      <c r="G289" s="1250"/>
      <c r="H289" s="1250"/>
      <c r="I289" s="1013">
        <f t="shared" si="41"/>
        <v>0</v>
      </c>
      <c r="J289" s="376"/>
      <c r="K289" s="376"/>
      <c r="L289" s="376"/>
      <c r="N289" s="1032">
        <f t="shared" si="52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2"/>
        <v>0</v>
      </c>
      <c r="AH289" s="573">
        <f t="shared" si="43"/>
        <v>0</v>
      </c>
      <c r="AI289" s="457">
        <f t="shared" si="44"/>
        <v>0</v>
      </c>
      <c r="AJ289" s="469">
        <f t="shared" si="45"/>
        <v>0</v>
      </c>
    </row>
    <row r="290" spans="1:60" ht="15" hidden="1" customHeight="1">
      <c r="B290" s="1037">
        <f>SUBTOTAL(3,$I$225:I290)</f>
        <v>0</v>
      </c>
      <c r="C290" s="1037">
        <f t="shared" ref="C290:C295" si="55">IF(OR($V$4=$AA$10,$V$4=$AA$11),AF292+_xlfn.CEILING.MATH($Y$222,10),0)</f>
        <v>0</v>
      </c>
      <c r="D290" s="1013" t="str">
        <f t="shared" si="53"/>
        <v xml:space="preserve"> </v>
      </c>
      <c r="E290" s="1013" t="str">
        <f t="shared" si="54"/>
        <v xml:space="preserve"> </v>
      </c>
      <c r="F290" s="1250" t="str">
        <f t="shared" si="40"/>
        <v>8х45</v>
      </c>
      <c r="G290" s="1250"/>
      <c r="H290" s="1250"/>
      <c r="I290" s="1013">
        <f t="shared" si="41"/>
        <v>0</v>
      </c>
      <c r="J290" s="376"/>
      <c r="K290" s="376"/>
      <c r="L290" s="376"/>
      <c r="N290" s="1032">
        <f t="shared" si="52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2"/>
        <v>0</v>
      </c>
      <c r="AH290" s="573">
        <f t="shared" si="43"/>
        <v>0</v>
      </c>
      <c r="AI290" s="457">
        <f t="shared" si="44"/>
        <v>0</v>
      </c>
      <c r="AJ290" s="469">
        <f t="shared" si="45"/>
        <v>0</v>
      </c>
    </row>
    <row r="291" spans="1:60" ht="15" hidden="1" customHeight="1">
      <c r="B291" s="1037">
        <f>SUBTOTAL(3,$I$225:I291)</f>
        <v>0</v>
      </c>
      <c r="C291" s="1037">
        <f t="shared" si="55"/>
        <v>0</v>
      </c>
      <c r="D291" s="1013" t="str">
        <f t="shared" si="53"/>
        <v xml:space="preserve"> </v>
      </c>
      <c r="E291" s="1013" t="str">
        <f t="shared" si="54"/>
        <v xml:space="preserve"> </v>
      </c>
      <c r="F291" s="1250" t="str">
        <f t="shared" ref="F291:F295" si="56">IF(AND(OR($V$4=$Y$12,$V$4=$AA$8,$V$4=$AA$9,$V$4=$AA$10,$V$4=$AA$11),OR($R$4=$Y$7,$R$4=$Y$9)),"8х45",IF(AND($V$4=$AA$7,C291&gt;300),"8х45",IF(AND($V$4=$AA$7,$AA$2=$AA$6),"8х45","не требуется")))</f>
        <v>8х45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2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2"/>
        <v>0</v>
      </c>
      <c r="AH291" s="573">
        <f t="shared" si="43"/>
        <v>0</v>
      </c>
      <c r="AI291" s="457">
        <f t="shared" si="44"/>
        <v>0</v>
      </c>
      <c r="AJ291" s="469">
        <f t="shared" si="45"/>
        <v>0</v>
      </c>
    </row>
    <row r="292" spans="1:60" ht="15" hidden="1" customHeight="1">
      <c r="B292" s="1037">
        <f>SUBTOTAL(3,$I$225:I292)</f>
        <v>0</v>
      </c>
      <c r="C292" s="1037">
        <f t="shared" si="55"/>
        <v>0</v>
      </c>
      <c r="D292" s="1013" t="str">
        <f t="shared" si="53"/>
        <v xml:space="preserve"> </v>
      </c>
      <c r="E292" s="1013" t="str">
        <f t="shared" si="54"/>
        <v xml:space="preserve"> </v>
      </c>
      <c r="F292" s="1250" t="str">
        <f t="shared" si="56"/>
        <v>8х45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2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7">SUMIF($Y$233:$Y$285,AF292,$Z$233:$Z$285)</f>
        <v>0</v>
      </c>
      <c r="AH292" s="573">
        <f t="shared" ref="AH292:AH297" si="58">SUMIF($AA$233:$AA$285,AF292,$AB$233:$AB$285)</f>
        <v>0</v>
      </c>
      <c r="AI292" s="457">
        <f t="shared" ref="AI292:AI297" si="59">SUMIF($AC$233:$AC$285,AF292,$AD$233:$AD$285)</f>
        <v>0</v>
      </c>
      <c r="AJ292" s="469">
        <f t="shared" ref="AJ292:AJ297" si="60">AI292+AH292+AG292</f>
        <v>0</v>
      </c>
    </row>
    <row r="293" spans="1:60" ht="15" hidden="1" customHeight="1">
      <c r="B293" s="1037">
        <f>SUBTOTAL(3,$I$225:I293)</f>
        <v>0</v>
      </c>
      <c r="C293" s="1037">
        <f t="shared" si="55"/>
        <v>0</v>
      </c>
      <c r="D293" s="1013" t="str">
        <f t="shared" si="53"/>
        <v xml:space="preserve"> </v>
      </c>
      <c r="E293" s="1013" t="str">
        <f t="shared" si="54"/>
        <v xml:space="preserve"> </v>
      </c>
      <c r="F293" s="1250" t="str">
        <f t="shared" si="56"/>
        <v>8х45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2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7"/>
        <v>0</v>
      </c>
      <c r="AH293" s="573">
        <f t="shared" si="58"/>
        <v>0</v>
      </c>
      <c r="AI293" s="457">
        <f t="shared" si="59"/>
        <v>0</v>
      </c>
      <c r="AJ293" s="469">
        <f t="shared" si="60"/>
        <v>0</v>
      </c>
    </row>
    <row r="294" spans="1:60" ht="15" hidden="1" customHeight="1">
      <c r="B294" s="1037">
        <f>SUBTOTAL(3,$I$225:I294)</f>
        <v>0</v>
      </c>
      <c r="C294" s="1037">
        <f t="shared" si="55"/>
        <v>0</v>
      </c>
      <c r="D294" s="1013" t="str">
        <f t="shared" si="53"/>
        <v xml:space="preserve"> </v>
      </c>
      <c r="E294" s="1013" t="str">
        <f t="shared" si="54"/>
        <v xml:space="preserve"> </v>
      </c>
      <c r="F294" s="1250" t="str">
        <f t="shared" si="56"/>
        <v>8х45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2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7"/>
        <v>0</v>
      </c>
      <c r="AH294" s="573">
        <f t="shared" si="58"/>
        <v>0</v>
      </c>
      <c r="AI294" s="457">
        <f t="shared" si="59"/>
        <v>0</v>
      </c>
      <c r="AJ294" s="469">
        <f t="shared" si="60"/>
        <v>0</v>
      </c>
    </row>
    <row r="295" spans="1:60" ht="15" hidden="1" customHeight="1">
      <c r="B295" s="1037">
        <f>SUBTOTAL(3,$I$225:I295)</f>
        <v>0</v>
      </c>
      <c r="C295" s="1037">
        <f t="shared" si="55"/>
        <v>0</v>
      </c>
      <c r="D295" s="1013" t="str">
        <f t="shared" si="53"/>
        <v xml:space="preserve"> </v>
      </c>
      <c r="E295" s="1013" t="str">
        <f t="shared" si="54"/>
        <v xml:space="preserve"> </v>
      </c>
      <c r="F295" s="1250" t="str">
        <f t="shared" si="56"/>
        <v>8х45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2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7"/>
        <v>0</v>
      </c>
      <c r="AH295" s="573">
        <f t="shared" si="58"/>
        <v>0</v>
      </c>
      <c r="AI295" s="457">
        <f t="shared" si="59"/>
        <v>0</v>
      </c>
      <c r="AJ295" s="469">
        <f t="shared" si="60"/>
        <v>0</v>
      </c>
    </row>
    <row r="296" spans="1:60" ht="15" hidden="1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7"/>
        <v>0</v>
      </c>
      <c r="AH296" s="573">
        <f t="shared" si="58"/>
        <v>0</v>
      </c>
      <c r="AI296" s="457">
        <f t="shared" si="59"/>
        <v>0</v>
      </c>
      <c r="AJ296" s="469">
        <f t="shared" si="60"/>
        <v>0</v>
      </c>
    </row>
    <row r="297" spans="1:60" ht="15" hidden="1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7"/>
        <v>0</v>
      </c>
      <c r="AH297" s="459">
        <f t="shared" si="58"/>
        <v>0</v>
      </c>
      <c r="AI297" s="460">
        <f t="shared" si="59"/>
        <v>0</v>
      </c>
      <c r="AJ297" s="470">
        <f t="shared" si="60"/>
        <v>0</v>
      </c>
    </row>
    <row r="298" spans="1:60" ht="15" hidden="1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1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61">IF($V$3=$Y$2,0,1)</f>
        <v>1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61"/>
        <v>1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>K5</f>
        <v>В осях 7-9 / Ж-И и 
12-14 / Ж-И</v>
      </c>
      <c r="L302" s="1230"/>
      <c r="N302" s="1032">
        <f t="shared" si="61"/>
        <v>1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61"/>
        <v>1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61"/>
        <v>1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61"/>
        <v>1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61"/>
        <v>1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61"/>
        <v>1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61"/>
        <v>1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hidden="1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hidden="1" customHeight="1">
      <c r="B310" s="1037">
        <f>SUBTOTAL(3,$I$310:I310)</f>
        <v>0</v>
      </c>
      <c r="C310" s="686" t="s">
        <v>207</v>
      </c>
      <c r="D310" s="632"/>
      <c r="E310" s="632"/>
      <c r="F310" s="632"/>
      <c r="G310" s="632" t="str">
        <f t="shared" ref="G310:G316" si="62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3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hidden="1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3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hidden="1" customHeight="1">
      <c r="B312" s="1037">
        <f>SUBTOTAL(3,$I$310:I312)</f>
        <v>0</v>
      </c>
      <c r="C312" s="632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2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4">IFERROR(I312*K312,0)</f>
        <v>0</v>
      </c>
      <c r="N312" s="1032">
        <f t="shared" si="63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hidden="1" customHeight="1">
      <c r="B313" s="1037">
        <f>SUBTOTAL(3,$I$310:I313)</f>
        <v>0</v>
      </c>
      <c r="C313" s="687" t="s">
        <v>559</v>
      </c>
      <c r="D313" s="627"/>
      <c r="E313" s="627"/>
      <c r="F313" s="627"/>
      <c r="G313" s="628" t="str">
        <f t="shared" si="62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4"/>
        <v>0</v>
      </c>
      <c r="N313" s="1032">
        <f t="shared" si="63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hidden="1" customHeight="1">
      <c r="B314" s="1037">
        <f>SUBTOTAL(3,$I$310:I314)</f>
        <v>0</v>
      </c>
      <c r="C314" s="686" t="s">
        <v>189</v>
      </c>
      <c r="D314" s="632"/>
      <c r="E314" s="632"/>
      <c r="F314" s="632"/>
      <c r="G314" s="632" t="str">
        <f t="shared" si="62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4"/>
        <v>0</v>
      </c>
      <c r="N314" s="1032">
        <f t="shared" si="63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hidden="1" customHeight="1">
      <c r="B315" s="1037">
        <f>SUBTOTAL(3,$I$310:I315)</f>
        <v>0</v>
      </c>
      <c r="C315" s="687" t="s">
        <v>1459</v>
      </c>
      <c r="D315" s="627"/>
      <c r="E315" s="627"/>
      <c r="F315" s="627"/>
      <c r="G315" s="628" t="str">
        <f t="shared" si="62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4"/>
        <v>0</v>
      </c>
      <c r="N315" s="1032">
        <f t="shared" si="63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hidden="1" customHeight="1">
      <c r="B316" s="1037">
        <f>SUBTOTAL(3,$I$310:I316)</f>
        <v>0</v>
      </c>
      <c r="C316" s="686" t="s">
        <v>192</v>
      </c>
      <c r="D316" s="632"/>
      <c r="E316" s="632"/>
      <c r="F316" s="632"/>
      <c r="G316" s="632" t="str">
        <f t="shared" si="62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4"/>
        <v>0</v>
      </c>
      <c r="N316" s="1032">
        <f t="shared" si="63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hidden="1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4"/>
        <v>0</v>
      </c>
      <c r="N317" s="1032">
        <f t="shared" si="63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hidden="1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4"/>
        <v>0</v>
      </c>
      <c r="N318" s="1032">
        <f t="shared" si="63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hidden="1" customHeight="1">
      <c r="B319" s="1037">
        <f>SUBTOTAL(3,$I$310:I319)</f>
        <v>0</v>
      </c>
      <c r="C319" s="687" t="str">
        <f ca="1">ПВХ_мембрана</f>
        <v>ПВХ мембрана LOGICROOF V-RP (1.2 мм)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4"/>
        <v>0</v>
      </c>
      <c r="N319" s="1032">
        <f t="shared" si="63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hidden="1" customHeight="1">
      <c r="B320" s="1037">
        <f>SUBTOTAL(3,$I$310:I320)</f>
        <v>0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4"/>
        <v>0</v>
      </c>
      <c r="N320" s="1032">
        <f t="shared" si="63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hidden="1" customHeight="1">
      <c r="B321" s="1037">
        <f>SUBTOTAL(3,$I$310:I321)</f>
        <v>0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4"/>
        <v>0</v>
      </c>
      <c r="N321" s="1032">
        <f t="shared" si="63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hidden="1" customHeight="1">
      <c r="B322" s="1037">
        <f>SUBTOTAL(3,$I$310:I322)</f>
        <v>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4"/>
        <v>0</v>
      </c>
      <c r="N322" s="1032">
        <f t="shared" si="63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hidden="1" customHeight="1">
      <c r="B323" s="645">
        <f>SUBTOTAL(3,$I$310:I323)</f>
        <v>0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4"/>
        <v>0</v>
      </c>
      <c r="N323" s="1032">
        <f t="shared" si="63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hidden="1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hidden="1" customHeight="1">
      <c r="B325" s="1037">
        <f>SUBTOTAL(3,$I$310:I325)</f>
        <v>0</v>
      </c>
      <c r="C325" s="627" t="s">
        <v>207</v>
      </c>
      <c r="D325" s="627"/>
      <c r="E325" s="627"/>
      <c r="F325" s="627"/>
      <c r="G325" s="628" t="str">
        <f t="shared" ref="G325:G331" si="65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6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hidden="1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6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hidden="1" customHeight="1">
      <c r="B327" s="1037">
        <f>SUBTOTAL(3,$I$310:I327)</f>
        <v>0</v>
      </c>
      <c r="C327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5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7">IFERROR(I327*K327,0)</f>
        <v>0</v>
      </c>
      <c r="N327" s="1032">
        <f t="shared" si="66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hidden="1" customHeight="1">
      <c r="B328" s="1037">
        <f>SUBTOTAL(3,$I$310:I328)</f>
        <v>0</v>
      </c>
      <c r="C328" s="632" t="s">
        <v>559</v>
      </c>
      <c r="D328" s="632"/>
      <c r="E328" s="632"/>
      <c r="F328" s="632"/>
      <c r="G328" s="632" t="str">
        <f t="shared" si="65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7"/>
        <v>0</v>
      </c>
      <c r="N328" s="1032">
        <f t="shared" si="66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hidden="1" customHeight="1">
      <c r="B329" s="1037">
        <f>SUBTOTAL(3,$I$310:I329)</f>
        <v>0</v>
      </c>
      <c r="C329" s="627" t="s">
        <v>189</v>
      </c>
      <c r="D329" s="627"/>
      <c r="E329" s="627"/>
      <c r="F329" s="627"/>
      <c r="G329" s="628" t="str">
        <f t="shared" si="65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7"/>
        <v>0</v>
      </c>
      <c r="N329" s="1032">
        <f t="shared" si="66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hidden="1" customHeight="1">
      <c r="B330" s="1037">
        <f>SUBTOTAL(3,$I$310:I330)</f>
        <v>0</v>
      </c>
      <c r="C330" s="632" t="s">
        <v>1459</v>
      </c>
      <c r="D330" s="632"/>
      <c r="E330" s="632"/>
      <c r="F330" s="632"/>
      <c r="G330" s="632" t="str">
        <f t="shared" si="65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7"/>
        <v>0</v>
      </c>
      <c r="N330" s="1032">
        <f t="shared" si="66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hidden="1" customHeight="1">
      <c r="B331" s="1037">
        <f>SUBTOTAL(3,$I$310:I331)</f>
        <v>0</v>
      </c>
      <c r="C331" s="627" t="s">
        <v>192</v>
      </c>
      <c r="D331" s="627"/>
      <c r="E331" s="627"/>
      <c r="F331" s="627"/>
      <c r="G331" s="628" t="str">
        <f t="shared" si="65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7"/>
        <v>0</v>
      </c>
      <c r="N331" s="1032">
        <f t="shared" si="66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hidden="1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7"/>
        <v>0</v>
      </c>
      <c r="N332" s="1032">
        <f t="shared" si="66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hidden="1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7"/>
        <v>0</v>
      </c>
      <c r="N333" s="1032">
        <f t="shared" si="66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hidden="1" customHeight="1">
      <c r="B334" s="1037">
        <f>SUBTOTAL(3,$I$310:I334)</f>
        <v>0</v>
      </c>
      <c r="C334" s="632" t="str">
        <f ca="1">ПВХ_мембрана</f>
        <v>ПВХ мембрана LOGICROOF V-RP (1.2 мм)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7"/>
        <v>0</v>
      </c>
      <c r="N334" s="1032">
        <f t="shared" si="66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hidden="1" customHeight="1">
      <c r="B335" s="1037">
        <f>SUBTOTAL(3,$I$310:I335)</f>
        <v>0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7"/>
        <v>0</v>
      </c>
      <c r="N335" s="1032">
        <f t="shared" si="66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hidden="1" customHeight="1">
      <c r="B336" s="1037">
        <f>SUBTOTAL(3,$I$310:I336)</f>
        <v>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7"/>
        <v>0</v>
      </c>
      <c r="N336" s="1032">
        <f t="shared" si="66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hidden="1" customHeight="1">
      <c r="B337" s="1037">
        <f>SUBTOTAL(3,$I$310:I337)</f>
        <v>0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7"/>
        <v>0</v>
      </c>
      <c r="N337" s="1032">
        <f t="shared" si="66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hidden="1" customHeight="1">
      <c r="B338" s="1037">
        <f>SUBTOTAL(3,$I$310:I338)</f>
        <v>0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7"/>
        <v>0</v>
      </c>
      <c r="N338" s="1032">
        <f t="shared" si="66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hidden="1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hidden="1" customHeight="1">
      <c r="B340" s="1037">
        <f>SUBTOTAL(3,$I$310:I340)</f>
        <v>0</v>
      </c>
      <c r="C340" s="627" t="s">
        <v>207</v>
      </c>
      <c r="D340" s="627"/>
      <c r="E340" s="627"/>
      <c r="F340" s="627"/>
      <c r="G340" s="628" t="str">
        <f t="shared" ref="G340:G346" si="68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9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hidden="1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9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hidden="1" customHeight="1">
      <c r="B342" s="1037">
        <f>SUBTOTAL(3,$I$310:I342)</f>
        <v>0</v>
      </c>
      <c r="C342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8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70">IFERROR(I342*K342,0)</f>
        <v>0</v>
      </c>
      <c r="N342" s="1032">
        <f t="shared" si="69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hidden="1" customHeight="1">
      <c r="B343" s="1037">
        <f>SUBTOTAL(3,$I$310:I343)</f>
        <v>0</v>
      </c>
      <c r="C343" s="632" t="s">
        <v>559</v>
      </c>
      <c r="D343" s="632"/>
      <c r="E343" s="632"/>
      <c r="F343" s="632"/>
      <c r="G343" s="632" t="str">
        <f t="shared" si="68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70"/>
        <v>0</v>
      </c>
      <c r="N343" s="1032">
        <f t="shared" si="69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hidden="1" customHeight="1">
      <c r="B344" s="1037">
        <f>SUBTOTAL(3,$I$310:I344)</f>
        <v>0</v>
      </c>
      <c r="C344" s="627" t="s">
        <v>189</v>
      </c>
      <c r="D344" s="627"/>
      <c r="E344" s="627"/>
      <c r="F344" s="627"/>
      <c r="G344" s="628" t="str">
        <f t="shared" si="68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70"/>
        <v>0</v>
      </c>
      <c r="N344" s="1032">
        <f t="shared" si="69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hidden="1" customHeight="1">
      <c r="B345" s="1037">
        <f>SUBTOTAL(3,$I$310:I345)</f>
        <v>0</v>
      </c>
      <c r="C345" s="632" t="s">
        <v>1459</v>
      </c>
      <c r="D345" s="632"/>
      <c r="E345" s="632"/>
      <c r="F345" s="632"/>
      <c r="G345" s="632" t="str">
        <f t="shared" si="68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70"/>
        <v>0</v>
      </c>
      <c r="N345" s="1032">
        <f t="shared" si="69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hidden="1" customHeight="1">
      <c r="B346" s="1037">
        <f>SUBTOTAL(3,$I$310:I346)</f>
        <v>0</v>
      </c>
      <c r="C346" s="627" t="s">
        <v>192</v>
      </c>
      <c r="D346" s="627"/>
      <c r="E346" s="627"/>
      <c r="F346" s="627"/>
      <c r="G346" s="628" t="str">
        <f t="shared" si="68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70"/>
        <v>0</v>
      </c>
      <c r="N346" s="1032">
        <f t="shared" si="69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hidden="1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70"/>
        <v>0</v>
      </c>
      <c r="N347" s="1032">
        <f t="shared" si="69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hidden="1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70"/>
        <v>0</v>
      </c>
      <c r="N348" s="1032">
        <f t="shared" si="69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hidden="1" customHeight="1">
      <c r="B349" s="1037">
        <f>SUBTOTAL(3,$I$310:I349)</f>
        <v>0</v>
      </c>
      <c r="C349" s="632" t="str">
        <f ca="1">ПВХ_мембрана</f>
        <v>ПВХ мембрана LOGICROOF V-RP (1.2 мм)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70"/>
        <v>0</v>
      </c>
      <c r="N349" s="1032">
        <f t="shared" si="69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hidden="1" customHeight="1">
      <c r="B350" s="1037">
        <f>SUBTOTAL(3,$I$310:I350)</f>
        <v>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70"/>
        <v>0</v>
      </c>
      <c r="N350" s="1032">
        <f t="shared" si="69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hidden="1" customHeight="1">
      <c r="B351" s="1037">
        <f>SUBTOTAL(3,$I$310:I351)</f>
        <v>0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70"/>
        <v>0</v>
      </c>
      <c r="N351" s="1032">
        <f t="shared" si="69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hidden="1" customHeight="1">
      <c r="B352" s="1037">
        <f>SUBTOTAL(3,$I$310:I352)</f>
        <v>0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70"/>
        <v>0</v>
      </c>
      <c r="N352" s="1032">
        <f t="shared" si="69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hidden="1" customHeight="1">
      <c r="B353" s="645">
        <f>SUBTOTAL(3,$I$310:I353)</f>
        <v>0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70"/>
        <v>0</v>
      </c>
      <c r="N353" s="1032">
        <f t="shared" si="69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hidden="1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hidden="1" customHeight="1">
      <c r="B355" s="1037">
        <f>SUBTOTAL(3,$I$310:I355)</f>
        <v>0</v>
      </c>
      <c r="C355" s="632" t="s">
        <v>207</v>
      </c>
      <c r="D355" s="632"/>
      <c r="E355" s="632"/>
      <c r="F355" s="632"/>
      <c r="G355" s="632" t="str">
        <f t="shared" ref="G355:G361" si="71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2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hidden="1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2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hidden="1" customHeight="1">
      <c r="B357" s="1037">
        <f>SUBTOTAL(3,$I$310:I357)</f>
        <v>0</v>
      </c>
      <c r="C357" s="632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71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3">IFERROR(I357*K357,0)</f>
        <v>0</v>
      </c>
      <c r="N357" s="1032">
        <f t="shared" si="72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hidden="1" customHeight="1">
      <c r="B358" s="1037">
        <f>SUBTOTAL(3,$I$310:I358)</f>
        <v>0</v>
      </c>
      <c r="C358" s="627" t="s">
        <v>559</v>
      </c>
      <c r="D358" s="627"/>
      <c r="E358" s="627"/>
      <c r="F358" s="627"/>
      <c r="G358" s="627" t="str">
        <f t="shared" si="71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3"/>
        <v>0</v>
      </c>
      <c r="N358" s="1032">
        <f t="shared" si="72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hidden="1" customHeight="1">
      <c r="B359" s="1037">
        <f>SUBTOTAL(3,$I$310:I359)</f>
        <v>0</v>
      </c>
      <c r="C359" s="632" t="s">
        <v>189</v>
      </c>
      <c r="D359" s="632"/>
      <c r="E359" s="632"/>
      <c r="F359" s="632"/>
      <c r="G359" s="632" t="str">
        <f t="shared" si="71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3"/>
        <v>0</v>
      </c>
      <c r="N359" s="1032">
        <f t="shared" si="72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hidden="1" customHeight="1">
      <c r="B360" s="1037">
        <f>SUBTOTAL(3,$I$310:I360)</f>
        <v>0</v>
      </c>
      <c r="C360" s="627" t="s">
        <v>1459</v>
      </c>
      <c r="D360" s="627"/>
      <c r="E360" s="627"/>
      <c r="F360" s="627"/>
      <c r="G360" s="627" t="str">
        <f t="shared" si="71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3"/>
        <v>0</v>
      </c>
      <c r="N360" s="1032">
        <f t="shared" si="72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hidden="1" customHeight="1">
      <c r="B361" s="1037">
        <f>SUBTOTAL(3,$I$310:I361)</f>
        <v>0</v>
      </c>
      <c r="C361" s="632" t="s">
        <v>192</v>
      </c>
      <c r="D361" s="632"/>
      <c r="E361" s="632"/>
      <c r="F361" s="632"/>
      <c r="G361" s="632" t="str">
        <f t="shared" si="71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3"/>
        <v>0</v>
      </c>
      <c r="N361" s="1032">
        <f t="shared" si="72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hidden="1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3"/>
        <v>0</v>
      </c>
      <c r="N362" s="1032">
        <f t="shared" si="72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hidden="1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3"/>
        <v>0</v>
      </c>
      <c r="N363" s="1032">
        <f t="shared" si="72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hidden="1" customHeight="1">
      <c r="B364" s="1037">
        <f>SUBTOTAL(3,$I$310:I364)</f>
        <v>0</v>
      </c>
      <c r="C364" s="627" t="str">
        <f ca="1">ПВХ_мембрана</f>
        <v>ПВХ мембрана LOGICROOF V-RP (1.2 мм)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3"/>
        <v>0</v>
      </c>
      <c r="N364" s="1032">
        <f t="shared" si="72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hidden="1" customHeight="1">
      <c r="B365" s="1037">
        <f>SUBTOTAL(3,$I$310:I365)</f>
        <v>0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3"/>
        <v>0</v>
      </c>
      <c r="N365" s="1032">
        <f t="shared" si="72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hidden="1" customHeight="1">
      <c r="B366" s="1037">
        <f>SUBTOTAL(3,$I$310:I366)</f>
        <v>0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3"/>
        <v>0</v>
      </c>
      <c r="N366" s="1032">
        <f t="shared" si="72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hidden="1" customHeight="1">
      <c r="B367" s="1037">
        <f>SUBTOTAL(3,$I$310:I367)</f>
        <v>0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3"/>
        <v>0</v>
      </c>
      <c r="N367" s="1032">
        <f t="shared" si="72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hidden="1" customHeight="1">
      <c r="B368" s="1037">
        <f>SUBTOTAL(3,$I$310:I368)</f>
        <v>0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3"/>
        <v>0</v>
      </c>
      <c r="N368" s="1032">
        <f t="shared" si="72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hidden="1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hidden="1" customHeight="1">
      <c r="B370" s="1037">
        <f>SUBTOTAL(3,$I$310:I370)</f>
        <v>0</v>
      </c>
      <c r="C370" s="627" t="s">
        <v>207</v>
      </c>
      <c r="D370" s="627"/>
      <c r="E370" s="627"/>
      <c r="F370" s="656"/>
      <c r="G370" s="627" t="str">
        <f t="shared" ref="G370:G376" si="74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5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hidden="1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5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hidden="1" customHeight="1">
      <c r="B372" s="1037">
        <f>SUBTOTAL(3,$I$310:I372)</f>
        <v>0</v>
      </c>
      <c r="C372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4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6">IFERROR(I372*K372,0)</f>
        <v>0</v>
      </c>
      <c r="N372" s="1032">
        <f t="shared" si="75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hidden="1" customHeight="1">
      <c r="B373" s="1037">
        <f>SUBTOTAL(3,$I$310:I373)</f>
        <v>0</v>
      </c>
      <c r="C373" s="627" t="s">
        <v>559</v>
      </c>
      <c r="D373" s="627"/>
      <c r="E373" s="627"/>
      <c r="F373" s="656"/>
      <c r="G373" s="627" t="str">
        <f t="shared" si="74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6"/>
        <v>0</v>
      </c>
      <c r="N373" s="1032">
        <f t="shared" si="75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hidden="1" customHeight="1">
      <c r="B374" s="1037">
        <f>SUBTOTAL(3,$I$310:I374)</f>
        <v>0</v>
      </c>
      <c r="C374" s="627" t="s">
        <v>189</v>
      </c>
      <c r="D374" s="627"/>
      <c r="E374" s="627"/>
      <c r="F374" s="656"/>
      <c r="G374" s="627" t="str">
        <f t="shared" si="74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6"/>
        <v>0</v>
      </c>
      <c r="N374" s="1032">
        <f t="shared" si="75"/>
        <v>0</v>
      </c>
    </row>
    <row r="375" spans="1:60" ht="15" hidden="1" customHeight="1">
      <c r="B375" s="1037">
        <f>SUBTOTAL(3,$I$310:I375)</f>
        <v>0</v>
      </c>
      <c r="C375" s="627" t="s">
        <v>1459</v>
      </c>
      <c r="D375" s="627"/>
      <c r="E375" s="627"/>
      <c r="F375" s="656"/>
      <c r="G375" s="627" t="str">
        <f t="shared" si="74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6"/>
        <v>0</v>
      </c>
      <c r="N375" s="1032">
        <f t="shared" si="75"/>
        <v>0</v>
      </c>
    </row>
    <row r="376" spans="1:60" ht="15" hidden="1" customHeight="1">
      <c r="B376" s="1037">
        <f>SUBTOTAL(3,$I$310:I376)</f>
        <v>0</v>
      </c>
      <c r="C376" s="627" t="s">
        <v>192</v>
      </c>
      <c r="D376" s="627"/>
      <c r="E376" s="627"/>
      <c r="F376" s="656"/>
      <c r="G376" s="627" t="str">
        <f t="shared" si="74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6"/>
        <v>0</v>
      </c>
      <c r="N376" s="1032">
        <f t="shared" si="75"/>
        <v>0</v>
      </c>
    </row>
    <row r="377" spans="1:60" ht="15" hidden="1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6"/>
        <v>0</v>
      </c>
      <c r="N377" s="1032">
        <f t="shared" si="75"/>
        <v>0</v>
      </c>
    </row>
    <row r="378" spans="1:60" ht="15" hidden="1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6"/>
        <v>0</v>
      </c>
      <c r="N378" s="1032">
        <f t="shared" si="75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hidden="1" customHeight="1">
      <c r="B379" s="1037">
        <f>SUBTOTAL(3,$I$310:I379)</f>
        <v>0</v>
      </c>
      <c r="C379" s="627" t="str">
        <f ca="1">ПВХ_мембрана</f>
        <v>ПВХ мембрана LOGICROOF V-RP (1.2 мм)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6"/>
        <v>0</v>
      </c>
      <c r="N379" s="1032">
        <f t="shared" si="75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hidden="1" customHeight="1">
      <c r="B380" s="1037">
        <f>SUBTOTAL(3,$I$310:I380)</f>
        <v>0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6"/>
        <v>0</v>
      </c>
      <c r="N380" s="1032">
        <f t="shared" si="75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hidden="1" customHeight="1">
      <c r="B381" s="1037">
        <f>SUBTOTAL(3,$I$310:I381)</f>
        <v>0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6"/>
        <v>0</v>
      </c>
      <c r="N381" s="1032">
        <f t="shared" si="75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hidden="1" customHeight="1">
      <c r="B382" s="1037">
        <f>SUBTOTAL(3,$I$310:I382)</f>
        <v>0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6"/>
        <v>0</v>
      </c>
      <c r="N382" s="1032">
        <f t="shared" si="75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hidden="1" customHeight="1">
      <c r="B383" s="1037">
        <f>SUBTOTAL(3,$I$310:I383)</f>
        <v>0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6"/>
        <v>0</v>
      </c>
      <c r="N383" s="1032">
        <f t="shared" si="75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hidden="1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hidden="1" customHeight="1">
      <c r="B385" s="1037">
        <f>SUBTOTAL(3,$I$310:I385)</f>
        <v>0</v>
      </c>
      <c r="C385" s="627" t="s">
        <v>207</v>
      </c>
      <c r="D385" s="627"/>
      <c r="E385" s="627"/>
      <c r="F385" s="656"/>
      <c r="G385" s="627" t="str">
        <f t="shared" ref="G385:G391" si="77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8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hidden="1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8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hidden="1" customHeight="1">
      <c r="B387" s="1037">
        <f>SUBTOTAL(3,$I$310:I387)</f>
        <v>0</v>
      </c>
      <c r="C387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7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9">IFERROR(I387*K387,0)</f>
        <v>0</v>
      </c>
      <c r="N387" s="1032">
        <f t="shared" si="78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hidden="1" customHeight="1">
      <c r="B388" s="1037">
        <f>SUBTOTAL(3,$I$310:I388)</f>
        <v>0</v>
      </c>
      <c r="C388" s="627" t="s">
        <v>559</v>
      </c>
      <c r="D388" s="627"/>
      <c r="E388" s="627"/>
      <c r="F388" s="656"/>
      <c r="G388" s="627" t="str">
        <f t="shared" si="77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9"/>
        <v>0</v>
      </c>
      <c r="N388" s="1032">
        <f t="shared" si="78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80">AK388-AN388</f>
        <v>0</v>
      </c>
      <c r="AQ388" s="1011">
        <f t="shared" si="80"/>
        <v>0</v>
      </c>
    </row>
    <row r="389" spans="1:43" ht="15" hidden="1" customHeight="1">
      <c r="B389" s="1037">
        <f>SUBTOTAL(3,$I$310:I389)</f>
        <v>0</v>
      </c>
      <c r="C389" s="627" t="s">
        <v>189</v>
      </c>
      <c r="D389" s="627"/>
      <c r="E389" s="627"/>
      <c r="F389" s="656"/>
      <c r="G389" s="627" t="str">
        <f t="shared" si="77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9"/>
        <v>0</v>
      </c>
      <c r="N389" s="1032">
        <f t="shared" si="78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80"/>
        <v>0</v>
      </c>
      <c r="AQ389" s="1011">
        <f t="shared" si="80"/>
        <v>0</v>
      </c>
    </row>
    <row r="390" spans="1:43" ht="15" hidden="1" customHeight="1">
      <c r="B390" s="1037">
        <f>SUBTOTAL(3,$I$310:I390)</f>
        <v>0</v>
      </c>
      <c r="C390" s="627" t="s">
        <v>1459</v>
      </c>
      <c r="D390" s="627"/>
      <c r="E390" s="627"/>
      <c r="F390" s="656"/>
      <c r="G390" s="627" t="str">
        <f t="shared" si="77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9"/>
        <v>0</v>
      </c>
      <c r="N390" s="1032">
        <f t="shared" si="78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80"/>
        <v>0</v>
      </c>
      <c r="AQ390" s="1011">
        <f t="shared" si="80"/>
        <v>0</v>
      </c>
    </row>
    <row r="391" spans="1:43" ht="15" hidden="1" customHeight="1">
      <c r="B391" s="1037">
        <f>SUBTOTAL(3,$I$310:I391)</f>
        <v>0</v>
      </c>
      <c r="C391" s="627" t="s">
        <v>192</v>
      </c>
      <c r="D391" s="627"/>
      <c r="E391" s="627"/>
      <c r="F391" s="656"/>
      <c r="G391" s="627" t="str">
        <f t="shared" si="77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9"/>
        <v>0</v>
      </c>
      <c r="N391" s="1032">
        <f t="shared" si="78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80"/>
        <v>0</v>
      </c>
      <c r="AQ391" s="1011">
        <f t="shared" si="80"/>
        <v>0</v>
      </c>
    </row>
    <row r="392" spans="1:43" ht="15" hidden="1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9"/>
        <v>0</v>
      </c>
      <c r="N392" s="1032">
        <f t="shared" si="78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80"/>
        <v>0</v>
      </c>
      <c r="AQ392" s="1011">
        <f t="shared" si="80"/>
        <v>0</v>
      </c>
    </row>
    <row r="393" spans="1:43" ht="15" hidden="1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9"/>
        <v>0</v>
      </c>
      <c r="N393" s="1032">
        <f t="shared" si="78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80"/>
        <v>0</v>
      </c>
      <c r="AQ393" s="1011">
        <f t="shared" si="80"/>
        <v>0</v>
      </c>
    </row>
    <row r="394" spans="1:43" ht="15" hidden="1" customHeight="1">
      <c r="B394" s="1037">
        <f>SUBTOTAL(3,$I$310:I394)</f>
        <v>0</v>
      </c>
      <c r="C394" s="627" t="str">
        <f ca="1">ПВХ_мембрана</f>
        <v>ПВХ мембрана LOGICROOF V-RP (1.2 мм)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9"/>
        <v>0</v>
      </c>
      <c r="N394" s="1032">
        <f t="shared" si="78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80"/>
        <v>0</v>
      </c>
      <c r="AQ394" s="1011">
        <f t="shared" si="80"/>
        <v>0</v>
      </c>
    </row>
    <row r="395" spans="1:43" ht="15" hidden="1" customHeight="1">
      <c r="B395" s="1037">
        <f>SUBTOTAL(3,$I$310:I395)</f>
        <v>0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9"/>
        <v>0</v>
      </c>
      <c r="N395" s="1032">
        <f t="shared" si="78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80"/>
        <v>0</v>
      </c>
      <c r="AQ395" s="1011">
        <f t="shared" si="80"/>
        <v>0</v>
      </c>
    </row>
    <row r="396" spans="1:43" ht="15" hidden="1" customHeight="1">
      <c r="B396" s="1037">
        <f>SUBTOTAL(3,$I$310:I396)</f>
        <v>0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9"/>
        <v>0</v>
      </c>
      <c r="N396" s="1032">
        <f t="shared" si="78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80"/>
        <v>0</v>
      </c>
      <c r="AQ396" s="1011">
        <f t="shared" si="80"/>
        <v>0</v>
      </c>
    </row>
    <row r="397" spans="1:43" ht="15" hidden="1" customHeight="1">
      <c r="B397" s="1037">
        <f>SUBTOTAL(3,$I$310:I397)</f>
        <v>0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9"/>
        <v>0</v>
      </c>
      <c r="N397" s="1032">
        <f t="shared" si="78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80"/>
        <v>0</v>
      </c>
      <c r="AQ397" s="1011">
        <f t="shared" si="80"/>
        <v>0</v>
      </c>
    </row>
    <row r="398" spans="1:43" ht="15" hidden="1" customHeight="1">
      <c r="B398" s="1037">
        <f>SUBTOTAL(3,$I$310:I398)</f>
        <v>0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9"/>
        <v>0</v>
      </c>
      <c r="N398" s="1032">
        <f t="shared" si="78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80"/>
        <v>0</v>
      </c>
      <c r="AQ398" s="1011">
        <f t="shared" si="80"/>
        <v>0</v>
      </c>
    </row>
    <row r="399" spans="1:43" ht="30" hidden="1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80"/>
        <v>0</v>
      </c>
      <c r="AQ399" s="1011">
        <f t="shared" si="80"/>
        <v>0</v>
      </c>
    </row>
    <row r="400" spans="1:43" ht="15" hidden="1" customHeight="1">
      <c r="B400" s="1037">
        <f>SUBTOTAL(3,$I$310:I400)</f>
        <v>0</v>
      </c>
      <c r="C400" s="627" t="s">
        <v>207</v>
      </c>
      <c r="D400" s="627"/>
      <c r="E400" s="627"/>
      <c r="F400" s="656"/>
      <c r="G400" s="627" t="str">
        <f t="shared" ref="G400:G406" si="81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2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80"/>
        <v>0</v>
      </c>
      <c r="AQ400" s="1011">
        <f t="shared" si="80"/>
        <v>0</v>
      </c>
    </row>
    <row r="401" spans="1:43" ht="15" hidden="1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2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80"/>
        <v>0</v>
      </c>
      <c r="AQ401" s="1011">
        <f t="shared" si="80"/>
        <v>0</v>
      </c>
    </row>
    <row r="402" spans="1:43" ht="15" hidden="1" customHeight="1">
      <c r="B402" s="1037">
        <f>SUBTOTAL(3,$I$310:I402)</f>
        <v>0</v>
      </c>
      <c r="C402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81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3">IFERROR(I402*K402,0)</f>
        <v>0</v>
      </c>
      <c r="N402" s="1032">
        <f t="shared" si="82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80"/>
        <v>0</v>
      </c>
      <c r="AQ402" s="1011">
        <f t="shared" si="80"/>
        <v>0</v>
      </c>
    </row>
    <row r="403" spans="1:43" ht="15" hidden="1" customHeight="1">
      <c r="B403" s="1037">
        <f>SUBTOTAL(3,$I$310:I403)</f>
        <v>0</v>
      </c>
      <c r="C403" s="627" t="s">
        <v>559</v>
      </c>
      <c r="D403" s="627"/>
      <c r="E403" s="627"/>
      <c r="F403" s="656"/>
      <c r="G403" s="627" t="str">
        <f t="shared" si="81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3"/>
        <v>0</v>
      </c>
      <c r="N403" s="1032">
        <f t="shared" si="82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80"/>
        <v>0</v>
      </c>
      <c r="AQ403" s="1011">
        <f t="shared" si="80"/>
        <v>0</v>
      </c>
    </row>
    <row r="404" spans="1:43" ht="15" hidden="1" customHeight="1">
      <c r="B404" s="1037">
        <f>SUBTOTAL(3,$I$310:I404)</f>
        <v>0</v>
      </c>
      <c r="C404" s="627" t="s">
        <v>189</v>
      </c>
      <c r="D404" s="627"/>
      <c r="E404" s="627"/>
      <c r="F404" s="656"/>
      <c r="G404" s="627" t="str">
        <f t="shared" si="81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3"/>
        <v>0</v>
      </c>
      <c r="N404" s="1032">
        <f t="shared" si="82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80"/>
        <v>0</v>
      </c>
      <c r="AQ404" s="1011">
        <f t="shared" si="80"/>
        <v>0</v>
      </c>
    </row>
    <row r="405" spans="1:43" ht="15" hidden="1" customHeight="1">
      <c r="B405" s="1037">
        <f>SUBTOTAL(3,$I$310:I405)</f>
        <v>0</v>
      </c>
      <c r="C405" s="627" t="s">
        <v>1459</v>
      </c>
      <c r="D405" s="627"/>
      <c r="E405" s="627"/>
      <c r="F405" s="656"/>
      <c r="G405" s="627" t="str">
        <f t="shared" si="81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3"/>
        <v>0</v>
      </c>
      <c r="N405" s="1032">
        <f t="shared" si="82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80"/>
        <v>0</v>
      </c>
      <c r="AQ405" s="1011">
        <f t="shared" si="80"/>
        <v>0</v>
      </c>
    </row>
    <row r="406" spans="1:43" ht="15" hidden="1" customHeight="1">
      <c r="B406" s="1037">
        <f>SUBTOTAL(3,$I$310:I406)</f>
        <v>0</v>
      </c>
      <c r="C406" s="627" t="s">
        <v>192</v>
      </c>
      <c r="D406" s="627"/>
      <c r="E406" s="627"/>
      <c r="F406" s="656"/>
      <c r="G406" s="627" t="str">
        <f t="shared" si="81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3"/>
        <v>0</v>
      </c>
      <c r="N406" s="1032">
        <f t="shared" si="82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80"/>
        <v>0</v>
      </c>
      <c r="AQ406" s="1011">
        <f t="shared" si="80"/>
        <v>0</v>
      </c>
    </row>
    <row r="407" spans="1:43" ht="15" hidden="1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3"/>
        <v>0</v>
      </c>
      <c r="N407" s="1032">
        <f t="shared" si="82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80"/>
        <v>0</v>
      </c>
      <c r="AQ407" s="1011">
        <f t="shared" si="80"/>
        <v>0</v>
      </c>
    </row>
    <row r="408" spans="1:43" ht="15" hidden="1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3"/>
        <v>0</v>
      </c>
      <c r="N408" s="1032">
        <f t="shared" si="82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80"/>
        <v>0</v>
      </c>
      <c r="AQ408" s="1011">
        <f t="shared" si="80"/>
        <v>0</v>
      </c>
    </row>
    <row r="409" spans="1:43" ht="15" hidden="1" customHeight="1">
      <c r="B409" s="1037">
        <f>SUBTOTAL(3,$I$310:I409)</f>
        <v>0</v>
      </c>
      <c r="C409" s="627" t="str">
        <f ca="1">ПВХ_мембрана</f>
        <v>ПВХ мембрана LOGICROOF V-RP (1.2 мм)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3"/>
        <v>0</v>
      </c>
      <c r="N409" s="1032">
        <f t="shared" si="82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80"/>
        <v>0</v>
      </c>
      <c r="AQ409" s="1011">
        <f t="shared" si="80"/>
        <v>0</v>
      </c>
    </row>
    <row r="410" spans="1:43" ht="15" hidden="1" customHeight="1">
      <c r="B410" s="1037">
        <f>SUBTOTAL(3,$I$310:I410)</f>
        <v>0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3"/>
        <v>0</v>
      </c>
      <c r="N410" s="1032">
        <f t="shared" si="82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80"/>
        <v>0</v>
      </c>
      <c r="AQ410" s="1011">
        <f t="shared" si="80"/>
        <v>0</v>
      </c>
    </row>
    <row r="411" spans="1:43" ht="15" hidden="1" customHeight="1">
      <c r="B411" s="1037">
        <f>SUBTOTAL(3,$I$310:I411)</f>
        <v>0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3"/>
        <v>0</v>
      </c>
      <c r="N411" s="1032">
        <f t="shared" si="82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80"/>
        <v>0</v>
      </c>
      <c r="AQ411" s="1011">
        <f t="shared" si="80"/>
        <v>0</v>
      </c>
    </row>
    <row r="412" spans="1:43" ht="15" hidden="1" customHeight="1">
      <c r="B412" s="1037">
        <f>SUBTOTAL(3,$I$310:I412)</f>
        <v>0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3"/>
        <v>0</v>
      </c>
      <c r="N412" s="1032">
        <f t="shared" si="82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80"/>
        <v>0</v>
      </c>
      <c r="AQ412" s="1011">
        <f t="shared" si="80"/>
        <v>0</v>
      </c>
    </row>
    <row r="413" spans="1:43" ht="15" hidden="1" customHeight="1">
      <c r="B413" s="1037">
        <f>SUBTOTAL(3,$I$310:I413)</f>
        <v>0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3"/>
        <v>0</v>
      </c>
      <c r="N413" s="1032">
        <f t="shared" si="82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80"/>
        <v>0</v>
      </c>
      <c r="AQ413" s="1011">
        <f t="shared" si="80"/>
        <v>0</v>
      </c>
    </row>
    <row r="414" spans="1:43" ht="30" hidden="1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80"/>
        <v>0</v>
      </c>
      <c r="AQ414" s="1011">
        <f t="shared" si="80"/>
        <v>0</v>
      </c>
    </row>
    <row r="415" spans="1:43" ht="15" hidden="1" customHeight="1">
      <c r="B415" s="1037">
        <f>SUBTOTAL(3,$I$310:I415)</f>
        <v>0</v>
      </c>
      <c r="C415" s="627" t="s">
        <v>207</v>
      </c>
      <c r="D415" s="627"/>
      <c r="E415" s="627"/>
      <c r="F415" s="656"/>
      <c r="G415" s="627" t="str">
        <f t="shared" ref="G415:G421" si="84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5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80"/>
        <v>0</v>
      </c>
      <c r="AQ415" s="1011">
        <f t="shared" si="80"/>
        <v>0</v>
      </c>
    </row>
    <row r="416" spans="1:43" ht="15" hidden="1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5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80"/>
        <v>0</v>
      </c>
      <c r="AQ416" s="1011">
        <f t="shared" si="80"/>
        <v>0</v>
      </c>
    </row>
    <row r="417" spans="1:43" ht="15" hidden="1" customHeight="1">
      <c r="B417" s="1037">
        <f>SUBTOTAL(3,$I$310:I417)</f>
        <v>0</v>
      </c>
      <c r="C417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4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6">IFERROR(I417*K417,0)</f>
        <v>0</v>
      </c>
      <c r="N417" s="1032">
        <f t="shared" si="85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80"/>
        <v>0</v>
      </c>
      <c r="AQ417" s="1011">
        <f t="shared" si="80"/>
        <v>0</v>
      </c>
    </row>
    <row r="418" spans="1:43" ht="15" hidden="1" customHeight="1">
      <c r="B418" s="1037">
        <f>SUBTOTAL(3,$I$310:I418)</f>
        <v>0</v>
      </c>
      <c r="C418" s="627" t="s">
        <v>559</v>
      </c>
      <c r="D418" s="627"/>
      <c r="E418" s="627"/>
      <c r="F418" s="656"/>
      <c r="G418" s="627" t="str">
        <f t="shared" si="84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6"/>
        <v>0</v>
      </c>
      <c r="N418" s="1032">
        <f t="shared" si="85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80"/>
        <v>0</v>
      </c>
      <c r="AQ418" s="1011">
        <f t="shared" si="80"/>
        <v>0</v>
      </c>
    </row>
    <row r="419" spans="1:43" ht="15" hidden="1" customHeight="1">
      <c r="B419" s="1037">
        <f>SUBTOTAL(3,$I$310:I419)</f>
        <v>0</v>
      </c>
      <c r="C419" s="627" t="s">
        <v>189</v>
      </c>
      <c r="D419" s="627"/>
      <c r="E419" s="627"/>
      <c r="F419" s="656"/>
      <c r="G419" s="627" t="str">
        <f t="shared" si="84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6"/>
        <v>0</v>
      </c>
      <c r="N419" s="1032">
        <f t="shared" si="85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80"/>
        <v>0</v>
      </c>
      <c r="AQ419" s="1011">
        <f t="shared" si="80"/>
        <v>0</v>
      </c>
    </row>
    <row r="420" spans="1:43" ht="15" hidden="1" customHeight="1">
      <c r="B420" s="1037">
        <f>SUBTOTAL(3,$I$310:I420)</f>
        <v>0</v>
      </c>
      <c r="C420" s="627" t="s">
        <v>1459</v>
      </c>
      <c r="D420" s="627"/>
      <c r="E420" s="627"/>
      <c r="F420" s="656"/>
      <c r="G420" s="627" t="str">
        <f t="shared" si="84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6"/>
        <v>0</v>
      </c>
      <c r="N420" s="1032">
        <f t="shared" si="85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80"/>
        <v>0</v>
      </c>
      <c r="AQ420" s="1011">
        <f t="shared" si="80"/>
        <v>0</v>
      </c>
    </row>
    <row r="421" spans="1:43" ht="15" hidden="1" customHeight="1">
      <c r="B421" s="1037">
        <f>SUBTOTAL(3,$I$310:I421)</f>
        <v>0</v>
      </c>
      <c r="C421" s="627" t="s">
        <v>192</v>
      </c>
      <c r="D421" s="627"/>
      <c r="E421" s="627"/>
      <c r="F421" s="656"/>
      <c r="G421" s="627" t="str">
        <f t="shared" si="84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6"/>
        <v>0</v>
      </c>
      <c r="N421" s="1032">
        <f t="shared" si="85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80"/>
        <v>0</v>
      </c>
      <c r="AQ421" s="1011">
        <f t="shared" si="80"/>
        <v>0</v>
      </c>
    </row>
    <row r="422" spans="1:43" ht="15" hidden="1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6"/>
        <v>0</v>
      </c>
      <c r="N422" s="1032">
        <f t="shared" si="85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80"/>
        <v>0</v>
      </c>
      <c r="AQ422" s="1011">
        <f t="shared" si="80"/>
        <v>0</v>
      </c>
    </row>
    <row r="423" spans="1:43" ht="15" hidden="1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6"/>
        <v>0</v>
      </c>
      <c r="N423" s="1032">
        <f t="shared" si="85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80"/>
        <v>0</v>
      </c>
      <c r="AQ423" s="1011">
        <f t="shared" si="80"/>
        <v>0</v>
      </c>
    </row>
    <row r="424" spans="1:43" ht="15" hidden="1" customHeight="1">
      <c r="B424" s="1037">
        <f>SUBTOTAL(3,$I$310:I424)</f>
        <v>0</v>
      </c>
      <c r="C424" s="627" t="str">
        <f ca="1">ПВХ_мембрана</f>
        <v>ПВХ мембрана LOGICROOF V-RP (1.2 мм)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6"/>
        <v>0</v>
      </c>
      <c r="N424" s="1032">
        <f t="shared" si="85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80"/>
        <v>0</v>
      </c>
      <c r="AQ424" s="1011">
        <f t="shared" si="80"/>
        <v>0</v>
      </c>
    </row>
    <row r="425" spans="1:43" ht="15" hidden="1" customHeight="1">
      <c r="B425" s="1037">
        <f>SUBTOTAL(3,$I$310:I425)</f>
        <v>0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6"/>
        <v>0</v>
      </c>
      <c r="N425" s="1032">
        <f t="shared" si="85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80"/>
        <v>0</v>
      </c>
      <c r="AQ425" s="1011">
        <f t="shared" si="80"/>
        <v>0</v>
      </c>
    </row>
    <row r="426" spans="1:43" ht="15" hidden="1" customHeight="1">
      <c r="B426" s="1037">
        <f>SUBTOTAL(3,$I$310:I426)</f>
        <v>0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6"/>
        <v>0</v>
      </c>
      <c r="N426" s="1032">
        <f t="shared" si="85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80"/>
        <v>0</v>
      </c>
      <c r="AQ426" s="1011">
        <f t="shared" si="80"/>
        <v>0</v>
      </c>
    </row>
    <row r="427" spans="1:43" ht="15" hidden="1" customHeight="1">
      <c r="B427" s="1037">
        <f>SUBTOTAL(3,$I$310:I427)</f>
        <v>0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6"/>
        <v>0</v>
      </c>
      <c r="N427" s="1032">
        <f t="shared" si="85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80"/>
        <v>75</v>
      </c>
      <c r="AQ427" s="1011">
        <f t="shared" si="80"/>
        <v>-100</v>
      </c>
    </row>
    <row r="428" spans="1:43" ht="15" hidden="1" customHeight="1">
      <c r="B428" s="1037">
        <f>SUBTOTAL(3,$I$310:I428)</f>
        <v>0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6"/>
        <v>0</v>
      </c>
      <c r="N428" s="1032">
        <f t="shared" si="85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80"/>
        <v>75</v>
      </c>
      <c r="AQ428" s="1011">
        <f t="shared" si="80"/>
        <v>-100</v>
      </c>
    </row>
    <row r="429" spans="1:43" ht="30" hidden="1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80"/>
        <v>75</v>
      </c>
      <c r="AQ429" s="1011">
        <f t="shared" si="80"/>
        <v>-80</v>
      </c>
    </row>
    <row r="430" spans="1:43" ht="15" hidden="1" customHeight="1">
      <c r="B430" s="1037">
        <f>SUBTOTAL(3,$I$310:I430)</f>
        <v>0</v>
      </c>
      <c r="C430" s="627" t="s">
        <v>207</v>
      </c>
      <c r="D430" s="627"/>
      <c r="E430" s="627"/>
      <c r="F430" s="627"/>
      <c r="G430" s="627" t="str">
        <f t="shared" ref="G430:G436" si="87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8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80"/>
        <v>75</v>
      </c>
      <c r="AQ430" s="1011">
        <f t="shared" si="80"/>
        <v>-80</v>
      </c>
    </row>
    <row r="431" spans="1:43" ht="15" hidden="1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8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80"/>
        <v>75</v>
      </c>
      <c r="AQ431" s="1011">
        <f t="shared" si="80"/>
        <v>-40</v>
      </c>
    </row>
    <row r="432" spans="1:43" ht="15" hidden="1" customHeight="1">
      <c r="B432" s="1037">
        <f>SUBTOTAL(3,$I$310:I432)</f>
        <v>0</v>
      </c>
      <c r="C432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7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9">IFERROR(I432*K432,0)</f>
        <v>0</v>
      </c>
      <c r="N432" s="1032">
        <f t="shared" si="88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hidden="1" customHeight="1">
      <c r="B433" s="1037">
        <f>SUBTOTAL(3,$I$310:I433)</f>
        <v>0</v>
      </c>
      <c r="C433" s="627" t="s">
        <v>559</v>
      </c>
      <c r="D433" s="627"/>
      <c r="E433" s="627"/>
      <c r="F433" s="627"/>
      <c r="G433" s="627" t="str">
        <f t="shared" si="87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9"/>
        <v>0</v>
      </c>
      <c r="N433" s="1032">
        <f t="shared" si="88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hidden="1" customHeight="1">
      <c r="B434" s="1037">
        <f>SUBTOTAL(3,$I$310:I434)</f>
        <v>0</v>
      </c>
      <c r="C434" s="627" t="s">
        <v>189</v>
      </c>
      <c r="D434" s="627"/>
      <c r="E434" s="627"/>
      <c r="F434" s="627"/>
      <c r="G434" s="627" t="str">
        <f t="shared" si="87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9"/>
        <v>0</v>
      </c>
      <c r="N434" s="1032">
        <f t="shared" si="88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hidden="1" customHeight="1">
      <c r="B435" s="1037">
        <f>SUBTOTAL(3,$I$310:I435)</f>
        <v>0</v>
      </c>
      <c r="C435" s="627" t="s">
        <v>1459</v>
      </c>
      <c r="D435" s="627"/>
      <c r="E435" s="627"/>
      <c r="F435" s="627"/>
      <c r="G435" s="627" t="str">
        <f t="shared" si="87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9"/>
        <v>0</v>
      </c>
      <c r="N435" s="1032">
        <f t="shared" si="88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hidden="1" customHeight="1">
      <c r="B436" s="1037">
        <f>SUBTOTAL(3,$I$310:I436)</f>
        <v>0</v>
      </c>
      <c r="C436" s="627" t="s">
        <v>192</v>
      </c>
      <c r="D436" s="627"/>
      <c r="E436" s="627"/>
      <c r="F436" s="627"/>
      <c r="G436" s="627" t="str">
        <f t="shared" si="87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9"/>
        <v>0</v>
      </c>
      <c r="N436" s="1032">
        <f t="shared" si="88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hidden="1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9"/>
        <v>0</v>
      </c>
      <c r="N437" s="1032">
        <f t="shared" si="88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hidden="1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9"/>
        <v>0</v>
      </c>
      <c r="N438" s="1032">
        <f t="shared" si="88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hidden="1" customHeight="1">
      <c r="B439" s="1037">
        <f>SUBTOTAL(3,$I$310:I439)</f>
        <v>0</v>
      </c>
      <c r="C439" s="627" t="str">
        <f ca="1">ПВХ_мембрана</f>
        <v>ПВХ мембрана LOGICROOF V-RP (1.2 мм)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9"/>
        <v>0</v>
      </c>
      <c r="N439" s="1032">
        <f t="shared" si="88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hidden="1" customHeight="1">
      <c r="B440" s="1037">
        <f>SUBTOTAL(3,$I$310:I440)</f>
        <v>0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9"/>
        <v>0</v>
      </c>
      <c r="N440" s="1032">
        <f t="shared" si="88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hidden="1" customHeight="1">
      <c r="B441" s="1037">
        <f>SUBTOTAL(3,$I$310:I441)</f>
        <v>0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9"/>
        <v>0</v>
      </c>
      <c r="N441" s="1032">
        <f t="shared" si="88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hidden="1" customHeight="1">
      <c r="B442" s="1037">
        <f>SUBTOTAL(3,$I$310:I442)</f>
        <v>0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9"/>
        <v>0</v>
      </c>
      <c r="N442" s="1032">
        <f t="shared" si="88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hidden="1" customHeight="1">
      <c r="B443" s="1037">
        <f>SUBTOTAL(3,$I$310:I443)</f>
        <v>0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9"/>
        <v>0</v>
      </c>
      <c r="N443" s="1032">
        <f t="shared" si="88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hidden="1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hidden="1" customHeight="1">
      <c r="B445" s="1037">
        <f>SUBTOTAL(3,$I$310:I445)</f>
        <v>0</v>
      </c>
      <c r="C445" s="627" t="s">
        <v>207</v>
      </c>
      <c r="D445" s="627"/>
      <c r="E445" s="627"/>
      <c r="F445" s="627"/>
      <c r="G445" s="627" t="str">
        <f t="shared" ref="G445:G451" si="90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91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hidden="1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91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hidden="1" customHeight="1">
      <c r="B447" s="1037">
        <f>SUBTOTAL(3,$I$310:I447)</f>
        <v>0</v>
      </c>
      <c r="C447" s="627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90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2">IFERROR(I447*K447,0)</f>
        <v>0</v>
      </c>
      <c r="N447" s="1032">
        <f t="shared" si="91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hidden="1" customHeight="1">
      <c r="B448" s="1037">
        <f>SUBTOTAL(3,$I$310:I448)</f>
        <v>0</v>
      </c>
      <c r="C448" s="627" t="s">
        <v>559</v>
      </c>
      <c r="D448" s="627"/>
      <c r="E448" s="627"/>
      <c r="F448" s="627"/>
      <c r="G448" s="627" t="str">
        <f t="shared" si="90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2"/>
        <v>0</v>
      </c>
      <c r="N448" s="1032">
        <f t="shared" si="91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hidden="1" customHeight="1">
      <c r="B449" s="1037">
        <f>SUBTOTAL(3,$I$310:I449)</f>
        <v>0</v>
      </c>
      <c r="C449" s="627" t="s">
        <v>189</v>
      </c>
      <c r="D449" s="627"/>
      <c r="E449" s="627"/>
      <c r="F449" s="627"/>
      <c r="G449" s="627" t="str">
        <f t="shared" si="90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2"/>
        <v>0</v>
      </c>
      <c r="N449" s="1032">
        <f t="shared" si="91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hidden="1" customHeight="1">
      <c r="B450" s="1037">
        <f>SUBTOTAL(3,$I$310:I450)</f>
        <v>0</v>
      </c>
      <c r="C450" s="627" t="s">
        <v>1459</v>
      </c>
      <c r="D450" s="627"/>
      <c r="E450" s="627"/>
      <c r="F450" s="627"/>
      <c r="G450" s="627" t="str">
        <f t="shared" si="90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2"/>
        <v>0</v>
      </c>
      <c r="N450" s="1032">
        <f t="shared" si="91"/>
        <v>0</v>
      </c>
    </row>
    <row r="451" spans="2:38" ht="15" hidden="1" customHeight="1">
      <c r="B451" s="1037">
        <f>SUBTOTAL(3,$I$310:I451)</f>
        <v>0</v>
      </c>
      <c r="C451" s="627" t="s">
        <v>192</v>
      </c>
      <c r="D451" s="627"/>
      <c r="E451" s="627"/>
      <c r="F451" s="627"/>
      <c r="G451" s="627" t="str">
        <f t="shared" si="90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2"/>
        <v>0</v>
      </c>
      <c r="N451" s="1032">
        <f t="shared" si="91"/>
        <v>0</v>
      </c>
    </row>
    <row r="452" spans="2:38" ht="15" hidden="1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2"/>
        <v>0</v>
      </c>
      <c r="N452" s="1032">
        <f t="shared" si="91"/>
        <v>0</v>
      </c>
    </row>
    <row r="453" spans="2:38" ht="15" hidden="1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2"/>
        <v>0</v>
      </c>
      <c r="N453" s="1032">
        <f t="shared" si="91"/>
        <v>0</v>
      </c>
    </row>
    <row r="454" spans="2:38" ht="15" hidden="1" customHeight="1">
      <c r="B454" s="1037">
        <f>SUBTOTAL(3,$I$310:I454)</f>
        <v>0</v>
      </c>
      <c r="C454" s="627" t="str">
        <f ca="1">ПВХ_мембрана</f>
        <v>ПВХ мембрана LOGICROOF V-RP (1.2 мм)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2"/>
        <v>0</v>
      </c>
      <c r="N454" s="1032">
        <f t="shared" si="91"/>
        <v>0</v>
      </c>
    </row>
    <row r="455" spans="2:38" ht="15" hidden="1" customHeight="1">
      <c r="B455" s="1037">
        <f>SUBTOTAL(3,$I$310:I455)</f>
        <v>0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2"/>
        <v>0</v>
      </c>
      <c r="N455" s="1032">
        <f t="shared" si="91"/>
        <v>0</v>
      </c>
    </row>
    <row r="456" spans="2:38" ht="15" hidden="1" customHeight="1">
      <c r="B456" s="1037">
        <f>SUBTOTAL(3,$I$310:I456)</f>
        <v>0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2"/>
        <v>0</v>
      </c>
      <c r="N456" s="1032">
        <f t="shared" si="91"/>
        <v>0</v>
      </c>
    </row>
    <row r="457" spans="2:38" ht="15" hidden="1" customHeight="1">
      <c r="B457" s="1037">
        <f>SUBTOTAL(3,$I$310:I457)</f>
        <v>0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2"/>
        <v>0</v>
      </c>
      <c r="N457" s="1032">
        <f t="shared" si="91"/>
        <v>0</v>
      </c>
    </row>
    <row r="458" spans="2:38" ht="15" hidden="1" customHeight="1">
      <c r="B458" s="1037">
        <f>SUBTOTAL(3,$I$310:I458)</f>
        <v>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2"/>
        <v>0</v>
      </c>
      <c r="N458" s="1032">
        <f t="shared" si="91"/>
        <v>0</v>
      </c>
    </row>
    <row r="459" spans="2:38" ht="30" customHeight="1">
      <c r="B459" s="691"/>
      <c r="C459" s="1183" t="str">
        <f>CONCATENATE($Q$95,$AE$9,$T$95,$AF$9)</f>
        <v>1. Общая длина примыкания- 13,8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1</v>
      </c>
    </row>
    <row r="460" spans="2:38" ht="15" hidden="1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3">IF(I460&gt;0,1,0)</f>
        <v>0</v>
      </c>
    </row>
    <row r="461" spans="2:38" ht="15" customHeight="1">
      <c r="B461" s="1013">
        <f>SUBTOTAL(3,$I$310:I461)</f>
        <v>1</v>
      </c>
      <c r="C461" s="626" t="str">
        <f>IF(ТИП1!ПЛ&lt;1000,"Рейка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4">" "</f>
        <v xml:space="preserve"> </v>
      </c>
      <c r="H461" s="608">
        <v>1.03</v>
      </c>
      <c r="I461" s="614">
        <f>IFERROR(ROUNDUP($AA$95*H461,2),0)</f>
        <v>14.22</v>
      </c>
      <c r="J461" s="1013" t="s">
        <v>264</v>
      </c>
      <c r="K461" s="610"/>
      <c r="L461" s="610">
        <f>IFERROR(I461*K461,0)</f>
        <v>0</v>
      </c>
      <c r="N461" s="1032">
        <f t="shared" si="93"/>
        <v>1</v>
      </c>
    </row>
    <row r="462" spans="2:38" ht="15" customHeight="1">
      <c r="B462" s="1013">
        <f>SUBTOTAL(3,$I$310:I462)</f>
        <v>2</v>
      </c>
      <c r="C462" s="626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4"/>
        <v xml:space="preserve"> </v>
      </c>
      <c r="H462" s="608">
        <v>1.03</v>
      </c>
      <c r="I462" s="614">
        <f>IFERROR(ROUNDUP($Z$95*H462,2),0)</f>
        <v>14.22</v>
      </c>
      <c r="J462" s="1013" t="s">
        <v>264</v>
      </c>
      <c r="K462" s="610"/>
      <c r="L462" s="610">
        <f t="shared" ref="L462:L473" si="95">IFERROR(I462*K462,0)</f>
        <v>0</v>
      </c>
      <c r="N462" s="1032">
        <f t="shared" si="93"/>
        <v>1</v>
      </c>
    </row>
    <row r="463" spans="2:38" ht="15" customHeight="1">
      <c r="B463" s="1013">
        <f>SUBTOTAL(3,$I$310:I463)</f>
        <v>3</v>
      </c>
      <c r="C463" s="627" t="s">
        <v>559</v>
      </c>
      <c r="D463" s="627"/>
      <c r="E463" s="627"/>
      <c r="F463" s="627"/>
      <c r="G463" s="627" t="str">
        <f t="shared" si="94"/>
        <v xml:space="preserve"> </v>
      </c>
      <c r="H463" s="608">
        <v>5</v>
      </c>
      <c r="I463" s="611">
        <f>IFERROR($AC$95*H463*1.03,0)</f>
        <v>144.20000000000002</v>
      </c>
      <c r="J463" s="1013" t="s">
        <v>151</v>
      </c>
      <c r="K463" s="610"/>
      <c r="L463" s="610">
        <f t="shared" si="95"/>
        <v>0</v>
      </c>
      <c r="N463" s="1032">
        <f t="shared" si="93"/>
        <v>1</v>
      </c>
    </row>
    <row r="464" spans="2:38" ht="15" hidden="1" customHeight="1">
      <c r="B464" s="1013">
        <f>SUBTOTAL(3,$I$310:I464)</f>
        <v>3</v>
      </c>
      <c r="C464" s="627" t="s">
        <v>189</v>
      </c>
      <c r="D464" s="627"/>
      <c r="E464" s="627"/>
      <c r="F464" s="627"/>
      <c r="G464" s="627" t="str">
        <f t="shared" si="94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5"/>
        <v>0</v>
      </c>
      <c r="N464" s="1032">
        <f t="shared" si="93"/>
        <v>0</v>
      </c>
    </row>
    <row r="465" spans="2:14" ht="15" hidden="1" customHeight="1">
      <c r="B465" s="1013">
        <f>SUBTOTAL(3,$I$310:I465)</f>
        <v>3</v>
      </c>
      <c r="C465" s="627" t="s">
        <v>1459</v>
      </c>
      <c r="D465" s="627"/>
      <c r="E465" s="627"/>
      <c r="F465" s="627"/>
      <c r="G465" s="627" t="str">
        <f t="shared" si="94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5"/>
        <v>0</v>
      </c>
      <c r="N465" s="1032">
        <f t="shared" si="93"/>
        <v>0</v>
      </c>
    </row>
    <row r="466" spans="2:14" ht="15" hidden="1" customHeight="1">
      <c r="B466" s="1013">
        <f>SUBTOTAL(3,$I$310:I466)</f>
        <v>3</v>
      </c>
      <c r="C466" s="627" t="s">
        <v>192</v>
      </c>
      <c r="D466" s="627"/>
      <c r="E466" s="627"/>
      <c r="F466" s="627"/>
      <c r="G466" s="627" t="str">
        <f t="shared" si="94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5"/>
        <v>0</v>
      </c>
      <c r="N466" s="1032">
        <f t="shared" si="93"/>
        <v>0</v>
      </c>
    </row>
    <row r="467" spans="2:14" ht="15" customHeight="1">
      <c r="B467" s="1013">
        <f>SUBTOTAL(3,$I$310:I467)</f>
        <v>4</v>
      </c>
      <c r="C467" s="627" t="s">
        <v>936</v>
      </c>
      <c r="D467" s="627"/>
      <c r="E467" s="627"/>
      <c r="F467" s="627"/>
      <c r="G467" s="627" t="str">
        <f t="shared" si="94"/>
        <v xml:space="preserve"> </v>
      </c>
      <c r="H467" s="608">
        <v>0.15</v>
      </c>
      <c r="I467" s="611">
        <f>IFERROR(ROUNDUP($AA$95*H467/600*1000,0),0)</f>
        <v>4</v>
      </c>
      <c r="J467" s="1013" t="s">
        <v>151</v>
      </c>
      <c r="K467" s="610"/>
      <c r="L467" s="610">
        <f t="shared" si="95"/>
        <v>0</v>
      </c>
      <c r="N467" s="1032">
        <f t="shared" si="93"/>
        <v>1</v>
      </c>
    </row>
    <row r="468" spans="2:14" ht="15" hidden="1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5"/>
        <v>0</v>
      </c>
      <c r="N468" s="1032">
        <f t="shared" si="93"/>
        <v>0</v>
      </c>
    </row>
    <row r="469" spans="2:14" ht="15" customHeight="1">
      <c r="B469" s="1037">
        <f>SUBTOTAL(3,$I$310:I469)</f>
        <v>5</v>
      </c>
      <c r="C469" s="627" t="str">
        <f ca="1">ПВХ_мембрана</f>
        <v>ПВХ мембрана LOGICROOF V-RP (1.2 мм)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14</v>
      </c>
      <c r="J469" s="1013" t="s">
        <v>112</v>
      </c>
      <c r="K469" s="610"/>
      <c r="L469" s="610">
        <f t="shared" si="95"/>
        <v>0</v>
      </c>
      <c r="N469" s="1032">
        <f t="shared" si="93"/>
        <v>1</v>
      </c>
    </row>
    <row r="470" spans="2:14" ht="15" hidden="1" customHeight="1">
      <c r="B470" s="1037">
        <f>SUBTOTAL(3,$I$310:I470)</f>
        <v>5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5"/>
        <v>0</v>
      </c>
      <c r="N470" s="1032">
        <f t="shared" si="93"/>
        <v>0</v>
      </c>
    </row>
    <row r="471" spans="2:14" ht="15" hidden="1" customHeight="1">
      <c r="B471" s="1037">
        <f>SUBTOTAL(3,$I$310:I471)</f>
        <v>5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5"/>
        <v>0</v>
      </c>
      <c r="N471" s="1032">
        <f t="shared" si="93"/>
        <v>0</v>
      </c>
    </row>
    <row r="472" spans="2:14" ht="15" hidden="1" customHeight="1">
      <c r="B472" s="1037">
        <f>SUBTOTAL(3,$I$310:I472)</f>
        <v>5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5"/>
        <v>0</v>
      </c>
      <c r="N472" s="1032">
        <f t="shared" si="93"/>
        <v>0</v>
      </c>
    </row>
    <row r="473" spans="2:14" ht="15" hidden="1" customHeight="1">
      <c r="B473" s="1037">
        <f>SUBTOTAL(3,$I$310:I473)</f>
        <v>5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5"/>
        <v>0</v>
      </c>
      <c r="N473" s="1032">
        <f t="shared" si="93"/>
        <v>0</v>
      </c>
    </row>
    <row r="474" spans="2:14" ht="30" customHeight="1">
      <c r="B474" s="691"/>
      <c r="C474" s="1183" t="str">
        <f>CONCATENATE($Q$96,$AE$9,$T$96,$AF$9)</f>
        <v>2. Общая длина примыкания- 20,3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1</v>
      </c>
    </row>
    <row r="475" spans="2:14" ht="15" hidden="1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6">IF(I475&gt;0,1,0)</f>
        <v>0</v>
      </c>
    </row>
    <row r="476" spans="2:14" ht="15" customHeight="1">
      <c r="B476" s="1013">
        <f>SUBTOTAL(3,$I$310:I476)</f>
        <v>6</v>
      </c>
      <c r="C476" s="626" t="str">
        <f>IF(ТИП1!ПЛ&lt;1000,"Рейка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7">" "</f>
        <v xml:space="preserve"> </v>
      </c>
      <c r="H476" s="608">
        <v>1.03</v>
      </c>
      <c r="I476" s="614">
        <f>IFERROR(ROUNDUP($AA$96*H476,2),0)</f>
        <v>20.91</v>
      </c>
      <c r="J476" s="1013" t="s">
        <v>264</v>
      </c>
      <c r="K476" s="610"/>
      <c r="L476" s="610">
        <f>IFERROR(I476*K476,0)</f>
        <v>0</v>
      </c>
      <c r="N476" s="1032">
        <f t="shared" si="96"/>
        <v>1</v>
      </c>
    </row>
    <row r="477" spans="2:14" ht="15" customHeight="1">
      <c r="B477" s="1013">
        <f>SUBTOTAL(3,$I$310:I477)</f>
        <v>7</v>
      </c>
      <c r="C477" s="626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7"/>
        <v xml:space="preserve"> </v>
      </c>
      <c r="H477" s="608">
        <v>1.03</v>
      </c>
      <c r="I477" s="614">
        <f>IFERROR(ROUNDUP($Z$96*H477,2),0)</f>
        <v>20.91</v>
      </c>
      <c r="J477" s="1013" t="s">
        <v>264</v>
      </c>
      <c r="K477" s="610"/>
      <c r="L477" s="610">
        <f t="shared" ref="L477:L488" si="98">IFERROR(I477*K477,0)</f>
        <v>0</v>
      </c>
      <c r="N477" s="1032">
        <f t="shared" si="96"/>
        <v>1</v>
      </c>
    </row>
    <row r="478" spans="2:14" ht="15" hidden="1" customHeight="1">
      <c r="B478" s="1013">
        <f>SUBTOTAL(3,$I$310:I478)</f>
        <v>7</v>
      </c>
      <c r="C478" s="627" t="s">
        <v>559</v>
      </c>
      <c r="D478" s="627"/>
      <c r="E478" s="627"/>
      <c r="F478" s="627"/>
      <c r="G478" s="627" t="str">
        <f t="shared" si="97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8"/>
        <v>0</v>
      </c>
      <c r="N478" s="1032">
        <f t="shared" si="96"/>
        <v>0</v>
      </c>
    </row>
    <row r="479" spans="2:14" ht="15" customHeight="1">
      <c r="B479" s="1013">
        <f>SUBTOTAL(3,$I$310:I479)</f>
        <v>8</v>
      </c>
      <c r="C479" s="627" t="s">
        <v>189</v>
      </c>
      <c r="D479" s="627"/>
      <c r="E479" s="627"/>
      <c r="F479" s="627"/>
      <c r="G479" s="627" t="str">
        <f t="shared" si="97"/>
        <v xml:space="preserve"> </v>
      </c>
      <c r="H479" s="608">
        <v>5</v>
      </c>
      <c r="I479" s="611">
        <f>IFERROR($AE$96,0)</f>
        <v>284</v>
      </c>
      <c r="J479" s="1013" t="s">
        <v>151</v>
      </c>
      <c r="K479" s="610"/>
      <c r="L479" s="610">
        <f t="shared" si="98"/>
        <v>0</v>
      </c>
      <c r="N479" s="1032">
        <f t="shared" si="96"/>
        <v>1</v>
      </c>
    </row>
    <row r="480" spans="2:14" ht="15" customHeight="1">
      <c r="B480" s="1013">
        <f>SUBTOTAL(3,$I$310:I480)</f>
        <v>9</v>
      </c>
      <c r="C480" s="627" t="s">
        <v>1459</v>
      </c>
      <c r="D480" s="627"/>
      <c r="E480" s="627"/>
      <c r="F480" s="627"/>
      <c r="G480" s="627" t="str">
        <f t="shared" si="97"/>
        <v xml:space="preserve"> </v>
      </c>
      <c r="H480" s="608">
        <v>5</v>
      </c>
      <c r="I480" s="611">
        <f>IFERROR($AD$96*H480*1.03,0)</f>
        <v>211.15</v>
      </c>
      <c r="J480" s="1013" t="s">
        <v>151</v>
      </c>
      <c r="K480" s="610"/>
      <c r="L480" s="610">
        <f t="shared" si="98"/>
        <v>0</v>
      </c>
      <c r="N480" s="1032">
        <f t="shared" si="96"/>
        <v>1</v>
      </c>
    </row>
    <row r="481" spans="2:14" ht="15" customHeight="1">
      <c r="B481" s="1013">
        <f>SUBTOTAL(3,$I$310:I481)</f>
        <v>10</v>
      </c>
      <c r="C481" s="627" t="s">
        <v>192</v>
      </c>
      <c r="D481" s="627"/>
      <c r="E481" s="627"/>
      <c r="F481" s="627"/>
      <c r="G481" s="627" t="str">
        <f t="shared" si="97"/>
        <v xml:space="preserve"> </v>
      </c>
      <c r="H481" s="608">
        <v>1.1000000000000001</v>
      </c>
      <c r="I481" s="609">
        <f>IFERROR(ROUNDUP($AB$96*H481,0),0)</f>
        <v>3</v>
      </c>
      <c r="J481" s="1013" t="s">
        <v>112</v>
      </c>
      <c r="K481" s="610"/>
      <c r="L481" s="610">
        <f t="shared" si="98"/>
        <v>0</v>
      </c>
      <c r="N481" s="1032">
        <f t="shared" si="96"/>
        <v>1</v>
      </c>
    </row>
    <row r="482" spans="2:14" ht="15" customHeight="1">
      <c r="B482" s="1013">
        <f>SUBTOTAL(3,$I$310:I482)</f>
        <v>11</v>
      </c>
      <c r="C482" s="627" t="s">
        <v>936</v>
      </c>
      <c r="D482" s="627"/>
      <c r="E482" s="627"/>
      <c r="F482" s="627"/>
      <c r="G482" s="627" t="str">
        <f t="shared" si="97"/>
        <v xml:space="preserve"> </v>
      </c>
      <c r="H482" s="608">
        <v>0.15</v>
      </c>
      <c r="I482" s="611">
        <f>IFERROR(ROUNDUP($AA$96*H482/600*1000,0),0)</f>
        <v>6</v>
      </c>
      <c r="J482" s="1013" t="s">
        <v>151</v>
      </c>
      <c r="K482" s="610"/>
      <c r="L482" s="610">
        <f t="shared" si="98"/>
        <v>0</v>
      </c>
      <c r="N482" s="1032">
        <f t="shared" si="96"/>
        <v>1</v>
      </c>
    </row>
    <row r="483" spans="2:14" ht="15" hidden="1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8"/>
        <v>0</v>
      </c>
      <c r="N483" s="1032">
        <f t="shared" si="96"/>
        <v>0</v>
      </c>
    </row>
    <row r="484" spans="2:14" ht="15" customHeight="1">
      <c r="B484" s="1037">
        <f>SUBTOTAL(3,$I$310:I484)</f>
        <v>12</v>
      </c>
      <c r="C484" s="627" t="str">
        <f ca="1">ПВХ_мембрана</f>
        <v>ПВХ мембрана LOGICROOF V-RP (1.2 мм)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23</v>
      </c>
      <c r="J484" s="1013" t="s">
        <v>112</v>
      </c>
      <c r="K484" s="610"/>
      <c r="L484" s="610">
        <f t="shared" si="98"/>
        <v>0</v>
      </c>
      <c r="N484" s="1032">
        <f t="shared" si="96"/>
        <v>1</v>
      </c>
    </row>
    <row r="485" spans="2:14" ht="15" customHeight="1">
      <c r="B485" s="1037">
        <f>SUBTOTAL(3,$I$310:I485)</f>
        <v>13</v>
      </c>
      <c r="C485" s="627" t="s">
        <v>337</v>
      </c>
      <c r="D485" s="627"/>
      <c r="E485" s="627"/>
      <c r="F485" s="627">
        <f>$AG$96</f>
        <v>100</v>
      </c>
      <c r="G485" s="627" t="s">
        <v>150</v>
      </c>
      <c r="H485" s="608" t="str">
        <f>" "</f>
        <v xml:space="preserve"> </v>
      </c>
      <c r="I485" s="611">
        <f>IFERROR($AH$96,0)</f>
        <v>74</v>
      </c>
      <c r="J485" s="1013" t="s">
        <v>190</v>
      </c>
      <c r="K485" s="610"/>
      <c r="L485" s="610">
        <f t="shared" si="98"/>
        <v>0</v>
      </c>
      <c r="N485" s="1032">
        <f t="shared" si="96"/>
        <v>1</v>
      </c>
    </row>
    <row r="486" spans="2:14" ht="15" hidden="1" customHeight="1">
      <c r="B486" s="1037">
        <f>SUBTOTAL(3,$I$310:I486)</f>
        <v>13</v>
      </c>
      <c r="C486" s="627" t="s">
        <v>337</v>
      </c>
      <c r="D486" s="627"/>
      <c r="E486" s="627"/>
      <c r="F486" s="627">
        <f>$AK$96</f>
        <v>100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8"/>
        <v>0</v>
      </c>
      <c r="N486" s="1032">
        <f t="shared" si="96"/>
        <v>0</v>
      </c>
    </row>
    <row r="487" spans="2:14" ht="15" customHeight="1">
      <c r="B487" s="1037">
        <f>SUBTOTAL(3,$I$310:I487)</f>
        <v>14</v>
      </c>
      <c r="C487" s="627" t="s">
        <v>268</v>
      </c>
      <c r="D487" s="627"/>
      <c r="E487" s="627"/>
      <c r="F487" s="627">
        <f>$AI$96</f>
        <v>20</v>
      </c>
      <c r="G487" s="627" t="s">
        <v>150</v>
      </c>
      <c r="H487" s="608" t="str">
        <f>" "</f>
        <v xml:space="preserve"> </v>
      </c>
      <c r="I487" s="611">
        <f>IFERROR($AJ$96,0)</f>
        <v>74</v>
      </c>
      <c r="J487" s="1013" t="s">
        <v>190</v>
      </c>
      <c r="K487" s="610"/>
      <c r="L487" s="610">
        <f t="shared" si="98"/>
        <v>0</v>
      </c>
      <c r="N487" s="1032">
        <f t="shared" si="96"/>
        <v>1</v>
      </c>
    </row>
    <row r="488" spans="2:14" ht="15" customHeight="1">
      <c r="B488" s="1037">
        <f>SUBTOTAL(3,$I$310:I488)</f>
        <v>15</v>
      </c>
      <c r="C488" s="627" t="str">
        <f>$W$96</f>
        <v>ТЕХНОРУФ Н ПРОФ</v>
      </c>
      <c r="D488" s="627"/>
      <c r="E488" s="627"/>
      <c r="F488" s="627">
        <f>$V$96</f>
        <v>50</v>
      </c>
      <c r="G488" s="627" t="s">
        <v>150</v>
      </c>
      <c r="H488" s="608">
        <v>1.03</v>
      </c>
      <c r="I488" s="609">
        <f>$AF$96</f>
        <v>0.6</v>
      </c>
      <c r="J488" s="1013" t="s">
        <v>178</v>
      </c>
      <c r="K488" s="610"/>
      <c r="L488" s="610">
        <f t="shared" si="98"/>
        <v>0</v>
      </c>
      <c r="N488" s="1032">
        <f t="shared" si="96"/>
        <v>1</v>
      </c>
    </row>
    <row r="489" spans="2:14" ht="30" hidden="1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hidden="1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9">IF(I490&gt;0,1,0)</f>
        <v>0</v>
      </c>
    </row>
    <row r="491" spans="2:14" ht="15" hidden="1" customHeight="1">
      <c r="B491" s="1013">
        <f>SUBTOTAL(3,$I$310:I491)</f>
        <v>15</v>
      </c>
      <c r="C491" s="626" t="str">
        <f>IF(ТИП1!ПЛ&lt;1000,"Рейка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100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9"/>
        <v>0</v>
      </c>
    </row>
    <row r="492" spans="2:14" ht="15" hidden="1" customHeight="1">
      <c r="B492" s="1013">
        <f>SUBTOTAL(3,$I$310:I492)</f>
        <v>15</v>
      </c>
      <c r="C492" s="626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100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101">IFERROR(I492*K492,0)</f>
        <v>0</v>
      </c>
      <c r="N492" s="1032">
        <f t="shared" si="99"/>
        <v>0</v>
      </c>
    </row>
    <row r="493" spans="2:14" ht="15" hidden="1" customHeight="1">
      <c r="B493" s="1013">
        <f>SUBTOTAL(3,$I$310:I493)</f>
        <v>15</v>
      </c>
      <c r="C493" s="627" t="s">
        <v>559</v>
      </c>
      <c r="D493" s="627"/>
      <c r="E493" s="627"/>
      <c r="F493" s="627"/>
      <c r="G493" s="627" t="str">
        <f t="shared" si="100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101"/>
        <v>0</v>
      </c>
      <c r="N493" s="1032">
        <f t="shared" si="99"/>
        <v>0</v>
      </c>
    </row>
    <row r="494" spans="2:14" ht="15" hidden="1" customHeight="1">
      <c r="B494" s="1013">
        <f>SUBTOTAL(3,$I$310:I494)</f>
        <v>15</v>
      </c>
      <c r="C494" s="627" t="s">
        <v>189</v>
      </c>
      <c r="D494" s="627"/>
      <c r="E494" s="627"/>
      <c r="F494" s="627"/>
      <c r="G494" s="627" t="str">
        <f t="shared" si="100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101"/>
        <v>0</v>
      </c>
      <c r="N494" s="1032">
        <f t="shared" si="99"/>
        <v>0</v>
      </c>
    </row>
    <row r="495" spans="2:14" ht="15" hidden="1" customHeight="1">
      <c r="B495" s="1013">
        <f>SUBTOTAL(3,$I$310:I495)</f>
        <v>15</v>
      </c>
      <c r="C495" s="627" t="s">
        <v>1459</v>
      </c>
      <c r="D495" s="627"/>
      <c r="E495" s="627"/>
      <c r="F495" s="627"/>
      <c r="G495" s="627" t="str">
        <f t="shared" si="100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101"/>
        <v>0</v>
      </c>
      <c r="N495" s="1032">
        <f t="shared" si="99"/>
        <v>0</v>
      </c>
    </row>
    <row r="496" spans="2:14" ht="15" hidden="1" customHeight="1">
      <c r="B496" s="1013">
        <f>SUBTOTAL(3,$I$310:I496)</f>
        <v>15</v>
      </c>
      <c r="C496" s="627" t="s">
        <v>192</v>
      </c>
      <c r="D496" s="627"/>
      <c r="E496" s="627"/>
      <c r="F496" s="627"/>
      <c r="G496" s="627" t="str">
        <f t="shared" si="100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101"/>
        <v>0</v>
      </c>
      <c r="N496" s="1032">
        <f t="shared" si="99"/>
        <v>0</v>
      </c>
    </row>
    <row r="497" spans="2:14" ht="15" hidden="1" customHeight="1">
      <c r="B497" s="1013">
        <f>SUBTOTAL(3,$I$310:I497)</f>
        <v>15</v>
      </c>
      <c r="C497" s="627" t="s">
        <v>936</v>
      </c>
      <c r="D497" s="627"/>
      <c r="E497" s="627"/>
      <c r="F497" s="627"/>
      <c r="G497" s="627" t="str">
        <f t="shared" si="100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101"/>
        <v>0</v>
      </c>
      <c r="N497" s="1032">
        <f t="shared" si="99"/>
        <v>0</v>
      </c>
    </row>
    <row r="498" spans="2:14" ht="15" hidden="1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101"/>
        <v>0</v>
      </c>
      <c r="N498" s="1032">
        <f t="shared" si="99"/>
        <v>0</v>
      </c>
    </row>
    <row r="499" spans="2:14" ht="15" hidden="1" customHeight="1">
      <c r="B499" s="1037">
        <f>SUBTOTAL(3,$I$310:I499)</f>
        <v>15</v>
      </c>
      <c r="C499" s="627" t="str">
        <f ca="1">ПВХ_мембрана</f>
        <v>ПВХ мембрана LOGICROOF V-RP (1.2 мм)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101"/>
        <v>0</v>
      </c>
      <c r="N499" s="1032">
        <f t="shared" si="99"/>
        <v>0</v>
      </c>
    </row>
    <row r="500" spans="2:14" ht="15" hidden="1" customHeight="1">
      <c r="B500" s="1037">
        <f>SUBTOTAL(3,$I$310:I500)</f>
        <v>15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101"/>
        <v>0</v>
      </c>
      <c r="N500" s="1032">
        <f t="shared" si="99"/>
        <v>0</v>
      </c>
    </row>
    <row r="501" spans="2:14" ht="15" hidden="1" customHeight="1">
      <c r="B501" s="1037">
        <f>SUBTOTAL(3,$I$310:I501)</f>
        <v>15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101"/>
        <v>0</v>
      </c>
      <c r="N501" s="1032">
        <f t="shared" si="99"/>
        <v>0</v>
      </c>
    </row>
    <row r="502" spans="2:14" ht="15" hidden="1" customHeight="1">
      <c r="B502" s="1037">
        <f>SUBTOTAL(3,$I$310:I502)</f>
        <v>15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101"/>
        <v>0</v>
      </c>
      <c r="N502" s="1032">
        <f t="shared" si="99"/>
        <v>0</v>
      </c>
    </row>
    <row r="503" spans="2:14" ht="15" hidden="1" customHeight="1">
      <c r="B503" s="1037">
        <f>SUBTOTAL(3,$I$310:I503)</f>
        <v>15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101"/>
        <v>0</v>
      </c>
      <c r="N503" s="1032">
        <f t="shared" si="99"/>
        <v>0</v>
      </c>
    </row>
    <row r="504" spans="2:14" ht="30" hidden="1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hidden="1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2">IF(I505&gt;0,1,0)</f>
        <v>0</v>
      </c>
    </row>
    <row r="506" spans="2:14" ht="15" hidden="1" customHeight="1">
      <c r="B506" s="1013">
        <f>SUBTOTAL(3,$I$310:I506)</f>
        <v>15</v>
      </c>
      <c r="C506" s="626" t="str">
        <f>IF(ТИП1!ПЛ&lt;1000,"Рейка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3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2"/>
        <v>0</v>
      </c>
    </row>
    <row r="507" spans="2:14" ht="15" hidden="1" customHeight="1">
      <c r="B507" s="1013">
        <f>SUBTOTAL(3,$I$310:I507)</f>
        <v>15</v>
      </c>
      <c r="C507" s="626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3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4">IFERROR(I507*K507,0)</f>
        <v>0</v>
      </c>
      <c r="N507" s="1032">
        <f t="shared" si="102"/>
        <v>0</v>
      </c>
    </row>
    <row r="508" spans="2:14" ht="15" hidden="1" customHeight="1">
      <c r="B508" s="1013">
        <f>SUBTOTAL(3,$I$310:I508)</f>
        <v>15</v>
      </c>
      <c r="C508" s="627" t="s">
        <v>559</v>
      </c>
      <c r="D508" s="627"/>
      <c r="E508" s="627"/>
      <c r="F508" s="627"/>
      <c r="G508" s="627" t="str">
        <f t="shared" si="103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4"/>
        <v>0</v>
      </c>
      <c r="N508" s="1032">
        <f t="shared" si="102"/>
        <v>0</v>
      </c>
    </row>
    <row r="509" spans="2:14" ht="15" hidden="1" customHeight="1">
      <c r="B509" s="1013">
        <f>SUBTOTAL(3,$I$310:I509)</f>
        <v>15</v>
      </c>
      <c r="C509" s="627" t="s">
        <v>189</v>
      </c>
      <c r="D509" s="627"/>
      <c r="E509" s="627"/>
      <c r="F509" s="627"/>
      <c r="G509" s="627" t="str">
        <f t="shared" si="103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4"/>
        <v>0</v>
      </c>
      <c r="N509" s="1032">
        <f t="shared" si="102"/>
        <v>0</v>
      </c>
    </row>
    <row r="510" spans="2:14" ht="15" hidden="1" customHeight="1">
      <c r="B510" s="1013">
        <f>SUBTOTAL(3,$I$310:I510)</f>
        <v>15</v>
      </c>
      <c r="C510" s="627" t="s">
        <v>1459</v>
      </c>
      <c r="D510" s="627"/>
      <c r="E510" s="627"/>
      <c r="F510" s="627"/>
      <c r="G510" s="627" t="str">
        <f t="shared" si="103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4"/>
        <v>0</v>
      </c>
      <c r="N510" s="1032">
        <f t="shared" si="102"/>
        <v>0</v>
      </c>
    </row>
    <row r="511" spans="2:14" ht="15" hidden="1" customHeight="1">
      <c r="B511" s="1013">
        <f>SUBTOTAL(3,$I$310:I511)</f>
        <v>15</v>
      </c>
      <c r="C511" s="627" t="s">
        <v>192</v>
      </c>
      <c r="D511" s="627"/>
      <c r="E511" s="627"/>
      <c r="F511" s="627"/>
      <c r="G511" s="627" t="str">
        <f t="shared" si="103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4"/>
        <v>0</v>
      </c>
      <c r="N511" s="1032">
        <f t="shared" si="102"/>
        <v>0</v>
      </c>
    </row>
    <row r="512" spans="2:14" ht="15" hidden="1" customHeight="1">
      <c r="B512" s="1013">
        <f>SUBTOTAL(3,$I$310:I512)</f>
        <v>15</v>
      </c>
      <c r="C512" s="627" t="s">
        <v>936</v>
      </c>
      <c r="D512" s="627"/>
      <c r="E512" s="627"/>
      <c r="F512" s="627"/>
      <c r="G512" s="627" t="str">
        <f t="shared" si="103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4"/>
        <v>0</v>
      </c>
      <c r="N512" s="1032">
        <f t="shared" si="102"/>
        <v>0</v>
      </c>
    </row>
    <row r="513" spans="1:14" ht="15" hidden="1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4"/>
        <v>0</v>
      </c>
      <c r="N513" s="1032">
        <f t="shared" si="102"/>
        <v>0</v>
      </c>
    </row>
    <row r="514" spans="1:14" ht="15" hidden="1" customHeight="1">
      <c r="B514" s="1037">
        <f>SUBTOTAL(3,$I$310:I514)</f>
        <v>15</v>
      </c>
      <c r="C514" s="627" t="str">
        <f ca="1">ПВХ_мембрана</f>
        <v>ПВХ мембрана LOGICROOF V-RP (1.2 мм)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4"/>
        <v>0</v>
      </c>
      <c r="N514" s="1032">
        <f t="shared" si="102"/>
        <v>0</v>
      </c>
    </row>
    <row r="515" spans="1:14" ht="15" hidden="1" customHeight="1">
      <c r="B515" s="1037">
        <f>SUBTOTAL(3,$I$310:I515)</f>
        <v>15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4"/>
        <v>0</v>
      </c>
      <c r="N515" s="1032">
        <f t="shared" si="102"/>
        <v>0</v>
      </c>
    </row>
    <row r="516" spans="1:14" ht="15" hidden="1" customHeight="1">
      <c r="B516" s="1037">
        <f>SUBTOTAL(3,$I$310:I516)</f>
        <v>15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4"/>
        <v>0</v>
      </c>
      <c r="N516" s="1032">
        <f t="shared" si="102"/>
        <v>0</v>
      </c>
    </row>
    <row r="517" spans="1:14" ht="15" hidden="1" customHeight="1">
      <c r="B517" s="1037">
        <f>SUBTOTAL(3,$I$310:I517)</f>
        <v>15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4"/>
        <v>0</v>
      </c>
      <c r="N517" s="1032">
        <f t="shared" si="102"/>
        <v>0</v>
      </c>
    </row>
    <row r="518" spans="1:14" ht="15" hidden="1" customHeight="1">
      <c r="B518" s="1037">
        <f>SUBTOTAL(3,$I$310:I518)</f>
        <v>15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4"/>
        <v>0</v>
      </c>
      <c r="N518" s="1032">
        <f t="shared" si="102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1. Общая длина примыкания- 5,9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1</v>
      </c>
    </row>
    <row r="520" spans="1:14" ht="15" customHeight="1">
      <c r="B520" s="1013">
        <f>SUBTOTAL(3,$I$310:I520)</f>
        <v>16</v>
      </c>
      <c r="C520" s="627" t="s">
        <v>207</v>
      </c>
      <c r="D520" s="627"/>
      <c r="E520" s="627"/>
      <c r="F520" s="627"/>
      <c r="G520" s="627" t="str">
        <f t="shared" ref="G520:G525" si="105">" "</f>
        <v xml:space="preserve"> </v>
      </c>
      <c r="H520" s="608">
        <v>5</v>
      </c>
      <c r="I520" s="611">
        <f>IFERROR($Z$101*H520,0)</f>
        <v>29.5</v>
      </c>
      <c r="J520" s="1013" t="s">
        <v>151</v>
      </c>
      <c r="K520" s="610"/>
      <c r="L520" s="610">
        <f>IFERROR(I520*K520,0)</f>
        <v>0</v>
      </c>
      <c r="N520" s="1032">
        <f t="shared" ref="N520:N533" si="106">IF(I520&gt;0,1,0)</f>
        <v>1</v>
      </c>
    </row>
    <row r="521" spans="1:14" ht="15" hidden="1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6"/>
        <v>0</v>
      </c>
    </row>
    <row r="522" spans="1:14" ht="15" hidden="1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7">IFERROR(I522*K522,0)</f>
        <v>0</v>
      </c>
      <c r="N522" s="1032">
        <f t="shared" si="106"/>
        <v>0</v>
      </c>
    </row>
    <row r="523" spans="1:14" ht="15" hidden="1" customHeight="1">
      <c r="B523" s="1013">
        <f>SUBTOTAL(3,$I$310:I523)</f>
        <v>16</v>
      </c>
      <c r="C523" s="627" t="s">
        <v>559</v>
      </c>
      <c r="D523" s="627"/>
      <c r="E523" s="627"/>
      <c r="F523" s="627"/>
      <c r="G523" s="627" t="str">
        <f t="shared" si="105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7"/>
        <v>0</v>
      </c>
      <c r="N523" s="1032">
        <f t="shared" si="106"/>
        <v>0</v>
      </c>
    </row>
    <row r="524" spans="1:14" ht="15" customHeight="1">
      <c r="B524" s="1013">
        <f>SUBTOTAL(3,$I$310:I524)</f>
        <v>17</v>
      </c>
      <c r="C524" s="627" t="s">
        <v>189</v>
      </c>
      <c r="D524" s="627"/>
      <c r="E524" s="627"/>
      <c r="F524" s="627"/>
      <c r="G524" s="627" t="str">
        <f t="shared" si="105"/>
        <v xml:space="preserve"> </v>
      </c>
      <c r="H524" s="608">
        <v>5</v>
      </c>
      <c r="I524" s="611">
        <f>IFERROR($AC$101,0)</f>
        <v>31</v>
      </c>
      <c r="J524" s="1013" t="s">
        <v>151</v>
      </c>
      <c r="K524" s="610"/>
      <c r="L524" s="610">
        <f t="shared" si="107"/>
        <v>0</v>
      </c>
      <c r="N524" s="1032">
        <f t="shared" si="106"/>
        <v>1</v>
      </c>
    </row>
    <row r="525" spans="1:14" ht="15" customHeight="1">
      <c r="B525" s="1013">
        <f>SUBTOTAL(3,$I$310:I525)</f>
        <v>18</v>
      </c>
      <c r="C525" s="627" t="s">
        <v>1459</v>
      </c>
      <c r="D525" s="627"/>
      <c r="E525" s="627"/>
      <c r="F525" s="627"/>
      <c r="G525" s="627" t="str">
        <f t="shared" si="105"/>
        <v xml:space="preserve"> </v>
      </c>
      <c r="H525" s="608">
        <v>5</v>
      </c>
      <c r="I525" s="611">
        <f>IFERROR(ROUNDUP($AB$101*H525*1.03,0),0)</f>
        <v>31</v>
      </c>
      <c r="J525" s="1013" t="s">
        <v>151</v>
      </c>
      <c r="K525" s="610"/>
      <c r="L525" s="610">
        <f t="shared" si="107"/>
        <v>0</v>
      </c>
      <c r="N525" s="1032">
        <f t="shared" si="106"/>
        <v>1</v>
      </c>
    </row>
    <row r="526" spans="1:14" ht="15" hidden="1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7"/>
        <v>0</v>
      </c>
      <c r="N526" s="1032">
        <f t="shared" si="106"/>
        <v>0</v>
      </c>
    </row>
    <row r="527" spans="1:14" ht="15" hidden="1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7"/>
        <v>0</v>
      </c>
      <c r="N527" s="1032">
        <f t="shared" si="106"/>
        <v>0</v>
      </c>
    </row>
    <row r="528" spans="1:14" ht="15" customHeight="1">
      <c r="B528" s="1013">
        <f>SUBTOTAL(3,$I$310:I528)</f>
        <v>19</v>
      </c>
      <c r="C528" s="627" t="s">
        <v>208</v>
      </c>
      <c r="D528" s="627"/>
      <c r="E528" s="627"/>
      <c r="F528" s="627">
        <f>$S$101</f>
        <v>5.9</v>
      </c>
      <c r="G528" s="627" t="s">
        <v>240</v>
      </c>
      <c r="H528" s="608">
        <v>1.05</v>
      </c>
      <c r="I528" s="614">
        <f>ROUNDUP(F528*H528*0.33,2)</f>
        <v>2.0499999999999998</v>
      </c>
      <c r="J528" s="1013" t="s">
        <v>112</v>
      </c>
      <c r="K528" s="610"/>
      <c r="L528" s="610">
        <f t="shared" si="107"/>
        <v>0</v>
      </c>
      <c r="N528" s="1032">
        <f t="shared" si="106"/>
        <v>1</v>
      </c>
    </row>
    <row r="529" spans="2:14" ht="15" customHeight="1">
      <c r="B529" s="1037">
        <f>SUBTOTAL(3,$I$310:I529)</f>
        <v>20</v>
      </c>
      <c r="C529" s="627" t="str">
        <f ca="1">ПВХ_мембрана</f>
        <v>ПВХ мембрана LOGICROOF V-RP (1.2 мм)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3</v>
      </c>
      <c r="J529" s="1013" t="s">
        <v>112</v>
      </c>
      <c r="K529" s="610"/>
      <c r="L529" s="610">
        <f t="shared" si="107"/>
        <v>0</v>
      </c>
      <c r="N529" s="1032">
        <f t="shared" si="106"/>
        <v>1</v>
      </c>
    </row>
    <row r="530" spans="2:14" ht="15" hidden="1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7"/>
        <v>0</v>
      </c>
      <c r="N530" s="1032">
        <f t="shared" si="106"/>
        <v>0</v>
      </c>
    </row>
    <row r="531" spans="2:14" ht="15" hidden="1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7"/>
        <v>0</v>
      </c>
      <c r="N531" s="1032">
        <f t="shared" si="106"/>
        <v>0</v>
      </c>
    </row>
    <row r="532" spans="2:14" ht="15" hidden="1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7"/>
        <v>0</v>
      </c>
      <c r="N532" s="1032">
        <f t="shared" si="106"/>
        <v>0</v>
      </c>
    </row>
    <row r="533" spans="2:14" ht="15" hidden="1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7"/>
        <v>0</v>
      </c>
      <c r="N533" s="1032">
        <f t="shared" si="106"/>
        <v>0</v>
      </c>
    </row>
    <row r="534" spans="2:14" ht="30" hidden="1" customHeight="1">
      <c r="B534" s="691"/>
      <c r="C534" s="1183" t="str">
        <f>CONCATENATE($P$103,$AE$9,$Q$106,$AF$9)</f>
        <v>НАЗВАНИЕ ПАРАПЕТА.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hidden="1" customHeight="1">
      <c r="B535" s="1013">
        <f>SUBTOTAL(3,$I$310:I535)</f>
        <v>20</v>
      </c>
      <c r="C535" s="627" t="s">
        <v>207</v>
      </c>
      <c r="D535" s="627"/>
      <c r="E535" s="627"/>
      <c r="F535" s="627"/>
      <c r="G535" s="627" t="str">
        <f t="shared" ref="G535:G542" si="108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9">IF(I535&gt;0,1,0)</f>
        <v>0</v>
      </c>
    </row>
    <row r="536" spans="2:14" ht="15" hidden="1" customHeight="1">
      <c r="B536" s="1013">
        <f>SUBTOTAL(3,$I$310:I536)</f>
        <v>20</v>
      </c>
      <c r="C536" s="626" t="str">
        <f>IF(ТИП1!ПЛ&lt;1000,"Рейка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8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9"/>
        <v>0</v>
      </c>
    </row>
    <row r="537" spans="2:14" ht="15" hidden="1" customHeight="1">
      <c r="B537" s="1013">
        <f>SUBTOTAL(3,$I$310:I537)</f>
        <v>20</v>
      </c>
      <c r="C537" s="626" t="str">
        <f>IF(ТИП1!ПЛ&lt;1000,"Рейка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8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10">IFERROR(I537*K537,0)</f>
        <v>0</v>
      </c>
      <c r="N537" s="1032">
        <f t="shared" si="109"/>
        <v>0</v>
      </c>
    </row>
    <row r="538" spans="2:14" ht="15" hidden="1" customHeight="1">
      <c r="B538" s="1013">
        <f>SUBTOTAL(3,$I$310:I538)</f>
        <v>20</v>
      </c>
      <c r="C538" s="627" t="s">
        <v>559</v>
      </c>
      <c r="D538" s="627"/>
      <c r="E538" s="627"/>
      <c r="F538" s="627"/>
      <c r="G538" s="627" t="str">
        <f t="shared" si="108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10"/>
        <v>0</v>
      </c>
      <c r="N538" s="1032">
        <f t="shared" si="109"/>
        <v>0</v>
      </c>
    </row>
    <row r="539" spans="2:14" ht="15" hidden="1" customHeight="1">
      <c r="B539" s="1013">
        <f>SUBTOTAL(3,$I$310:I539)</f>
        <v>20</v>
      </c>
      <c r="C539" s="627" t="s">
        <v>189</v>
      </c>
      <c r="D539" s="627"/>
      <c r="E539" s="627"/>
      <c r="F539" s="627"/>
      <c r="G539" s="627" t="str">
        <f t="shared" si="108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10"/>
        <v>0</v>
      </c>
      <c r="N539" s="1032">
        <f t="shared" si="109"/>
        <v>0</v>
      </c>
    </row>
    <row r="540" spans="2:14" ht="15" hidden="1" customHeight="1">
      <c r="B540" s="1013">
        <f>SUBTOTAL(3,$I$310:I540)</f>
        <v>20</v>
      </c>
      <c r="C540" s="627" t="s">
        <v>1459</v>
      </c>
      <c r="D540" s="627"/>
      <c r="E540" s="627"/>
      <c r="F540" s="627"/>
      <c r="G540" s="627" t="str">
        <f t="shared" si="108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10"/>
        <v>0</v>
      </c>
      <c r="N540" s="1032">
        <f t="shared" si="109"/>
        <v>0</v>
      </c>
    </row>
    <row r="541" spans="2:14" ht="15" hidden="1" customHeight="1">
      <c r="B541" s="1013">
        <f>SUBTOTAL(3,$I$310:I541)</f>
        <v>20</v>
      </c>
      <c r="C541" s="627" t="s">
        <v>192</v>
      </c>
      <c r="D541" s="627"/>
      <c r="E541" s="627"/>
      <c r="F541" s="627"/>
      <c r="G541" s="627" t="str">
        <f t="shared" si="108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10"/>
        <v>0</v>
      </c>
      <c r="N541" s="1032">
        <f t="shared" si="109"/>
        <v>0</v>
      </c>
    </row>
    <row r="542" spans="2:14" ht="15" hidden="1" customHeight="1">
      <c r="B542" s="1013">
        <f>SUBTOTAL(3,$I$310:I542)</f>
        <v>20</v>
      </c>
      <c r="C542" s="627" t="s">
        <v>936</v>
      </c>
      <c r="D542" s="627"/>
      <c r="E542" s="627"/>
      <c r="F542" s="627"/>
      <c r="G542" s="627" t="str">
        <f t="shared" si="108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10"/>
        <v>0</v>
      </c>
      <c r="N542" s="1032">
        <f t="shared" si="109"/>
        <v>0</v>
      </c>
    </row>
    <row r="543" spans="2:14" ht="15" hidden="1" customHeight="1">
      <c r="B543" s="1013">
        <f>SUBTOTAL(3,$I$310:I543)</f>
        <v>20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10"/>
        <v>0</v>
      </c>
      <c r="N543" s="1032">
        <f t="shared" si="109"/>
        <v>0</v>
      </c>
    </row>
    <row r="544" spans="2:14" ht="15" hidden="1" customHeight="1">
      <c r="B544" s="1037">
        <f>SUBTOTAL(3,$I$310:I544)</f>
        <v>20</v>
      </c>
      <c r="C544" s="627" t="str">
        <f ca="1">ПВХ_мембрана</f>
        <v>ПВХ мембрана LOGICROOF V-RP (1.2 мм)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10"/>
        <v>0</v>
      </c>
      <c r="N544" s="1032">
        <f t="shared" si="109"/>
        <v>0</v>
      </c>
    </row>
    <row r="545" spans="2:14" ht="15" hidden="1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10"/>
        <v>0</v>
      </c>
      <c r="N545" s="1032">
        <f t="shared" si="109"/>
        <v>0</v>
      </c>
    </row>
    <row r="546" spans="2:14" ht="15" hidden="1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10"/>
        <v>0</v>
      </c>
      <c r="N546" s="1032">
        <f t="shared" si="109"/>
        <v>0</v>
      </c>
    </row>
    <row r="547" spans="2:14" ht="15" hidden="1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10"/>
        <v>0</v>
      </c>
      <c r="N547" s="1032">
        <f t="shared" si="109"/>
        <v>0</v>
      </c>
    </row>
    <row r="548" spans="2:14" ht="15" hidden="1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10"/>
        <v>0</v>
      </c>
      <c r="N548" s="1032">
        <f t="shared" si="109"/>
        <v>0</v>
      </c>
    </row>
    <row r="549" spans="2:14" ht="30" hidden="1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hidden="1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11">IF(I550&gt;0,1,0)</f>
        <v>0</v>
      </c>
    </row>
    <row r="551" spans="2:14" ht="15" hidden="1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11"/>
        <v>0</v>
      </c>
    </row>
    <row r="552" spans="2:14" ht="15" hidden="1" customHeight="1">
      <c r="B552" s="1013">
        <f>SUBTOTAL(3,$I$310:I552)</f>
        <v>20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2">IFERROR(I552*K552,0)</f>
        <v>0</v>
      </c>
      <c r="N552" s="1032">
        <f t="shared" si="111"/>
        <v>0</v>
      </c>
    </row>
    <row r="553" spans="2:14" ht="15" hidden="1" customHeight="1">
      <c r="B553" s="1013">
        <f>SUBTOTAL(3,$I$310:I553)</f>
        <v>20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2"/>
        <v>0</v>
      </c>
      <c r="N553" s="1032">
        <f t="shared" si="111"/>
        <v>0</v>
      </c>
    </row>
    <row r="554" spans="2:14" ht="15" hidden="1" customHeight="1">
      <c r="B554" s="1013">
        <f>SUBTOTAL(3,$I$310:I554)</f>
        <v>20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2"/>
        <v>0</v>
      </c>
      <c r="N554" s="1032">
        <f t="shared" si="111"/>
        <v>0</v>
      </c>
    </row>
    <row r="555" spans="2:14" ht="15" hidden="1" customHeight="1">
      <c r="B555" s="1013">
        <f>SUBTOTAL(3,$I$310:I555)</f>
        <v>20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2"/>
        <v>0</v>
      </c>
      <c r="N555" s="1032">
        <f t="shared" si="111"/>
        <v>0</v>
      </c>
    </row>
    <row r="556" spans="2:14" ht="15" hidden="1" customHeight="1">
      <c r="B556" s="1013">
        <f>SUBTOTAL(3,$I$310:I556)</f>
        <v>20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2"/>
        <v>0</v>
      </c>
      <c r="N556" s="1032">
        <f t="shared" si="111"/>
        <v>0</v>
      </c>
    </row>
    <row r="557" spans="2:14" ht="15" hidden="1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2"/>
        <v>0</v>
      </c>
      <c r="N557" s="1032">
        <f t="shared" si="111"/>
        <v>0</v>
      </c>
    </row>
    <row r="558" spans="2:14" ht="15" hidden="1" customHeight="1">
      <c r="B558" s="1013">
        <f>SUBTOTAL(3,$I$310:I558)</f>
        <v>20</v>
      </c>
      <c r="C558" s="627" t="e">
        <f ca="1"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2"/>
        <v>0</v>
      </c>
      <c r="N558" s="1032">
        <f t="shared" si="111"/>
        <v>0</v>
      </c>
    </row>
    <row r="559" spans="2:14" ht="15" hidden="1" customHeight="1">
      <c r="B559" s="1013">
        <f>SUBTOTAL(3,$I$310:I559)</f>
        <v>20</v>
      </c>
      <c r="C559" s="627" t="e">
        <f ca="1"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2"/>
        <v>0</v>
      </c>
      <c r="N559" s="1032">
        <f t="shared" si="111"/>
        <v>0</v>
      </c>
    </row>
    <row r="560" spans="2:14" ht="15" hidden="1" customHeight="1">
      <c r="B560" s="1013">
        <f>SUBTOTAL(3,$I$310:I560)</f>
        <v>20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2"/>
        <v>0</v>
      </c>
      <c r="N560" s="1032">
        <f t="shared" si="111"/>
        <v>0</v>
      </c>
    </row>
    <row r="561" spans="2:14" ht="15" hidden="1" customHeight="1">
      <c r="B561" s="1013">
        <f>SUBTOTAL(3,$I$310:I561)</f>
        <v>20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2"/>
        <v>0</v>
      </c>
      <c r="N561" s="1032">
        <f t="shared" si="111"/>
        <v>0</v>
      </c>
    </row>
    <row r="562" spans="2:14" ht="15" hidden="1" customHeight="1">
      <c r="B562" s="1013">
        <f>SUBTOTAL(3,$I$310:I562)</f>
        <v>20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2"/>
        <v>0</v>
      </c>
      <c r="N562" s="1032">
        <f t="shared" si="111"/>
        <v>0</v>
      </c>
    </row>
    <row r="563" spans="2:14" ht="15" hidden="1" customHeight="1">
      <c r="B563" s="1013">
        <f>SUBTOTAL(3,$I$310:I563)</f>
        <v>20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2"/>
        <v>0</v>
      </c>
      <c r="N563" s="1032">
        <f t="shared" si="111"/>
        <v>0</v>
      </c>
    </row>
    <row r="564" spans="2:14" ht="30" hidden="1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hidden="1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3">IF(I565&gt;0,1,0)</f>
        <v>0</v>
      </c>
    </row>
    <row r="566" spans="2:14" ht="15" hidden="1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3"/>
        <v>0</v>
      </c>
    </row>
    <row r="567" spans="2:14" ht="15" hidden="1" customHeight="1">
      <c r="B567" s="1013">
        <f>SUBTOTAL(3,$I$310:I567)</f>
        <v>20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4">IFERROR(I567*K567,0)</f>
        <v>0</v>
      </c>
      <c r="N567" s="1032">
        <f t="shared" si="113"/>
        <v>0</v>
      </c>
    </row>
    <row r="568" spans="2:14" ht="15" hidden="1" customHeight="1">
      <c r="B568" s="1013">
        <f>SUBTOTAL(3,$I$310:I568)</f>
        <v>20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4"/>
        <v>0</v>
      </c>
      <c r="N568" s="1032">
        <f t="shared" si="113"/>
        <v>0</v>
      </c>
    </row>
    <row r="569" spans="2:14" ht="15" hidden="1" customHeight="1">
      <c r="B569" s="1013">
        <f>SUBTOTAL(3,$I$310:I569)</f>
        <v>20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4"/>
        <v>0</v>
      </c>
      <c r="N569" s="1032">
        <f t="shared" si="113"/>
        <v>0</v>
      </c>
    </row>
    <row r="570" spans="2:14" ht="15" hidden="1" customHeight="1">
      <c r="B570" s="1013">
        <f>SUBTOTAL(3,$I$310:I570)</f>
        <v>20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4"/>
        <v>0</v>
      </c>
      <c r="N570" s="1032">
        <f t="shared" si="113"/>
        <v>0</v>
      </c>
    </row>
    <row r="571" spans="2:14" ht="15" hidden="1" customHeight="1">
      <c r="B571" s="1013">
        <f>SUBTOTAL(3,$I$310:I571)</f>
        <v>20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4"/>
        <v>0</v>
      </c>
      <c r="N571" s="1032">
        <f t="shared" si="113"/>
        <v>0</v>
      </c>
    </row>
    <row r="572" spans="2:14" ht="15" hidden="1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4"/>
        <v>0</v>
      </c>
      <c r="N572" s="1032">
        <f t="shared" si="113"/>
        <v>0</v>
      </c>
    </row>
    <row r="573" spans="2:14" ht="15" hidden="1" customHeight="1">
      <c r="B573" s="1013">
        <f>SUBTOTAL(3,$I$310:I573)</f>
        <v>20</v>
      </c>
      <c r="C573" s="627" t="e">
        <f ca="1"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4"/>
        <v>0</v>
      </c>
      <c r="N573" s="1032">
        <f t="shared" si="113"/>
        <v>0</v>
      </c>
    </row>
    <row r="574" spans="2:14" ht="15" hidden="1" customHeight="1">
      <c r="B574" s="1013">
        <f>SUBTOTAL(3,$I$310:I574)</f>
        <v>20</v>
      </c>
      <c r="C574" s="627" t="e">
        <f ca="1"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4"/>
        <v>0</v>
      </c>
      <c r="N574" s="1032">
        <f t="shared" si="113"/>
        <v>0</v>
      </c>
    </row>
    <row r="575" spans="2:14" ht="15" hidden="1" customHeight="1">
      <c r="B575" s="1013">
        <f>SUBTOTAL(3,$I$310:I575)</f>
        <v>20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4"/>
        <v>0</v>
      </c>
      <c r="N575" s="1032">
        <f t="shared" si="113"/>
        <v>0</v>
      </c>
    </row>
    <row r="576" spans="2:14" ht="15" hidden="1" customHeight="1">
      <c r="B576" s="1013">
        <f>SUBTOTAL(3,$I$310:I576)</f>
        <v>20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4"/>
        <v>0</v>
      </c>
      <c r="N576" s="1032">
        <f t="shared" si="113"/>
        <v>0</v>
      </c>
    </row>
    <row r="577" spans="2:14" ht="15" hidden="1" customHeight="1">
      <c r="B577" s="1013">
        <f>SUBTOTAL(3,$I$310:I577)</f>
        <v>20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4"/>
        <v>0</v>
      </c>
      <c r="N577" s="1032">
        <f t="shared" si="113"/>
        <v>0</v>
      </c>
    </row>
    <row r="578" spans="2:14" ht="15" hidden="1" customHeight="1">
      <c r="B578" s="1013">
        <f>SUBTOTAL(3,$I$310:I578)</f>
        <v>20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4"/>
        <v>0</v>
      </c>
      <c r="N578" s="1032">
        <f t="shared" si="113"/>
        <v>0</v>
      </c>
    </row>
    <row r="579" spans="2:14" ht="30" hidden="1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hidden="1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5">IF(I580&gt;0,1,0)</f>
        <v>0</v>
      </c>
    </row>
    <row r="581" spans="2:14" ht="15" hidden="1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5"/>
        <v>0</v>
      </c>
    </row>
    <row r="582" spans="2:14" ht="15" hidden="1" customHeight="1">
      <c r="B582" s="1013">
        <f>SUBTOTAL(3,$I$310:I582)</f>
        <v>20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6">IFERROR(I582*K582,0)</f>
        <v>0</v>
      </c>
      <c r="N582" s="1032">
        <f t="shared" si="115"/>
        <v>0</v>
      </c>
    </row>
    <row r="583" spans="2:14" ht="15" hidden="1" customHeight="1">
      <c r="B583" s="1013">
        <f>SUBTOTAL(3,$I$310:I583)</f>
        <v>20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6"/>
        <v>0</v>
      </c>
      <c r="N583" s="1032">
        <f t="shared" si="115"/>
        <v>0</v>
      </c>
    </row>
    <row r="584" spans="2:14" ht="15" hidden="1" customHeight="1">
      <c r="B584" s="1013">
        <f>SUBTOTAL(3,$I$310:I584)</f>
        <v>20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6"/>
        <v>0</v>
      </c>
      <c r="N584" s="1032">
        <f t="shared" si="115"/>
        <v>0</v>
      </c>
    </row>
    <row r="585" spans="2:14" ht="15" hidden="1" customHeight="1">
      <c r="B585" s="1013">
        <f>SUBTOTAL(3,$I$310:I585)</f>
        <v>20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6"/>
        <v>0</v>
      </c>
      <c r="N585" s="1032">
        <f t="shared" si="115"/>
        <v>0</v>
      </c>
    </row>
    <row r="586" spans="2:14" ht="15" hidden="1" customHeight="1">
      <c r="B586" s="1013">
        <f>SUBTOTAL(3,$I$310:I586)</f>
        <v>20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6"/>
        <v>0</v>
      </c>
      <c r="N586" s="1032">
        <f t="shared" si="115"/>
        <v>0</v>
      </c>
    </row>
    <row r="587" spans="2:14" ht="15" hidden="1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6"/>
        <v>0</v>
      </c>
      <c r="N587" s="1032">
        <f t="shared" si="115"/>
        <v>0</v>
      </c>
    </row>
    <row r="588" spans="2:14" ht="15" hidden="1" customHeight="1">
      <c r="B588" s="1013">
        <f>SUBTOTAL(3,$I$310:I588)</f>
        <v>20</v>
      </c>
      <c r="C588" s="627" t="e">
        <f ca="1"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6"/>
        <v>0</v>
      </c>
      <c r="N588" s="1032">
        <f t="shared" si="115"/>
        <v>0</v>
      </c>
    </row>
    <row r="589" spans="2:14" ht="15" hidden="1" customHeight="1">
      <c r="B589" s="1013">
        <f>SUBTOTAL(3,$I$310:I589)</f>
        <v>20</v>
      </c>
      <c r="C589" s="627" t="e">
        <f ca="1"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6"/>
        <v>0</v>
      </c>
      <c r="N589" s="1032">
        <f t="shared" si="115"/>
        <v>0</v>
      </c>
    </row>
    <row r="590" spans="2:14" ht="15" hidden="1" customHeight="1">
      <c r="B590" s="1013">
        <f>SUBTOTAL(3,$I$310:I590)</f>
        <v>20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6"/>
        <v>0</v>
      </c>
      <c r="N590" s="1032">
        <f t="shared" si="115"/>
        <v>0</v>
      </c>
    </row>
    <row r="591" spans="2:14" ht="15" hidden="1" customHeight="1">
      <c r="B591" s="1013">
        <f>SUBTOTAL(3,$I$310:I591)</f>
        <v>20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6"/>
        <v>0</v>
      </c>
      <c r="N591" s="1032">
        <f t="shared" si="115"/>
        <v>0</v>
      </c>
    </row>
    <row r="592" spans="2:14" ht="15" hidden="1" customHeight="1">
      <c r="B592" s="1013">
        <f>SUBTOTAL(3,$I$310:I592)</f>
        <v>20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6"/>
        <v>0</v>
      </c>
      <c r="N592" s="1032">
        <f t="shared" si="115"/>
        <v>0</v>
      </c>
    </row>
    <row r="593" spans="2:14" ht="15" hidden="1" customHeight="1">
      <c r="B593" s="1013">
        <f>SUBTOTAL(3,$I$310:I593)</f>
        <v>20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6"/>
        <v>0</v>
      </c>
      <c r="N593" s="1032">
        <f t="shared" si="115"/>
        <v>0</v>
      </c>
    </row>
    <row r="594" spans="2:14" ht="30" hidden="1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hidden="1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7">IF(I595&gt;0,1,0)</f>
        <v>0</v>
      </c>
    </row>
    <row r="596" spans="2:14" ht="15" hidden="1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7"/>
        <v>0</v>
      </c>
    </row>
    <row r="597" spans="2:14" ht="15" hidden="1" customHeight="1">
      <c r="B597" s="1013">
        <f>SUBTOTAL(3,$I$310:I597)</f>
        <v>20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8">IFERROR(I597*K597,0)</f>
        <v>0</v>
      </c>
      <c r="N597" s="1032">
        <f t="shared" si="117"/>
        <v>0</v>
      </c>
    </row>
    <row r="598" spans="2:14" ht="15" hidden="1" customHeight="1">
      <c r="B598" s="1013">
        <f>SUBTOTAL(3,$I$310:I598)</f>
        <v>20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8"/>
        <v>0</v>
      </c>
      <c r="N598" s="1032">
        <f t="shared" si="117"/>
        <v>0</v>
      </c>
    </row>
    <row r="599" spans="2:14" ht="15" hidden="1" customHeight="1">
      <c r="B599" s="1013">
        <f>SUBTOTAL(3,$I$310:I599)</f>
        <v>20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8"/>
        <v>0</v>
      </c>
      <c r="N599" s="1032">
        <f t="shared" si="117"/>
        <v>0</v>
      </c>
    </row>
    <row r="600" spans="2:14" ht="15" hidden="1" customHeight="1">
      <c r="B600" s="1013">
        <f>SUBTOTAL(3,$I$310:I600)</f>
        <v>20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8"/>
        <v>0</v>
      </c>
      <c r="N600" s="1032">
        <f t="shared" si="117"/>
        <v>0</v>
      </c>
    </row>
    <row r="601" spans="2:14" ht="15" hidden="1" customHeight="1">
      <c r="B601" s="1013">
        <f>SUBTOTAL(3,$I$310:I601)</f>
        <v>20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8"/>
        <v>0</v>
      </c>
      <c r="N601" s="1032">
        <f t="shared" si="117"/>
        <v>0</v>
      </c>
    </row>
    <row r="602" spans="2:14" ht="15" hidden="1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8"/>
        <v>0</v>
      </c>
      <c r="N602" s="1032">
        <f t="shared" si="117"/>
        <v>0</v>
      </c>
    </row>
    <row r="603" spans="2:14" ht="15" hidden="1" customHeight="1">
      <c r="B603" s="1013">
        <f>SUBTOTAL(3,$I$310:I603)</f>
        <v>20</v>
      </c>
      <c r="C603" s="627" t="e">
        <f ca="1"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8"/>
        <v>0</v>
      </c>
      <c r="N603" s="1032">
        <f t="shared" si="117"/>
        <v>0</v>
      </c>
    </row>
    <row r="604" spans="2:14" ht="15" hidden="1" customHeight="1">
      <c r="B604" s="1013">
        <f>SUBTOTAL(3,$I$310:I604)</f>
        <v>20</v>
      </c>
      <c r="C604" s="627" t="e">
        <f ca="1"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8"/>
        <v>0</v>
      </c>
      <c r="N604" s="1032">
        <f t="shared" si="117"/>
        <v>0</v>
      </c>
    </row>
    <row r="605" spans="2:14" ht="15" hidden="1" customHeight="1">
      <c r="B605" s="1013">
        <f>SUBTOTAL(3,$I$310:I605)</f>
        <v>20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8"/>
        <v>0</v>
      </c>
      <c r="N605" s="1032">
        <f t="shared" si="117"/>
        <v>0</v>
      </c>
    </row>
    <row r="606" spans="2:14" ht="15" hidden="1" customHeight="1">
      <c r="B606" s="1013">
        <f>SUBTOTAL(3,$I$310:I606)</f>
        <v>20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8"/>
        <v>0</v>
      </c>
      <c r="N606" s="1032">
        <f t="shared" si="117"/>
        <v>0</v>
      </c>
    </row>
    <row r="607" spans="2:14" ht="15" hidden="1" customHeight="1">
      <c r="B607" s="1013">
        <f>SUBTOTAL(3,$I$310:I607)</f>
        <v>20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8"/>
        <v>0</v>
      </c>
      <c r="N607" s="1032">
        <f t="shared" si="117"/>
        <v>0</v>
      </c>
    </row>
    <row r="608" spans="2:14" ht="15" hidden="1" customHeight="1">
      <c r="B608" s="1013">
        <f>SUBTOTAL(3,$I$310:I608)</f>
        <v>20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8"/>
        <v>0</v>
      </c>
      <c r="N608" s="1032">
        <f t="shared" si="117"/>
        <v>0</v>
      </c>
    </row>
    <row r="609" spans="2:14" ht="30" hidden="1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hidden="1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9">IF(I610&gt;0,1,0)</f>
        <v>0</v>
      </c>
    </row>
    <row r="611" spans="2:14" ht="15" hidden="1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9"/>
        <v>0</v>
      </c>
    </row>
    <row r="612" spans="2:14" ht="15" hidden="1" customHeight="1">
      <c r="B612" s="1013">
        <f>SUBTOTAL(3,$I$310:I612)</f>
        <v>20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20">IFERROR(I612*K612,0)</f>
        <v>0</v>
      </c>
      <c r="N612" s="1032">
        <f t="shared" si="119"/>
        <v>0</v>
      </c>
    </row>
    <row r="613" spans="2:14" ht="15" hidden="1" customHeight="1">
      <c r="B613" s="1013">
        <f>SUBTOTAL(3,$I$310:I613)</f>
        <v>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20"/>
        <v>0</v>
      </c>
      <c r="N613" s="1032">
        <f t="shared" si="119"/>
        <v>0</v>
      </c>
    </row>
    <row r="614" spans="2:14" ht="15" hidden="1" customHeight="1">
      <c r="B614" s="1013">
        <f>SUBTOTAL(3,$I$310:I614)</f>
        <v>20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20"/>
        <v>0</v>
      </c>
      <c r="N614" s="1032">
        <f t="shared" si="119"/>
        <v>0</v>
      </c>
    </row>
    <row r="615" spans="2:14" ht="15" hidden="1" customHeight="1">
      <c r="B615" s="1013">
        <f>SUBTOTAL(3,$I$310:I615)</f>
        <v>20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20"/>
        <v>0</v>
      </c>
      <c r="N615" s="1032">
        <f t="shared" si="119"/>
        <v>0</v>
      </c>
    </row>
    <row r="616" spans="2:14" ht="15" hidden="1" customHeight="1">
      <c r="B616" s="1013">
        <f>SUBTOTAL(3,$I$310:I616)</f>
        <v>20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20"/>
        <v>0</v>
      </c>
      <c r="N616" s="1032">
        <f t="shared" si="119"/>
        <v>0</v>
      </c>
    </row>
    <row r="617" spans="2:14" ht="15" hidden="1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20"/>
        <v>0</v>
      </c>
      <c r="N617" s="1032">
        <f t="shared" si="119"/>
        <v>0</v>
      </c>
    </row>
    <row r="618" spans="2:14" ht="15" hidden="1" customHeight="1">
      <c r="B618" s="1013">
        <f>SUBTOTAL(3,$I$310:I618)</f>
        <v>20</v>
      </c>
      <c r="C618" s="627" t="e">
        <f ca="1"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20"/>
        <v>0</v>
      </c>
      <c r="N618" s="1032">
        <f t="shared" si="119"/>
        <v>0</v>
      </c>
    </row>
    <row r="619" spans="2:14" ht="15" hidden="1" customHeight="1">
      <c r="B619" s="1013">
        <f>SUBTOTAL(3,$I$310:I619)</f>
        <v>20</v>
      </c>
      <c r="C619" s="627" t="e">
        <f ca="1"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20"/>
        <v>0</v>
      </c>
      <c r="N619" s="1032">
        <f t="shared" si="119"/>
        <v>0</v>
      </c>
    </row>
    <row r="620" spans="2:14" ht="15" hidden="1" customHeight="1">
      <c r="B620" s="1013">
        <f>SUBTOTAL(3,$I$310:I620)</f>
        <v>20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20"/>
        <v>0</v>
      </c>
      <c r="N620" s="1032">
        <f t="shared" si="119"/>
        <v>0</v>
      </c>
    </row>
    <row r="621" spans="2:14" ht="15" hidden="1" customHeight="1">
      <c r="B621" s="1013">
        <f>SUBTOTAL(3,$I$310:I621)</f>
        <v>20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20"/>
        <v>0</v>
      </c>
      <c r="N621" s="1032">
        <f t="shared" si="119"/>
        <v>0</v>
      </c>
    </row>
    <row r="622" spans="2:14" ht="15" hidden="1" customHeight="1">
      <c r="B622" s="1013">
        <f>SUBTOTAL(3,$I$310:I622)</f>
        <v>20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20"/>
        <v>0</v>
      </c>
      <c r="N622" s="1032">
        <f t="shared" si="119"/>
        <v>0</v>
      </c>
    </row>
    <row r="623" spans="2:14" ht="15" hidden="1" customHeight="1">
      <c r="B623" s="1013">
        <f>SUBTOTAL(3,$I$310:I623)</f>
        <v>20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20"/>
        <v>0</v>
      </c>
      <c r="N623" s="1032">
        <f t="shared" si="119"/>
        <v>0</v>
      </c>
    </row>
    <row r="624" spans="2:14" ht="30" hidden="1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hidden="1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21">IF(I625&gt;0,1,0)</f>
        <v>0</v>
      </c>
    </row>
    <row r="626" spans="2:16" ht="15" hidden="1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21"/>
        <v>0</v>
      </c>
    </row>
    <row r="627" spans="2:16" ht="15" hidden="1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2">IFERROR(I627*K627,0)</f>
        <v>0</v>
      </c>
      <c r="N627" s="1032">
        <f t="shared" si="121"/>
        <v>0</v>
      </c>
    </row>
    <row r="628" spans="2:16" ht="15" hidden="1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2"/>
        <v>0</v>
      </c>
      <c r="N628" s="1032">
        <f t="shared" si="121"/>
        <v>0</v>
      </c>
    </row>
    <row r="629" spans="2:16" ht="15" hidden="1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2"/>
        <v>0</v>
      </c>
      <c r="N629" s="1032">
        <f t="shared" si="121"/>
        <v>0</v>
      </c>
    </row>
    <row r="630" spans="2:16" ht="15" hidden="1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2"/>
        <v>0</v>
      </c>
      <c r="N630" s="1032">
        <f t="shared" si="121"/>
        <v>0</v>
      </c>
    </row>
    <row r="631" spans="2:16" ht="15" hidden="1" customHeight="1">
      <c r="B631" s="1013">
        <f>SUBTOTAL(3,$I$310:I631)</f>
        <v>20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2"/>
        <v>0</v>
      </c>
      <c r="N631" s="1032">
        <f t="shared" si="121"/>
        <v>0</v>
      </c>
      <c r="P631" s="384"/>
    </row>
    <row r="632" spans="2:16" ht="15" hidden="1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2"/>
        <v>0</v>
      </c>
      <c r="N632" s="1032">
        <f t="shared" si="121"/>
        <v>0</v>
      </c>
    </row>
    <row r="633" spans="2:16" ht="15" hidden="1" customHeight="1">
      <c r="B633" s="1013">
        <f>SUBTOTAL(3,$I$310:I633)</f>
        <v>20</v>
      </c>
      <c r="C633" s="627" t="e">
        <f ca="1"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2"/>
        <v>0</v>
      </c>
      <c r="N633" s="1032">
        <f t="shared" si="121"/>
        <v>0</v>
      </c>
    </row>
    <row r="634" spans="2:16" ht="15" hidden="1" customHeight="1">
      <c r="B634" s="1013">
        <f>SUBTOTAL(3,$I$310:I634)</f>
        <v>20</v>
      </c>
      <c r="C634" s="627" t="e">
        <f ca="1"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2"/>
        <v>0</v>
      </c>
      <c r="N634" s="1032">
        <f t="shared" si="121"/>
        <v>0</v>
      </c>
    </row>
    <row r="635" spans="2:16" ht="15" hidden="1" customHeight="1">
      <c r="B635" s="1013">
        <f>SUBTOTAL(3,$I$310:I635)</f>
        <v>20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2"/>
        <v>0</v>
      </c>
      <c r="N635" s="1032">
        <f t="shared" si="121"/>
        <v>0</v>
      </c>
    </row>
    <row r="636" spans="2:16" ht="15" hidden="1" customHeight="1">
      <c r="B636" s="1013">
        <f>SUBTOTAL(3,$I$310:I636)</f>
        <v>20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2"/>
        <v>0</v>
      </c>
      <c r="N636" s="1032">
        <f t="shared" si="121"/>
        <v>0</v>
      </c>
    </row>
    <row r="637" spans="2:16" ht="15" hidden="1" customHeight="1">
      <c r="B637" s="1013">
        <f>SUBTOTAL(3,$I$310:I637)</f>
        <v>20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2"/>
        <v>0</v>
      </c>
      <c r="N637" s="1032">
        <f t="shared" si="121"/>
        <v>0</v>
      </c>
    </row>
    <row r="638" spans="2:16" ht="15" hidden="1" customHeight="1">
      <c r="B638" s="1013">
        <f>SUBTOTAL(3,$I$310:I638)</f>
        <v>20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2"/>
        <v>0</v>
      </c>
      <c r="N638" s="1032">
        <f t="shared" si="121"/>
        <v>0</v>
      </c>
    </row>
    <row r="639" spans="2:16" ht="30" hidden="1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hidden="1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3">IF(I640&gt;0,1,0)</f>
        <v>0</v>
      </c>
    </row>
    <row r="641" spans="2:14" ht="15" hidden="1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3"/>
        <v>0</v>
      </c>
    </row>
    <row r="642" spans="2:14" ht="15" hidden="1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4">IFERROR(I642*K642,0)</f>
        <v>0</v>
      </c>
      <c r="N642" s="1032">
        <f t="shared" si="123"/>
        <v>0</v>
      </c>
    </row>
    <row r="643" spans="2:14" ht="15" hidden="1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4"/>
        <v>0</v>
      </c>
      <c r="N643" s="1032">
        <f t="shared" si="123"/>
        <v>0</v>
      </c>
    </row>
    <row r="644" spans="2:14" ht="15" hidden="1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4"/>
        <v>0</v>
      </c>
      <c r="N644" s="1032">
        <f t="shared" si="123"/>
        <v>0</v>
      </c>
    </row>
    <row r="645" spans="2:14" ht="15" hidden="1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4"/>
        <v>0</v>
      </c>
      <c r="N645" s="1032">
        <f t="shared" si="123"/>
        <v>0</v>
      </c>
    </row>
    <row r="646" spans="2:14" ht="15" hidden="1" customHeight="1">
      <c r="B646" s="1013">
        <f>SUBTOTAL(3,$I$310:I646)</f>
        <v>20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4"/>
        <v>0</v>
      </c>
      <c r="N646" s="1032">
        <f t="shared" si="123"/>
        <v>0</v>
      </c>
    </row>
    <row r="647" spans="2:14" ht="15" hidden="1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4"/>
        <v>0</v>
      </c>
      <c r="N647" s="1032">
        <f t="shared" si="123"/>
        <v>0</v>
      </c>
    </row>
    <row r="648" spans="2:14" ht="15" hidden="1" customHeight="1">
      <c r="B648" s="1013">
        <f>SUBTOTAL(3,$I$310:I648)</f>
        <v>20</v>
      </c>
      <c r="C648" s="627" t="e">
        <f ca="1"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4"/>
        <v>0</v>
      </c>
      <c r="N648" s="1032">
        <f t="shared" si="123"/>
        <v>0</v>
      </c>
    </row>
    <row r="649" spans="2:14" ht="15" hidden="1" customHeight="1">
      <c r="B649" s="1013">
        <f>SUBTOTAL(3,$I$310:I649)</f>
        <v>20</v>
      </c>
      <c r="C649" s="627" t="e">
        <f ca="1"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4"/>
        <v>0</v>
      </c>
      <c r="N649" s="1032">
        <f t="shared" si="123"/>
        <v>0</v>
      </c>
    </row>
    <row r="650" spans="2:14" ht="15" hidden="1" customHeight="1">
      <c r="B650" s="1013">
        <f>SUBTOTAL(3,$I$310:I650)</f>
        <v>20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4"/>
        <v>0</v>
      </c>
      <c r="N650" s="1032">
        <f t="shared" si="123"/>
        <v>0</v>
      </c>
    </row>
    <row r="651" spans="2:14" ht="15" hidden="1" customHeight="1">
      <c r="B651" s="1013">
        <f>SUBTOTAL(3,$I$310:I651)</f>
        <v>20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4"/>
        <v>0</v>
      </c>
      <c r="N651" s="1032">
        <f t="shared" si="123"/>
        <v>0</v>
      </c>
    </row>
    <row r="652" spans="2:14" ht="15" hidden="1" customHeight="1">
      <c r="B652" s="1013">
        <f>SUBTOTAL(3,$I$310:I652)</f>
        <v>20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4"/>
        <v>0</v>
      </c>
      <c r="N652" s="1032">
        <f t="shared" si="123"/>
        <v>0</v>
      </c>
    </row>
    <row r="653" spans="2:14" ht="15" hidden="1" customHeight="1">
      <c r="B653" s="1013">
        <f>SUBTOTAL(3,$I$310:I653)</f>
        <v>20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4"/>
        <v>0</v>
      </c>
      <c r="N653" s="1032">
        <f t="shared" si="123"/>
        <v>0</v>
      </c>
    </row>
    <row r="654" spans="2:14" ht="30" hidden="1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hidden="1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5">IF(I655&gt;0,1,0)</f>
        <v>0</v>
      </c>
    </row>
    <row r="656" spans="2:14" ht="15" hidden="1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5"/>
        <v>0</v>
      </c>
    </row>
    <row r="657" spans="2:14" ht="15" hidden="1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6">IFERROR(I657*K657,0)</f>
        <v>0</v>
      </c>
      <c r="N657" s="1032">
        <f t="shared" si="125"/>
        <v>0</v>
      </c>
    </row>
    <row r="658" spans="2:14" ht="15" hidden="1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6"/>
        <v>0</v>
      </c>
      <c r="N658" s="1032">
        <f t="shared" si="125"/>
        <v>0</v>
      </c>
    </row>
    <row r="659" spans="2:14" ht="15" hidden="1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6"/>
        <v>0</v>
      </c>
      <c r="N659" s="1032">
        <f t="shared" si="125"/>
        <v>0</v>
      </c>
    </row>
    <row r="660" spans="2:14" ht="15" hidden="1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6"/>
        <v>0</v>
      </c>
      <c r="N660" s="1032">
        <f t="shared" si="125"/>
        <v>0</v>
      </c>
    </row>
    <row r="661" spans="2:14" ht="15" hidden="1" customHeight="1">
      <c r="B661" s="1013">
        <f>SUBTOTAL(3,$I$310:I661)</f>
        <v>20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6"/>
        <v>0</v>
      </c>
      <c r="N661" s="1032">
        <f t="shared" si="125"/>
        <v>0</v>
      </c>
    </row>
    <row r="662" spans="2:14" ht="15" hidden="1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6"/>
        <v>0</v>
      </c>
      <c r="N662" s="1032">
        <f t="shared" si="125"/>
        <v>0</v>
      </c>
    </row>
    <row r="663" spans="2:14" ht="15" hidden="1" customHeight="1">
      <c r="B663" s="1013">
        <f>SUBTOTAL(3,$I$310:I663)</f>
        <v>20</v>
      </c>
      <c r="C663" s="627" t="e">
        <f ca="1"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6"/>
        <v>0</v>
      </c>
      <c r="N663" s="1032">
        <f t="shared" si="125"/>
        <v>0</v>
      </c>
    </row>
    <row r="664" spans="2:14" ht="15" hidden="1" customHeight="1">
      <c r="B664" s="1013">
        <f>SUBTOTAL(3,$I$310:I664)</f>
        <v>20</v>
      </c>
      <c r="C664" s="627" t="e">
        <f ca="1"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6"/>
        <v>0</v>
      </c>
      <c r="N664" s="1032">
        <f t="shared" si="125"/>
        <v>0</v>
      </c>
    </row>
    <row r="665" spans="2:14" ht="15" hidden="1" customHeight="1">
      <c r="B665" s="1013">
        <f>SUBTOTAL(3,$I$310:I665)</f>
        <v>20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6"/>
        <v>0</v>
      </c>
      <c r="N665" s="1032">
        <f t="shared" si="125"/>
        <v>0</v>
      </c>
    </row>
    <row r="666" spans="2:14" ht="15" hidden="1" customHeight="1">
      <c r="B666" s="1013">
        <f>SUBTOTAL(3,$I$310:I666)</f>
        <v>20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6"/>
        <v>0</v>
      </c>
      <c r="N666" s="1032">
        <f t="shared" si="125"/>
        <v>0</v>
      </c>
    </row>
    <row r="667" spans="2:14" ht="15" hidden="1" customHeight="1">
      <c r="B667" s="1013">
        <f>SUBTOTAL(3,$I$310:I667)</f>
        <v>20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6"/>
        <v>0</v>
      </c>
      <c r="N667" s="1032">
        <f t="shared" si="125"/>
        <v>0</v>
      </c>
    </row>
    <row r="668" spans="2:14" ht="15" hidden="1" customHeight="1">
      <c r="B668" s="1013">
        <f>SUBTOTAL(3,$I$310:I668)</f>
        <v>20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6"/>
        <v>0</v>
      </c>
      <c r="N668" s="1032">
        <f t="shared" si="125"/>
        <v>0</v>
      </c>
    </row>
    <row r="669" spans="2:14" ht="30" hidden="1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hidden="1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7">IF(I670&gt;0,1,0)</f>
        <v>0</v>
      </c>
    </row>
    <row r="671" spans="2:14" ht="15" hidden="1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7"/>
        <v>0</v>
      </c>
    </row>
    <row r="672" spans="2:14" ht="15" hidden="1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8">IFERROR(I672*K672,0)</f>
        <v>0</v>
      </c>
      <c r="N672" s="1032">
        <f t="shared" si="127"/>
        <v>0</v>
      </c>
    </row>
    <row r="673" spans="2:14" ht="15" hidden="1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8"/>
        <v>0</v>
      </c>
      <c r="N673" s="1032">
        <f t="shared" si="127"/>
        <v>0</v>
      </c>
    </row>
    <row r="674" spans="2:14" ht="15" hidden="1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8"/>
        <v>0</v>
      </c>
      <c r="N674" s="1032">
        <f t="shared" si="127"/>
        <v>0</v>
      </c>
    </row>
    <row r="675" spans="2:14" ht="15" hidden="1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8"/>
        <v>0</v>
      </c>
      <c r="N675" s="1032">
        <f t="shared" si="127"/>
        <v>0</v>
      </c>
    </row>
    <row r="676" spans="2:14" ht="15" hidden="1" customHeight="1">
      <c r="B676" s="1013">
        <f>SUBTOTAL(3,$I$310:I676)</f>
        <v>20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8"/>
        <v>0</v>
      </c>
      <c r="N676" s="1032">
        <f t="shared" si="127"/>
        <v>0</v>
      </c>
    </row>
    <row r="677" spans="2:14" ht="15" hidden="1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8"/>
        <v>0</v>
      </c>
      <c r="N677" s="1032">
        <f t="shared" si="127"/>
        <v>0</v>
      </c>
    </row>
    <row r="678" spans="2:14" ht="15" hidden="1" customHeight="1">
      <c r="B678" s="1013">
        <f>SUBTOTAL(3,$I$310:I678)</f>
        <v>20</v>
      </c>
      <c r="C678" s="627" t="e">
        <f ca="1"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8"/>
        <v>0</v>
      </c>
      <c r="N678" s="1032">
        <f t="shared" si="127"/>
        <v>0</v>
      </c>
    </row>
    <row r="679" spans="2:14" ht="15" hidden="1" customHeight="1">
      <c r="B679" s="1013">
        <f>SUBTOTAL(3,$I$310:I679)</f>
        <v>20</v>
      </c>
      <c r="C679" s="627" t="e">
        <f ca="1"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8"/>
        <v>0</v>
      </c>
      <c r="N679" s="1032">
        <f t="shared" si="127"/>
        <v>0</v>
      </c>
    </row>
    <row r="680" spans="2:14" ht="15" hidden="1" customHeight="1">
      <c r="B680" s="1013">
        <f>SUBTOTAL(3,$I$310:I680)</f>
        <v>20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8"/>
        <v>0</v>
      </c>
      <c r="N680" s="1032">
        <f t="shared" si="127"/>
        <v>0</v>
      </c>
    </row>
    <row r="681" spans="2:14" ht="15" hidden="1" customHeight="1">
      <c r="B681" s="1013">
        <f>SUBTOTAL(3,$I$310:I681)</f>
        <v>20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8"/>
        <v>0</v>
      </c>
      <c r="N681" s="1032">
        <f t="shared" si="127"/>
        <v>0</v>
      </c>
    </row>
    <row r="682" spans="2:14" ht="15" hidden="1" customHeight="1">
      <c r="B682" s="1013">
        <f>SUBTOTAL(3,$I$310:I682)</f>
        <v>20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8"/>
        <v>0</v>
      </c>
      <c r="N682" s="1032">
        <f t="shared" si="127"/>
        <v>0</v>
      </c>
    </row>
    <row r="683" spans="2:14" ht="15" hidden="1" customHeight="1">
      <c r="B683" s="1013">
        <f>SUBTOTAL(3,$I$310:I683)</f>
        <v>20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8"/>
        <v>0</v>
      </c>
      <c r="N683" s="1032">
        <f t="shared" si="127"/>
        <v>0</v>
      </c>
    </row>
    <row r="684" spans="2:14" ht="30" hidden="1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hidden="1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9">IF(I685&gt;0,1,0)</f>
        <v>0</v>
      </c>
    </row>
    <row r="686" spans="2:14" ht="15" hidden="1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9"/>
        <v>0</v>
      </c>
    </row>
    <row r="687" spans="2:14" ht="15" hidden="1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30">IFERROR(I687*K687,0)</f>
        <v>0</v>
      </c>
      <c r="N687" s="1032">
        <f t="shared" si="129"/>
        <v>0</v>
      </c>
    </row>
    <row r="688" spans="2:14" ht="15" hidden="1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30"/>
        <v>0</v>
      </c>
      <c r="N688" s="1032">
        <f t="shared" si="129"/>
        <v>0</v>
      </c>
    </row>
    <row r="689" spans="2:14" ht="15" hidden="1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30"/>
        <v>0</v>
      </c>
      <c r="N689" s="1032">
        <f t="shared" si="129"/>
        <v>0</v>
      </c>
    </row>
    <row r="690" spans="2:14" ht="15" hidden="1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30"/>
        <v>0</v>
      </c>
      <c r="N690" s="1032">
        <f t="shared" si="129"/>
        <v>0</v>
      </c>
    </row>
    <row r="691" spans="2:14" ht="15" hidden="1" customHeight="1">
      <c r="B691" s="1013">
        <f>SUBTOTAL(3,$I$310:I691)</f>
        <v>20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30"/>
        <v>0</v>
      </c>
      <c r="N691" s="1032">
        <f t="shared" si="129"/>
        <v>0</v>
      </c>
    </row>
    <row r="692" spans="2:14" ht="15" hidden="1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30"/>
        <v>0</v>
      </c>
      <c r="N692" s="1032">
        <f t="shared" si="129"/>
        <v>0</v>
      </c>
    </row>
    <row r="693" spans="2:14" ht="15" hidden="1" customHeight="1">
      <c r="B693" s="1013">
        <f>SUBTOTAL(3,$I$310:I693)</f>
        <v>20</v>
      </c>
      <c r="C693" s="627" t="e">
        <f ca="1"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30"/>
        <v>0</v>
      </c>
      <c r="N693" s="1032">
        <f t="shared" si="129"/>
        <v>0</v>
      </c>
    </row>
    <row r="694" spans="2:14" ht="15" hidden="1" customHeight="1">
      <c r="B694" s="1013">
        <f>SUBTOTAL(3,$I$310:I694)</f>
        <v>20</v>
      </c>
      <c r="C694" s="627" t="e">
        <f ca="1"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30"/>
        <v>0</v>
      </c>
      <c r="N694" s="1032">
        <f t="shared" si="129"/>
        <v>0</v>
      </c>
    </row>
    <row r="695" spans="2:14" ht="15" hidden="1" customHeight="1">
      <c r="B695" s="1013">
        <f>SUBTOTAL(3,$I$310:I695)</f>
        <v>20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30"/>
        <v>0</v>
      </c>
      <c r="N695" s="1032">
        <f t="shared" si="129"/>
        <v>0</v>
      </c>
    </row>
    <row r="696" spans="2:14" ht="15" hidden="1" customHeight="1">
      <c r="B696" s="1013">
        <f>SUBTOTAL(3,$I$310:I696)</f>
        <v>20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30"/>
        <v>0</v>
      </c>
      <c r="N696" s="1032">
        <f t="shared" si="129"/>
        <v>0</v>
      </c>
    </row>
    <row r="697" spans="2:14" ht="15" hidden="1" customHeight="1">
      <c r="B697" s="1013">
        <f>SUBTOTAL(3,$I$310:I697)</f>
        <v>20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30"/>
        <v>0</v>
      </c>
      <c r="N697" s="1032">
        <f t="shared" si="129"/>
        <v>0</v>
      </c>
    </row>
    <row r="698" spans="2:14" ht="15" hidden="1" customHeight="1">
      <c r="B698" s="1013">
        <f>SUBTOTAL(3,$I$310:I698)</f>
        <v>20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30"/>
        <v>0</v>
      </c>
      <c r="N698" s="1032">
        <f t="shared" si="129"/>
        <v>0</v>
      </c>
    </row>
    <row r="699" spans="2:14" ht="30" hidden="1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hidden="1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31">IF(I700&gt;0,1,0)</f>
        <v>0</v>
      </c>
    </row>
    <row r="701" spans="2:14" ht="15" hidden="1" customHeight="1">
      <c r="B701" s="1013">
        <f>SUBTOTAL(3,$I$310:I701)</f>
        <v>20</v>
      </c>
      <c r="C701" s="627" t="s">
        <v>652</v>
      </c>
      <c r="D701" s="627"/>
      <c r="E701" s="627"/>
      <c r="F701" s="627"/>
      <c r="G701" s="627" t="str">
        <f t="shared" ref="G701:G707" si="132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31"/>
        <v>0</v>
      </c>
    </row>
    <row r="702" spans="2:14" ht="15" hidden="1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3">IFERROR(I702*K702,0)</f>
        <v>0</v>
      </c>
      <c r="N702" s="1032">
        <f t="shared" si="131"/>
        <v>0</v>
      </c>
    </row>
    <row r="703" spans="2:14" ht="15" hidden="1" customHeight="1">
      <c r="B703" s="1013">
        <f>SUBTOTAL(3,$I$310:I703)</f>
        <v>20</v>
      </c>
      <c r="C703" s="627" t="s">
        <v>559</v>
      </c>
      <c r="D703" s="627"/>
      <c r="E703" s="627"/>
      <c r="F703" s="627"/>
      <c r="G703" s="627" t="str">
        <f t="shared" si="132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3"/>
        <v>0</v>
      </c>
      <c r="N703" s="1032">
        <f t="shared" si="131"/>
        <v>0</v>
      </c>
    </row>
    <row r="704" spans="2:14" ht="15" hidden="1" customHeight="1">
      <c r="B704" s="1013">
        <f>SUBTOTAL(3,$I$310:I704)</f>
        <v>20</v>
      </c>
      <c r="C704" s="627" t="s">
        <v>189</v>
      </c>
      <c r="D704" s="627"/>
      <c r="E704" s="627"/>
      <c r="F704" s="627"/>
      <c r="G704" s="627" t="str">
        <f t="shared" si="132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3"/>
        <v>0</v>
      </c>
      <c r="N704" s="1032">
        <f t="shared" si="131"/>
        <v>0</v>
      </c>
    </row>
    <row r="705" spans="2:14" ht="15" hidden="1" customHeight="1">
      <c r="B705" s="1013">
        <f>SUBTOTAL(3,$I$310:I705)</f>
        <v>20</v>
      </c>
      <c r="C705" s="627" t="s">
        <v>1459</v>
      </c>
      <c r="D705" s="627"/>
      <c r="E705" s="627"/>
      <c r="F705" s="627"/>
      <c r="G705" s="627" t="str">
        <f t="shared" si="132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3"/>
        <v>0</v>
      </c>
      <c r="N705" s="1032">
        <f t="shared" si="131"/>
        <v>0</v>
      </c>
    </row>
    <row r="706" spans="2:14" ht="15" hidden="1" customHeight="1">
      <c r="B706" s="1013">
        <f>SUBTOTAL(3,$I$310:I706)</f>
        <v>20</v>
      </c>
      <c r="C706" s="627" t="s">
        <v>182</v>
      </c>
      <c r="D706" s="627"/>
      <c r="E706" s="627"/>
      <c r="F706" s="627"/>
      <c r="G706" s="627" t="str">
        <f t="shared" si="132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3"/>
        <v>0</v>
      </c>
      <c r="N706" s="1032">
        <f t="shared" si="131"/>
        <v>0</v>
      </c>
    </row>
    <row r="707" spans="2:14" ht="15" hidden="1" customHeight="1">
      <c r="B707" s="1013">
        <f>SUBTOTAL(3,$I$310:I707)</f>
        <v>20</v>
      </c>
      <c r="C707" s="627" t="s">
        <v>653</v>
      </c>
      <c r="D707" s="627"/>
      <c r="E707" s="627"/>
      <c r="F707" s="627"/>
      <c r="G707" s="627" t="str">
        <f t="shared" si="132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3"/>
        <v>0</v>
      </c>
      <c r="N707" s="1032">
        <f t="shared" si="131"/>
        <v>0</v>
      </c>
    </row>
    <row r="708" spans="2:14" ht="15" hidden="1" customHeight="1">
      <c r="B708" s="1013">
        <f>SUBTOTAL(3,$I$310:I708)</f>
        <v>20</v>
      </c>
      <c r="C708" s="627" t="e">
        <f ca="1"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3"/>
        <v>0</v>
      </c>
      <c r="N708" s="1032">
        <f t="shared" si="131"/>
        <v>0</v>
      </c>
    </row>
    <row r="709" spans="2:14" ht="15" hidden="1" customHeight="1">
      <c r="B709" s="1013">
        <f>SUBTOTAL(3,$I$310:I709)</f>
        <v>20</v>
      </c>
      <c r="C709" s="627" t="e">
        <f ca="1"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3"/>
        <v>0</v>
      </c>
      <c r="N709" s="1032">
        <f t="shared" si="131"/>
        <v>0</v>
      </c>
    </row>
    <row r="710" spans="2:14" ht="15" hidden="1" customHeight="1">
      <c r="B710" s="1013">
        <f>SUBTOTAL(3,$I$310:I710)</f>
        <v>20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3"/>
        <v>0</v>
      </c>
      <c r="N710" s="1032">
        <f t="shared" si="131"/>
        <v>0</v>
      </c>
    </row>
    <row r="711" spans="2:14" ht="15" hidden="1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3"/>
        <v>0</v>
      </c>
      <c r="N711" s="1032">
        <f t="shared" si="131"/>
        <v>0</v>
      </c>
    </row>
    <row r="712" spans="2:14" ht="15" hidden="1" customHeight="1">
      <c r="B712" s="1013">
        <f>SUBTOTAL(3,$I$310:I712)</f>
        <v>20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3"/>
        <v>0</v>
      </c>
      <c r="N712" s="1032">
        <f t="shared" si="131"/>
        <v>0</v>
      </c>
    </row>
    <row r="713" spans="2:14" ht="15" hidden="1" customHeight="1">
      <c r="B713" s="1013">
        <f>SUBTOTAL(3,$I$310:I713)</f>
        <v>20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3"/>
        <v>0</v>
      </c>
      <c r="N713" s="1032">
        <f t="shared" si="131"/>
        <v>0</v>
      </c>
    </row>
    <row r="714" spans="2:14" ht="30" hidden="1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hidden="1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4">IF(I715&gt;0,1,0)</f>
        <v>0</v>
      </c>
    </row>
    <row r="716" spans="2:14" ht="15" hidden="1" customHeight="1">
      <c r="B716" s="1013">
        <f>SUBTOTAL(3,$I$310:I716)</f>
        <v>20</v>
      </c>
      <c r="C716" s="627" t="s">
        <v>652</v>
      </c>
      <c r="D716" s="627"/>
      <c r="E716" s="627"/>
      <c r="F716" s="627"/>
      <c r="G716" s="627" t="str">
        <f t="shared" ref="G716:G722" si="135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4"/>
        <v>0</v>
      </c>
    </row>
    <row r="717" spans="2:14" ht="15" hidden="1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6">IFERROR(I717*K717,0)</f>
        <v>0</v>
      </c>
      <c r="N717" s="1032">
        <f t="shared" si="134"/>
        <v>0</v>
      </c>
    </row>
    <row r="718" spans="2:14" ht="15" hidden="1" customHeight="1">
      <c r="B718" s="1013">
        <f>SUBTOTAL(3,$I$310:I718)</f>
        <v>20</v>
      </c>
      <c r="C718" s="627" t="s">
        <v>559</v>
      </c>
      <c r="D718" s="627"/>
      <c r="E718" s="627"/>
      <c r="F718" s="627"/>
      <c r="G718" s="627" t="str">
        <f t="shared" si="135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6"/>
        <v>0</v>
      </c>
      <c r="N718" s="1032">
        <f t="shared" si="134"/>
        <v>0</v>
      </c>
    </row>
    <row r="719" spans="2:14" ht="15" hidden="1" customHeight="1">
      <c r="B719" s="1013">
        <f>SUBTOTAL(3,$I$310:I719)</f>
        <v>20</v>
      </c>
      <c r="C719" s="627" t="s">
        <v>189</v>
      </c>
      <c r="D719" s="627"/>
      <c r="E719" s="627"/>
      <c r="F719" s="627"/>
      <c r="G719" s="627" t="str">
        <f t="shared" si="135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6"/>
        <v>0</v>
      </c>
      <c r="N719" s="1032">
        <f t="shared" si="134"/>
        <v>0</v>
      </c>
    </row>
    <row r="720" spans="2:14" ht="15" hidden="1" customHeight="1">
      <c r="B720" s="1013">
        <f>SUBTOTAL(3,$I$310:I720)</f>
        <v>20</v>
      </c>
      <c r="C720" s="627" t="s">
        <v>1459</v>
      </c>
      <c r="D720" s="627"/>
      <c r="E720" s="627"/>
      <c r="F720" s="627"/>
      <c r="G720" s="627" t="str">
        <f t="shared" si="135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6"/>
        <v>0</v>
      </c>
      <c r="N720" s="1032">
        <f t="shared" si="134"/>
        <v>0</v>
      </c>
    </row>
    <row r="721" spans="2:14" ht="15" hidden="1" customHeight="1">
      <c r="B721" s="1013">
        <f>SUBTOTAL(3,$I$310:I721)</f>
        <v>20</v>
      </c>
      <c r="C721" s="627" t="s">
        <v>182</v>
      </c>
      <c r="D721" s="627"/>
      <c r="E721" s="627"/>
      <c r="F721" s="627"/>
      <c r="G721" s="627" t="str">
        <f t="shared" si="135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6"/>
        <v>0</v>
      </c>
      <c r="N721" s="1032">
        <f t="shared" si="134"/>
        <v>0</v>
      </c>
    </row>
    <row r="722" spans="2:14" ht="15" hidden="1" customHeight="1">
      <c r="B722" s="1013">
        <f>SUBTOTAL(3,$I$310:I722)</f>
        <v>20</v>
      </c>
      <c r="C722" s="627" t="s">
        <v>653</v>
      </c>
      <c r="D722" s="627"/>
      <c r="E722" s="627"/>
      <c r="F722" s="627"/>
      <c r="G722" s="627" t="str">
        <f t="shared" si="135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6"/>
        <v>0</v>
      </c>
      <c r="N722" s="1032">
        <f t="shared" si="134"/>
        <v>0</v>
      </c>
    </row>
    <row r="723" spans="2:14" ht="15" hidden="1" customHeight="1">
      <c r="B723" s="1013">
        <f>SUBTOTAL(3,$I$310:I723)</f>
        <v>20</v>
      </c>
      <c r="C723" s="627" t="e">
        <f ca="1"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6"/>
        <v>0</v>
      </c>
      <c r="N723" s="1032">
        <f t="shared" si="134"/>
        <v>0</v>
      </c>
    </row>
    <row r="724" spans="2:14" ht="15" hidden="1" customHeight="1">
      <c r="B724" s="1013">
        <f>SUBTOTAL(3,$I$310:I724)</f>
        <v>20</v>
      </c>
      <c r="C724" s="627" t="e">
        <f ca="1"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6"/>
        <v>0</v>
      </c>
      <c r="N724" s="1032">
        <f t="shared" si="134"/>
        <v>0</v>
      </c>
    </row>
    <row r="725" spans="2:14" ht="15" hidden="1" customHeight="1">
      <c r="B725" s="1013">
        <f>SUBTOTAL(3,$I$310:I725)</f>
        <v>20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6"/>
        <v>0</v>
      </c>
      <c r="N725" s="1032">
        <f t="shared" si="134"/>
        <v>0</v>
      </c>
    </row>
    <row r="726" spans="2:14" ht="15" hidden="1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6"/>
        <v>0</v>
      </c>
      <c r="N726" s="1032">
        <f t="shared" si="134"/>
        <v>0</v>
      </c>
    </row>
    <row r="727" spans="2:14" ht="15" hidden="1" customHeight="1">
      <c r="B727" s="1013">
        <f>SUBTOTAL(3,$I$310:I727)</f>
        <v>20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6"/>
        <v>0</v>
      </c>
      <c r="N727" s="1032">
        <f t="shared" si="134"/>
        <v>0</v>
      </c>
    </row>
    <row r="728" spans="2:14" ht="15" hidden="1" customHeight="1">
      <c r="B728" s="1013">
        <f>SUBTOTAL(3,$I$310:I728)</f>
        <v>20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6"/>
        <v>0</v>
      </c>
      <c r="N728" s="1032">
        <f t="shared" si="134"/>
        <v>0</v>
      </c>
    </row>
    <row r="729" spans="2:14" ht="30" hidden="1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hidden="1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7">IF(I730&gt;0,1,0)</f>
        <v>0</v>
      </c>
    </row>
    <row r="731" spans="2:14" ht="15" hidden="1" customHeight="1">
      <c r="B731" s="1013">
        <f>SUBTOTAL(3,$I$310:I731)</f>
        <v>20</v>
      </c>
      <c r="C731" s="627" t="s">
        <v>652</v>
      </c>
      <c r="D731" s="627"/>
      <c r="E731" s="627"/>
      <c r="F731" s="627"/>
      <c r="G731" s="627" t="str">
        <f t="shared" ref="G731:G737" si="138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7"/>
        <v>0</v>
      </c>
    </row>
    <row r="732" spans="2:14" ht="15" hidden="1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9">IFERROR(I732*K732,0)</f>
        <v>0</v>
      </c>
      <c r="N732" s="1032">
        <f t="shared" si="137"/>
        <v>0</v>
      </c>
    </row>
    <row r="733" spans="2:14" ht="15" hidden="1" customHeight="1">
      <c r="B733" s="1013">
        <f>SUBTOTAL(3,$I$310:I733)</f>
        <v>20</v>
      </c>
      <c r="C733" s="627" t="s">
        <v>559</v>
      </c>
      <c r="D733" s="627"/>
      <c r="E733" s="627"/>
      <c r="F733" s="627"/>
      <c r="G733" s="627" t="str">
        <f t="shared" si="138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9"/>
        <v>0</v>
      </c>
      <c r="N733" s="1032">
        <f t="shared" si="137"/>
        <v>0</v>
      </c>
    </row>
    <row r="734" spans="2:14" ht="15" hidden="1" customHeight="1">
      <c r="B734" s="1013">
        <f>SUBTOTAL(3,$I$310:I734)</f>
        <v>20</v>
      </c>
      <c r="C734" s="627" t="s">
        <v>189</v>
      </c>
      <c r="D734" s="627"/>
      <c r="E734" s="627"/>
      <c r="F734" s="627"/>
      <c r="G734" s="627" t="str">
        <f t="shared" si="138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9"/>
        <v>0</v>
      </c>
      <c r="N734" s="1032">
        <f t="shared" si="137"/>
        <v>0</v>
      </c>
    </row>
    <row r="735" spans="2:14" ht="15" hidden="1" customHeight="1">
      <c r="B735" s="1013">
        <f>SUBTOTAL(3,$I$310:I735)</f>
        <v>20</v>
      </c>
      <c r="C735" s="627" t="s">
        <v>1459</v>
      </c>
      <c r="D735" s="627"/>
      <c r="E735" s="627"/>
      <c r="F735" s="627"/>
      <c r="G735" s="627" t="str">
        <f t="shared" si="138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9"/>
        <v>0</v>
      </c>
      <c r="N735" s="1032">
        <f t="shared" si="137"/>
        <v>0</v>
      </c>
    </row>
    <row r="736" spans="2:14" ht="15" hidden="1" customHeight="1">
      <c r="B736" s="1013">
        <f>SUBTOTAL(3,$I$310:I736)</f>
        <v>20</v>
      </c>
      <c r="C736" s="627" t="s">
        <v>182</v>
      </c>
      <c r="D736" s="627"/>
      <c r="E736" s="627"/>
      <c r="F736" s="627"/>
      <c r="G736" s="627" t="str">
        <f t="shared" si="138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9"/>
        <v>0</v>
      </c>
      <c r="N736" s="1032">
        <f t="shared" si="137"/>
        <v>0</v>
      </c>
    </row>
    <row r="737" spans="2:14" ht="15" hidden="1" customHeight="1">
      <c r="B737" s="1013">
        <f>SUBTOTAL(3,$I$310:I737)</f>
        <v>20</v>
      </c>
      <c r="C737" s="627" t="s">
        <v>653</v>
      </c>
      <c r="D737" s="627"/>
      <c r="E737" s="627"/>
      <c r="F737" s="627"/>
      <c r="G737" s="627" t="str">
        <f t="shared" si="138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9"/>
        <v>0</v>
      </c>
      <c r="N737" s="1032">
        <f t="shared" si="137"/>
        <v>0</v>
      </c>
    </row>
    <row r="738" spans="2:14" ht="15" hidden="1" customHeight="1">
      <c r="B738" s="1013">
        <f>SUBTOTAL(3,$I$310:I738)</f>
        <v>20</v>
      </c>
      <c r="C738" s="627" t="e">
        <f ca="1"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9"/>
        <v>0</v>
      </c>
      <c r="N738" s="1032">
        <f t="shared" si="137"/>
        <v>0</v>
      </c>
    </row>
    <row r="739" spans="2:14" ht="15" hidden="1" customHeight="1">
      <c r="B739" s="1013">
        <f>SUBTOTAL(3,$I$310:I739)</f>
        <v>20</v>
      </c>
      <c r="C739" s="627" t="e">
        <f ca="1"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9"/>
        <v>0</v>
      </c>
      <c r="N739" s="1032">
        <f t="shared" si="137"/>
        <v>0</v>
      </c>
    </row>
    <row r="740" spans="2:14" ht="15" hidden="1" customHeight="1">
      <c r="B740" s="1013">
        <f>SUBTOTAL(3,$I$310:I740)</f>
        <v>20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9"/>
        <v>0</v>
      </c>
      <c r="N740" s="1032">
        <f t="shared" si="137"/>
        <v>0</v>
      </c>
    </row>
    <row r="741" spans="2:14" ht="15" hidden="1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9"/>
        <v>0</v>
      </c>
      <c r="N741" s="1032">
        <f t="shared" si="137"/>
        <v>0</v>
      </c>
    </row>
    <row r="742" spans="2:14" ht="15" hidden="1" customHeight="1">
      <c r="B742" s="1013">
        <f>SUBTOTAL(3,$I$310:I742)</f>
        <v>20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9"/>
        <v>0</v>
      </c>
      <c r="N742" s="1032">
        <f t="shared" si="137"/>
        <v>0</v>
      </c>
    </row>
    <row r="743" spans="2:14" ht="15" hidden="1" customHeight="1">
      <c r="B743" s="1013">
        <f>SUBTOTAL(3,$I$310:I743)</f>
        <v>20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9"/>
        <v>0</v>
      </c>
      <c r="N743" s="1032">
        <f t="shared" si="137"/>
        <v>0</v>
      </c>
    </row>
    <row r="744" spans="2:14" ht="30" hidden="1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hidden="1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40">IF(I745&gt;0,1,0)</f>
        <v>0</v>
      </c>
    </row>
    <row r="746" spans="2:14" ht="15" hidden="1" customHeight="1">
      <c r="B746" s="1013">
        <f>SUBTOTAL(3,$I$310:I746)</f>
        <v>20</v>
      </c>
      <c r="C746" s="627" t="s">
        <v>652</v>
      </c>
      <c r="D746" s="627"/>
      <c r="E746" s="627"/>
      <c r="F746" s="627"/>
      <c r="G746" s="627" t="str">
        <f t="shared" ref="G746:G752" si="141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40"/>
        <v>0</v>
      </c>
    </row>
    <row r="747" spans="2:14" ht="15" hidden="1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2">IFERROR(I747*K747,0)</f>
        <v>0</v>
      </c>
      <c r="N747" s="1032">
        <f t="shared" si="140"/>
        <v>0</v>
      </c>
    </row>
    <row r="748" spans="2:14" ht="15" hidden="1" customHeight="1">
      <c r="B748" s="1013">
        <f>SUBTOTAL(3,$I$310:I748)</f>
        <v>20</v>
      </c>
      <c r="C748" s="627" t="s">
        <v>559</v>
      </c>
      <c r="D748" s="627"/>
      <c r="E748" s="627"/>
      <c r="F748" s="627"/>
      <c r="G748" s="627" t="str">
        <f t="shared" si="141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2"/>
        <v>0</v>
      </c>
      <c r="N748" s="1032">
        <f t="shared" si="140"/>
        <v>0</v>
      </c>
    </row>
    <row r="749" spans="2:14" ht="15" hidden="1" customHeight="1">
      <c r="B749" s="1013">
        <f>SUBTOTAL(3,$I$310:I749)</f>
        <v>20</v>
      </c>
      <c r="C749" s="627" t="s">
        <v>189</v>
      </c>
      <c r="D749" s="627"/>
      <c r="E749" s="627"/>
      <c r="F749" s="627"/>
      <c r="G749" s="627" t="str">
        <f t="shared" si="141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2"/>
        <v>0</v>
      </c>
      <c r="N749" s="1032">
        <f t="shared" si="140"/>
        <v>0</v>
      </c>
    </row>
    <row r="750" spans="2:14" ht="15" hidden="1" customHeight="1">
      <c r="B750" s="1013">
        <f>SUBTOTAL(3,$I$310:I750)</f>
        <v>20</v>
      </c>
      <c r="C750" s="627" t="s">
        <v>1459</v>
      </c>
      <c r="D750" s="627"/>
      <c r="E750" s="627"/>
      <c r="F750" s="627"/>
      <c r="G750" s="627" t="str">
        <f t="shared" si="141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2"/>
        <v>0</v>
      </c>
      <c r="N750" s="1032">
        <f t="shared" si="140"/>
        <v>0</v>
      </c>
    </row>
    <row r="751" spans="2:14" ht="15" hidden="1" customHeight="1">
      <c r="B751" s="1013">
        <f>SUBTOTAL(3,$I$310:I751)</f>
        <v>20</v>
      </c>
      <c r="C751" s="627" t="s">
        <v>182</v>
      </c>
      <c r="D751" s="627"/>
      <c r="E751" s="627"/>
      <c r="F751" s="627"/>
      <c r="G751" s="627" t="str">
        <f t="shared" si="141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2"/>
        <v>0</v>
      </c>
      <c r="N751" s="1032">
        <f t="shared" si="140"/>
        <v>0</v>
      </c>
    </row>
    <row r="752" spans="2:14" ht="15" hidden="1" customHeight="1">
      <c r="B752" s="1013">
        <f>SUBTOTAL(3,$I$310:I752)</f>
        <v>20</v>
      </c>
      <c r="C752" s="627" t="s">
        <v>653</v>
      </c>
      <c r="D752" s="627"/>
      <c r="E752" s="627"/>
      <c r="F752" s="627"/>
      <c r="G752" s="627" t="str">
        <f t="shared" si="141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2"/>
        <v>0</v>
      </c>
      <c r="N752" s="1032">
        <f t="shared" si="140"/>
        <v>0</v>
      </c>
    </row>
    <row r="753" spans="2:14" ht="15" hidden="1" customHeight="1">
      <c r="B753" s="1013">
        <f>SUBTOTAL(3,$I$310:I753)</f>
        <v>20</v>
      </c>
      <c r="C753" s="627" t="e">
        <f ca="1"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2"/>
        <v>0</v>
      </c>
      <c r="N753" s="1032">
        <f t="shared" si="140"/>
        <v>0</v>
      </c>
    </row>
    <row r="754" spans="2:14" ht="15" hidden="1" customHeight="1">
      <c r="B754" s="1013">
        <f>SUBTOTAL(3,$I$310:I754)</f>
        <v>20</v>
      </c>
      <c r="C754" s="627" t="e">
        <f ca="1"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2"/>
        <v>0</v>
      </c>
      <c r="N754" s="1032">
        <f t="shared" si="140"/>
        <v>0</v>
      </c>
    </row>
    <row r="755" spans="2:14" ht="15" hidden="1" customHeight="1">
      <c r="B755" s="1013">
        <f>SUBTOTAL(3,$I$310:I755)</f>
        <v>20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2"/>
        <v>0</v>
      </c>
      <c r="N755" s="1032">
        <f t="shared" si="140"/>
        <v>0</v>
      </c>
    </row>
    <row r="756" spans="2:14" ht="15" hidden="1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2"/>
        <v>0</v>
      </c>
      <c r="N756" s="1032">
        <f t="shared" si="140"/>
        <v>0</v>
      </c>
    </row>
    <row r="757" spans="2:14" ht="15" hidden="1" customHeight="1">
      <c r="B757" s="1013">
        <f>SUBTOTAL(3,$I$310:I757)</f>
        <v>20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2"/>
        <v>0</v>
      </c>
      <c r="N757" s="1032">
        <f t="shared" si="140"/>
        <v>0</v>
      </c>
    </row>
    <row r="758" spans="2:14" ht="15" hidden="1" customHeight="1">
      <c r="B758" s="1013">
        <f>SUBTOTAL(3,$I$310:I758)</f>
        <v>20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2"/>
        <v>0</v>
      </c>
      <c r="N758" s="1032">
        <f t="shared" si="140"/>
        <v>0</v>
      </c>
    </row>
    <row r="759" spans="2:14" ht="30" hidden="1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hidden="1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3">IF(I760&gt;0,1,0)</f>
        <v>0</v>
      </c>
    </row>
    <row r="761" spans="2:14" ht="15" hidden="1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3"/>
        <v>0</v>
      </c>
    </row>
    <row r="762" spans="2:14" ht="15" hidden="1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4">IFERROR(I762*K762,0)</f>
        <v>0</v>
      </c>
      <c r="N762" s="1032">
        <f t="shared" si="143"/>
        <v>0</v>
      </c>
    </row>
    <row r="763" spans="2:14" ht="15" hidden="1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4"/>
        <v>0</v>
      </c>
      <c r="N763" s="1032">
        <f t="shared" si="143"/>
        <v>0</v>
      </c>
    </row>
    <row r="764" spans="2:14" ht="15" hidden="1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4"/>
        <v>0</v>
      </c>
      <c r="N764" s="1032">
        <f t="shared" si="143"/>
        <v>0</v>
      </c>
    </row>
    <row r="765" spans="2:14" ht="15" hidden="1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4"/>
        <v>0</v>
      </c>
      <c r="N765" s="1032">
        <f t="shared" si="143"/>
        <v>0</v>
      </c>
    </row>
    <row r="766" spans="2:14" ht="15" hidden="1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4"/>
        <v>0</v>
      </c>
      <c r="N766" s="1032">
        <f t="shared" si="143"/>
        <v>0</v>
      </c>
    </row>
    <row r="767" spans="2:14" ht="15" hidden="1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4"/>
        <v>0</v>
      </c>
      <c r="N767" s="1032">
        <f t="shared" si="143"/>
        <v>0</v>
      </c>
    </row>
    <row r="768" spans="2:14" ht="15" hidden="1" customHeight="1">
      <c r="B768" s="1013">
        <f>SUBTOTAL(3,$I$310:I768)</f>
        <v>20</v>
      </c>
      <c r="C768" s="627" t="e">
        <f ca="1"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4"/>
        <v>0</v>
      </c>
      <c r="N768" s="1032">
        <f t="shared" si="143"/>
        <v>0</v>
      </c>
    </row>
    <row r="769" spans="2:14" ht="15" hidden="1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4"/>
        <v>0</v>
      </c>
      <c r="N769" s="1032">
        <f t="shared" si="143"/>
        <v>0</v>
      </c>
    </row>
    <row r="770" spans="2:14" ht="15" hidden="1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4"/>
        <v>0</v>
      </c>
      <c r="N770" s="1032">
        <f t="shared" si="143"/>
        <v>0</v>
      </c>
    </row>
    <row r="771" spans="2:14" ht="15" hidden="1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4"/>
        <v>0</v>
      </c>
      <c r="N771" s="1032">
        <f t="shared" si="143"/>
        <v>0</v>
      </c>
    </row>
    <row r="772" spans="2:14" ht="15" hidden="1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4"/>
        <v>0</v>
      </c>
      <c r="N772" s="1032">
        <f t="shared" si="143"/>
        <v>0</v>
      </c>
    </row>
    <row r="773" spans="2:14" ht="15" hidden="1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4"/>
        <v>0</v>
      </c>
      <c r="N773" s="1032">
        <f t="shared" si="143"/>
        <v>0</v>
      </c>
    </row>
    <row r="774" spans="2:14" ht="30" hidden="1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hidden="1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5">IF(I775&gt;0,1,0)</f>
        <v>0</v>
      </c>
    </row>
    <row r="776" spans="2:14" ht="15" hidden="1" customHeight="1">
      <c r="B776" s="1013">
        <f>SUBTOTAL(3,$I$310:I776)</f>
        <v>20</v>
      </c>
      <c r="C776" s="627" t="s">
        <v>652</v>
      </c>
      <c r="D776" s="627"/>
      <c r="E776" s="627"/>
      <c r="F776" s="627"/>
      <c r="G776" s="627" t="str">
        <f t="shared" ref="G776:G782" si="146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5"/>
        <v>0</v>
      </c>
    </row>
    <row r="777" spans="2:14" ht="15" hidden="1" customHeight="1">
      <c r="B777" s="1013">
        <f>SUBTOTAL(3,$I$310:I777)</f>
        <v>20</v>
      </c>
      <c r="C777" s="627" t="s">
        <v>651</v>
      </c>
      <c r="D777" s="627"/>
      <c r="E777" s="627"/>
      <c r="F777" s="627"/>
      <c r="G777" s="627" t="str">
        <f t="shared" si="146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7">IFERROR(I777*K777,0)</f>
        <v>0</v>
      </c>
      <c r="N777" s="1032">
        <f t="shared" si="145"/>
        <v>0</v>
      </c>
    </row>
    <row r="778" spans="2:14" ht="15" hidden="1" customHeight="1">
      <c r="B778" s="1013">
        <f>SUBTOTAL(3,$I$310:I778)</f>
        <v>20</v>
      </c>
      <c r="C778" s="627" t="s">
        <v>559</v>
      </c>
      <c r="D778" s="627"/>
      <c r="E778" s="627"/>
      <c r="F778" s="627"/>
      <c r="G778" s="627" t="str">
        <f t="shared" si="146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7"/>
        <v>0</v>
      </c>
      <c r="N778" s="1032">
        <f t="shared" si="145"/>
        <v>0</v>
      </c>
    </row>
    <row r="779" spans="2:14" ht="15" hidden="1" customHeight="1">
      <c r="B779" s="1013">
        <f>SUBTOTAL(3,$I$310:I779)</f>
        <v>20</v>
      </c>
      <c r="C779" s="627" t="s">
        <v>189</v>
      </c>
      <c r="D779" s="627"/>
      <c r="E779" s="627"/>
      <c r="F779" s="627"/>
      <c r="G779" s="627" t="str">
        <f t="shared" si="146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7"/>
        <v>0</v>
      </c>
      <c r="N779" s="1032">
        <f t="shared" si="145"/>
        <v>0</v>
      </c>
    </row>
    <row r="780" spans="2:14" ht="15" hidden="1" customHeight="1">
      <c r="B780" s="1013">
        <f>SUBTOTAL(3,$I$310:I780)</f>
        <v>20</v>
      </c>
      <c r="C780" s="627" t="s">
        <v>1459</v>
      </c>
      <c r="D780" s="627"/>
      <c r="E780" s="627"/>
      <c r="F780" s="627"/>
      <c r="G780" s="627" t="str">
        <f t="shared" si="146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7"/>
        <v>0</v>
      </c>
      <c r="N780" s="1032">
        <f t="shared" si="145"/>
        <v>0</v>
      </c>
    </row>
    <row r="781" spans="2:14" ht="15" hidden="1" customHeight="1">
      <c r="B781" s="1013">
        <f>SUBTOTAL(3,$I$310:I781)</f>
        <v>20</v>
      </c>
      <c r="C781" s="627" t="s">
        <v>182</v>
      </c>
      <c r="D781" s="627"/>
      <c r="E781" s="627"/>
      <c r="F781" s="627"/>
      <c r="G781" s="627" t="str">
        <f t="shared" si="146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7"/>
        <v>0</v>
      </c>
      <c r="N781" s="1032">
        <f t="shared" si="145"/>
        <v>0</v>
      </c>
    </row>
    <row r="782" spans="2:14" ht="15" hidden="1" customHeight="1">
      <c r="B782" s="1013">
        <f>SUBTOTAL(3,$I$310:I782)</f>
        <v>20</v>
      </c>
      <c r="C782" s="627" t="s">
        <v>653</v>
      </c>
      <c r="D782" s="627"/>
      <c r="E782" s="627"/>
      <c r="F782" s="627"/>
      <c r="G782" s="627" t="str">
        <f t="shared" si="146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7"/>
        <v>0</v>
      </c>
      <c r="N782" s="1032">
        <f t="shared" si="145"/>
        <v>0</v>
      </c>
    </row>
    <row r="783" spans="2:14" ht="15" hidden="1" customHeight="1">
      <c r="B783" s="1013">
        <f>SUBTOTAL(3,$I$310:I783)</f>
        <v>20</v>
      </c>
      <c r="C783" s="627" t="e">
        <f ca="1"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7"/>
        <v>0</v>
      </c>
      <c r="N783" s="1032">
        <f t="shared" si="145"/>
        <v>0</v>
      </c>
    </row>
    <row r="784" spans="2:14" ht="15" hidden="1" customHeight="1">
      <c r="B784" s="1013">
        <f>SUBTOTAL(3,$I$310:I784)</f>
        <v>20</v>
      </c>
      <c r="C784" s="627" t="e">
        <f ca="1"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7"/>
        <v>0</v>
      </c>
      <c r="N784" s="1032">
        <f t="shared" si="145"/>
        <v>0</v>
      </c>
    </row>
    <row r="785" spans="2:14" ht="15" hidden="1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7"/>
        <v>0</v>
      </c>
      <c r="N785" s="1032">
        <f t="shared" si="145"/>
        <v>0</v>
      </c>
    </row>
    <row r="786" spans="2:14" ht="15" hidden="1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7"/>
        <v>0</v>
      </c>
      <c r="N786" s="1032">
        <f t="shared" si="145"/>
        <v>0</v>
      </c>
    </row>
    <row r="787" spans="2:14" ht="15" hidden="1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7"/>
        <v>0</v>
      </c>
      <c r="N787" s="1032">
        <f t="shared" si="145"/>
        <v>0</v>
      </c>
    </row>
    <row r="788" spans="2:14" ht="15" hidden="1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7"/>
        <v>0</v>
      </c>
      <c r="N788" s="1032">
        <f t="shared" si="145"/>
        <v>0</v>
      </c>
    </row>
    <row r="789" spans="2:14" ht="15" customHeight="1">
      <c r="N789" s="1032">
        <f>IF($V$3=$Y$2,0,1)</f>
        <v>1</v>
      </c>
    </row>
    <row r="790" spans="2:14" ht="15" customHeight="1">
      <c r="N790" s="1032">
        <f>IF($V$3=$Y$2,0,1)</f>
        <v>1</v>
      </c>
    </row>
    <row r="791" spans="2:14" ht="15" hidden="1" customHeight="1">
      <c r="N791" s="1032">
        <v>0</v>
      </c>
    </row>
    <row r="792" spans="2:14" ht="15" hidden="1" customHeight="1">
      <c r="N792" s="1029">
        <v>0</v>
      </c>
    </row>
    <row r="793" spans="2:14" ht="15" hidden="1" customHeight="1">
      <c r="N793" s="1029">
        <v>0</v>
      </c>
    </row>
    <row r="794" spans="2:14" ht="15" hidden="1" customHeight="1">
      <c r="N794" s="1029">
        <v>0</v>
      </c>
    </row>
    <row r="795" spans="2:14" ht="15" hidden="1" customHeight="1">
      <c r="N795" s="1029">
        <v>0</v>
      </c>
    </row>
    <row r="796" spans="2:14" ht="15" hidden="1" customHeight="1">
      <c r="N796" s="1029">
        <v>0</v>
      </c>
    </row>
    <row r="797" spans="2:14" ht="15" hidden="1" customHeight="1">
      <c r="N797" s="1029">
        <v>0</v>
      </c>
    </row>
    <row r="798" spans="2:14" ht="15" hidden="1" customHeight="1">
      <c r="N798" s="1029">
        <v>0</v>
      </c>
    </row>
    <row r="799" spans="2:14" ht="15" hidden="1" customHeight="1">
      <c r="N799" s="1029">
        <v>0</v>
      </c>
    </row>
    <row r="800" spans="2:14" ht="15" hidden="1" customHeight="1">
      <c r="N800" s="1029">
        <v>0</v>
      </c>
    </row>
    <row r="801" spans="1:20" ht="15" hidden="1" customHeight="1">
      <c r="N801" s="1029">
        <v>0</v>
      </c>
    </row>
    <row r="802" spans="1:20" ht="15" hidden="1" customHeight="1">
      <c r="N802" s="1029">
        <v>0</v>
      </c>
    </row>
    <row r="803" spans="1:20" ht="15" hidden="1" customHeight="1">
      <c r="N803" s="1029">
        <v>0</v>
      </c>
    </row>
    <row r="804" spans="1:20" ht="15" hidden="1" customHeight="1">
      <c r="L804" s="1164" t="str">
        <f ca="1">HYPERLINK("#"&amp;$AB$5&amp;"!A1","⇑ ")</f>
        <v xml:space="preserve">⇑ </v>
      </c>
      <c r="N804" s="1029">
        <v>0</v>
      </c>
    </row>
    <row r="805" spans="1:20" ht="15" hidden="1" customHeight="1">
      <c r="C805" s="134" t="s">
        <v>138</v>
      </c>
      <c r="L805" s="1164"/>
      <c r="N805" s="1029">
        <v>0</v>
      </c>
    </row>
    <row r="806" spans="1:20" ht="15" hidden="1" customHeight="1">
      <c r="L806" s="1164"/>
      <c r="N806" s="1029">
        <v>0</v>
      </c>
    </row>
    <row r="807" spans="1:20" ht="15" hidden="1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64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hidden="1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64</v>
      </c>
      <c r="J808" s="1013" t="s">
        <v>112</v>
      </c>
      <c r="M808" s="1011"/>
      <c r="N808" s="1029">
        <v>0</v>
      </c>
    </row>
    <row r="809" spans="1:20" ht="15" hidden="1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3</v>
      </c>
      <c r="J809" s="1013" t="s">
        <v>151</v>
      </c>
      <c r="M809" s="1011"/>
      <c r="N809" s="1029">
        <v>0</v>
      </c>
    </row>
    <row r="810" spans="1:20" ht="15" hidden="1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8">ROUNDUP(ПЛ*H810+ПР*(0.15+$R$3/1000+0.03),0)</f>
        <v>62</v>
      </c>
      <c r="J810" s="1013" t="s">
        <v>112</v>
      </c>
      <c r="M810" s="1011"/>
      <c r="N810" s="1029">
        <v>0</v>
      </c>
    </row>
    <row r="811" spans="1:20" ht="15" hidden="1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8"/>
        <v>62</v>
      </c>
      <c r="J811" s="1013" t="s">
        <v>112</v>
      </c>
      <c r="M811" s="1011"/>
      <c r="N811" s="1029">
        <v>0</v>
      </c>
    </row>
    <row r="812" spans="1:20" ht="15" hidden="1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8"/>
        <v>64</v>
      </c>
      <c r="J812" s="1013" t="s">
        <v>112</v>
      </c>
      <c r="M812" s="1011"/>
      <c r="N812" s="1029">
        <v>0</v>
      </c>
    </row>
    <row r="813" spans="1:20" ht="15" hidden="1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8"/>
        <v>64</v>
      </c>
      <c r="J813" s="1013" t="s">
        <v>112</v>
      </c>
      <c r="M813" s="1011"/>
      <c r="N813" s="1029">
        <v>0</v>
      </c>
    </row>
    <row r="814" spans="1:20" ht="15" hidden="1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8"/>
        <v>64</v>
      </c>
      <c r="J814" s="1013" t="s">
        <v>112</v>
      </c>
      <c r="M814" s="1011"/>
      <c r="N814" s="1029">
        <v>0</v>
      </c>
    </row>
    <row r="815" spans="1:20" ht="15" hidden="1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8"/>
        <v>64</v>
      </c>
      <c r="J815" s="1013" t="s">
        <v>112</v>
      </c>
      <c r="M815" s="1011"/>
      <c r="N815" s="1029">
        <v>0</v>
      </c>
    </row>
    <row r="816" spans="1:20" ht="15" hidden="1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8"/>
        <v>64</v>
      </c>
      <c r="J816" s="1013" t="s">
        <v>112</v>
      </c>
      <c r="M816" s="1011"/>
      <c r="N816" s="1029">
        <v>0</v>
      </c>
    </row>
    <row r="817" spans="3:21" ht="15" hidden="1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8"/>
        <v>64</v>
      </c>
      <c r="J817" s="1013" t="s">
        <v>112</v>
      </c>
      <c r="N817" s="1029">
        <v>0</v>
      </c>
    </row>
    <row r="818" spans="3:21" ht="15" hidden="1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9">ROUNDUP(ПЛ*H818+ПР*(0.15+$R$3/1000+0.03),0)</f>
        <v>64</v>
      </c>
      <c r="J818" s="1013" t="s">
        <v>112</v>
      </c>
      <c r="M818" s="120"/>
      <c r="N818" s="1029">
        <v>0</v>
      </c>
    </row>
    <row r="819" spans="3:21" ht="15" hidden="1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13</v>
      </c>
      <c r="J819" s="1013" t="s">
        <v>183</v>
      </c>
      <c r="M819" s="120"/>
      <c r="N819" s="1029">
        <v>0</v>
      </c>
    </row>
    <row r="820" spans="3:21" ht="15" hidden="1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hidden="1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hidden="1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hidden="1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hidden="1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hidden="1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hidden="1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hidden="1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hidden="1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hidden="1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41.82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hidden="1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41.82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hidden="1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41.82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hidden="1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hidden="1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50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hidden="1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46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hidden="1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41.82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hidden="1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hidden="1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hidden="1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hidden="1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hidden="1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hidden="1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hidden="1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hidden="1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50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hidden="1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50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hidden="1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50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hidden="1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50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hidden="1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50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hidden="1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50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hidden="1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50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hidden="1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50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hidden="1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50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hidden="1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50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hidden="1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hidden="1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hidden="1" customHeight="1">
      <c r="M855" s="120"/>
      <c r="N855" s="1029">
        <v>0</v>
      </c>
    </row>
    <row r="856" spans="1:21" ht="15" hidden="1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hidden="1" customHeight="1">
      <c r="C857" s="135" t="s">
        <v>181</v>
      </c>
      <c r="L857" s="1164"/>
      <c r="M857" s="120"/>
      <c r="N857" s="1029">
        <v>0</v>
      </c>
    </row>
    <row r="858" spans="1:21" ht="15" hidden="1" customHeight="1">
      <c r="L858" s="1164"/>
      <c r="M858" s="120"/>
      <c r="N858" s="1029">
        <v>0</v>
      </c>
    </row>
    <row r="859" spans="1:21" ht="15" hidden="1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13</v>
      </c>
      <c r="J859" s="1013" t="s">
        <v>183</v>
      </c>
      <c r="M859" s="120"/>
      <c r="N859" s="1029">
        <v>0</v>
      </c>
    </row>
    <row r="860" spans="1:21" ht="15" hidden="1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25</v>
      </c>
      <c r="J860" s="1013" t="s">
        <v>183</v>
      </c>
      <c r="M860" s="120"/>
      <c r="N860" s="1029">
        <v>0</v>
      </c>
    </row>
    <row r="861" spans="1:21" ht="15" hidden="1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41</v>
      </c>
      <c r="J861" s="1013" t="s">
        <v>183</v>
      </c>
      <c r="M861" s="120"/>
      <c r="N861" s="1029">
        <v>0</v>
      </c>
    </row>
    <row r="862" spans="1:21" ht="15" hidden="1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hidden="1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hidden="1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1</v>
      </c>
      <c r="J864" s="1013" t="s">
        <v>151</v>
      </c>
      <c r="M864" s="120"/>
      <c r="N864" s="1029">
        <v>0</v>
      </c>
    </row>
    <row r="865" spans="1:16" ht="15" hidden="1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48</v>
      </c>
      <c r="J865" s="1013" t="s">
        <v>112</v>
      </c>
      <c r="M865" s="120"/>
      <c r="N865" s="1029">
        <v>0</v>
      </c>
    </row>
    <row r="866" spans="1:16" ht="15" hidden="1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48</v>
      </c>
      <c r="J866" s="1013" t="s">
        <v>112</v>
      </c>
      <c r="M866" s="120"/>
      <c r="N866" s="1029">
        <v>0</v>
      </c>
    </row>
    <row r="867" spans="1:16" ht="15" hidden="1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48</v>
      </c>
      <c r="J867" s="1013" t="s">
        <v>112</v>
      </c>
      <c r="M867" s="120"/>
      <c r="N867" s="1029">
        <v>0</v>
      </c>
    </row>
    <row r="868" spans="1:16" ht="15" hidden="1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hidden="1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48</v>
      </c>
      <c r="J869" s="1013" t="s">
        <v>112</v>
      </c>
      <c r="M869" s="120"/>
      <c r="N869" s="1029">
        <v>0</v>
      </c>
    </row>
    <row r="870" spans="1:16" ht="15" hidden="1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48</v>
      </c>
      <c r="J870" s="1013" t="s">
        <v>112</v>
      </c>
      <c r="M870" s="120"/>
      <c r="N870" s="1029">
        <v>0</v>
      </c>
    </row>
    <row r="871" spans="1:16" ht="15" hidden="1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48</v>
      </c>
      <c r="J871" s="1013" t="s">
        <v>112</v>
      </c>
      <c r="M871" s="120"/>
      <c r="N871" s="1029">
        <v>0</v>
      </c>
    </row>
    <row r="872" spans="1:16" ht="15" hidden="1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51">ROUNDUP(ПЛ*H872,0)</f>
        <v>95</v>
      </c>
      <c r="J872" s="1013" t="s">
        <v>112</v>
      </c>
      <c r="M872" s="120"/>
      <c r="N872" s="1029">
        <v>0</v>
      </c>
    </row>
    <row r="873" spans="1:16" ht="15" hidden="1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51"/>
        <v>48</v>
      </c>
      <c r="J873" s="1013" t="s">
        <v>112</v>
      </c>
      <c r="M873" s="120"/>
      <c r="N873" s="1029">
        <v>0</v>
      </c>
    </row>
    <row r="874" spans="1:16" ht="15" hidden="1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51"/>
        <v>48</v>
      </c>
      <c r="J874" s="1013" t="s">
        <v>112</v>
      </c>
      <c r="M874" s="120"/>
      <c r="N874" s="1029">
        <v>0</v>
      </c>
    </row>
    <row r="875" spans="1:16" ht="15" hidden="1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51"/>
        <v>41</v>
      </c>
      <c r="J875" s="1013" t="s">
        <v>183</v>
      </c>
      <c r="M875" s="120"/>
      <c r="N875" s="1029">
        <v>0</v>
      </c>
    </row>
    <row r="876" spans="1:16" ht="15" hidden="1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51"/>
        <v>48</v>
      </c>
      <c r="J876" s="1013" t="s">
        <v>112</v>
      </c>
      <c r="M876" s="120"/>
      <c r="N876" s="1029">
        <v>0</v>
      </c>
    </row>
    <row r="877" spans="1:16" ht="15" hidden="1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51"/>
        <v>48</v>
      </c>
      <c r="J877" s="1013" t="s">
        <v>112</v>
      </c>
      <c r="M877" s="120"/>
      <c r="N877" s="1029">
        <v>0</v>
      </c>
    </row>
    <row r="878" spans="1:16" ht="15" hidden="1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48</v>
      </c>
      <c r="J878" s="1013" t="s">
        <v>112</v>
      </c>
      <c r="M878" s="120"/>
      <c r="N878" s="1029">
        <v>0</v>
      </c>
    </row>
    <row r="879" spans="1:16" ht="15" hidden="1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48</v>
      </c>
      <c r="J879" s="1013" t="s">
        <v>112</v>
      </c>
      <c r="M879" s="120"/>
      <c r="N879" s="1029">
        <v>0</v>
      </c>
    </row>
    <row r="880" spans="1:16" ht="15" hidden="1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hidden="1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50</v>
      </c>
      <c r="J881" s="1013" t="s">
        <v>112</v>
      </c>
      <c r="M881" s="120"/>
      <c r="N881" s="1029">
        <v>0</v>
      </c>
    </row>
    <row r="882" spans="1:14" ht="15" hidden="1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50</v>
      </c>
      <c r="J882" s="1013" t="s">
        <v>112</v>
      </c>
      <c r="M882" s="120"/>
      <c r="N882" s="1029">
        <v>0</v>
      </c>
    </row>
    <row r="883" spans="1:14" ht="15" hidden="1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48</v>
      </c>
      <c r="J883" s="1013" t="s">
        <v>112</v>
      </c>
      <c r="M883" s="120"/>
      <c r="N883" s="1029">
        <v>0</v>
      </c>
    </row>
    <row r="884" spans="1:14" ht="15" hidden="1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48</v>
      </c>
      <c r="J884" s="1013" t="s">
        <v>112</v>
      </c>
      <c r="M884" s="120"/>
      <c r="N884" s="1029">
        <v>0</v>
      </c>
    </row>
    <row r="885" spans="1:14" ht="15" hidden="1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48</v>
      </c>
      <c r="J885" s="1013" t="s">
        <v>112</v>
      </c>
      <c r="M885" s="120"/>
      <c r="N885" s="1029">
        <v>0</v>
      </c>
    </row>
    <row r="886" spans="1:14" ht="15" hidden="1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hidden="1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48</v>
      </c>
      <c r="J887" s="1013" t="s">
        <v>112</v>
      </c>
      <c r="M887" s="120"/>
      <c r="N887" s="1029">
        <v>0</v>
      </c>
    </row>
    <row r="888" spans="1:14" ht="15" hidden="1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48</v>
      </c>
      <c r="J888" s="1013" t="s">
        <v>112</v>
      </c>
      <c r="M888" s="120"/>
      <c r="N888" s="1029">
        <v>0</v>
      </c>
    </row>
    <row r="889" spans="1:14" ht="15" hidden="1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hidden="1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hidden="1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hidden="1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hidden="1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hidden="1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hidden="1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hidden="1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hidden="1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hidden="1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hidden="1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hidden="1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hidden="1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hidden="1" customHeight="1">
      <c r="M902" s="120"/>
      <c r="N902" s="1029">
        <v>0</v>
      </c>
    </row>
    <row r="903" spans="3:14" ht="15" hidden="1" customHeight="1">
      <c r="M903" s="120"/>
      <c r="N903" s="1029">
        <v>0</v>
      </c>
    </row>
    <row r="904" spans="3:14" ht="15" hidden="1" customHeight="1">
      <c r="M904" s="120"/>
      <c r="N904" s="1029">
        <v>0</v>
      </c>
    </row>
    <row r="905" spans="3:14" ht="15" hidden="1" customHeight="1">
      <c r="M905" s="120"/>
      <c r="N905" s="1029">
        <v>0</v>
      </c>
    </row>
    <row r="906" spans="3:14" ht="15" hidden="1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hidden="1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hidden="1" customHeight="1">
      <c r="C908" s="626" t="s">
        <v>652</v>
      </c>
      <c r="D908" s="627"/>
      <c r="E908" s="627"/>
      <c r="F908" s="627"/>
      <c r="G908" s="628" t="str">
        <f t="shared" ref="G908:G913" si="152">" "</f>
        <v xml:space="preserve"> </v>
      </c>
      <c r="H908" s="608">
        <v>1.03</v>
      </c>
      <c r="I908" s="614">
        <f>IFERROR(ROUNDUP(ПКР*H908,2),0)</f>
        <v>35.129999999999995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hidden="1" customHeight="1">
      <c r="C909" s="626" t="s">
        <v>651</v>
      </c>
      <c r="D909" s="627"/>
      <c r="E909" s="627"/>
      <c r="F909" s="627"/>
      <c r="G909" s="628" t="str">
        <f t="shared" si="152"/>
        <v xml:space="preserve"> </v>
      </c>
      <c r="H909" s="608">
        <v>1.03</v>
      </c>
      <c r="I909" s="614">
        <f>IFERROR(ROUNDUP(ППР*H909,2),0)</f>
        <v>35.129999999999995</v>
      </c>
      <c r="J909" s="1013" t="s">
        <v>264</v>
      </c>
      <c r="L909" s="1164"/>
      <c r="M909" s="120"/>
      <c r="N909" s="1029">
        <v>0</v>
      </c>
    </row>
    <row r="910" spans="3:14" ht="15" hidden="1" customHeight="1">
      <c r="C910" s="626" t="s">
        <v>559</v>
      </c>
      <c r="D910" s="627"/>
      <c r="E910" s="627"/>
      <c r="F910" s="627"/>
      <c r="G910" s="628" t="str">
        <f t="shared" si="152"/>
        <v xml:space="preserve"> </v>
      </c>
      <c r="H910" s="608">
        <v>5</v>
      </c>
      <c r="I910" s="611">
        <f>IFERROR(ROUNDUP(СМРЗ.МЕТ*H910*1.03,0),0)</f>
        <v>145</v>
      </c>
      <c r="J910" s="1013" t="s">
        <v>151</v>
      </c>
      <c r="L910" s="1164"/>
      <c r="M910" s="120"/>
      <c r="N910" s="1029">
        <v>0</v>
      </c>
    </row>
    <row r="911" spans="3:14" ht="15" hidden="1" customHeight="1">
      <c r="C911" s="626" t="s">
        <v>189</v>
      </c>
      <c r="D911" s="627"/>
      <c r="E911" s="627"/>
      <c r="F911" s="627"/>
      <c r="G911" s="628" t="str">
        <f t="shared" si="152"/>
        <v xml:space="preserve"> </v>
      </c>
      <c r="H911" s="608">
        <v>5</v>
      </c>
      <c r="I911" s="611">
        <f>IFERROR(ROUNDUP(АНКЕР,0),0)</f>
        <v>315</v>
      </c>
      <c r="J911" s="1013" t="s">
        <v>151</v>
      </c>
      <c r="M911" s="120"/>
      <c r="N911" s="1029">
        <v>0</v>
      </c>
    </row>
    <row r="912" spans="3:14" ht="15" hidden="1" customHeight="1">
      <c r="C912" s="626" t="s">
        <v>1459</v>
      </c>
      <c r="D912" s="627"/>
      <c r="E912" s="627"/>
      <c r="F912" s="627"/>
      <c r="G912" s="628" t="str">
        <f t="shared" si="152"/>
        <v xml:space="preserve"> </v>
      </c>
      <c r="H912" s="608">
        <v>5</v>
      </c>
      <c r="I912" s="611">
        <f>IFERROR(ROUNDUP(СМРЗ.БЕТ*H912*1.03,0),0)+$I$1141</f>
        <v>243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hidden="1" customHeight="1">
      <c r="C913" s="626" t="s">
        <v>653</v>
      </c>
      <c r="D913" s="627"/>
      <c r="E913" s="627"/>
      <c r="F913" s="627"/>
      <c r="G913" s="628" t="str">
        <f t="shared" si="152"/>
        <v xml:space="preserve"> </v>
      </c>
      <c r="H913" s="608">
        <v>0.15</v>
      </c>
      <c r="I913" s="614">
        <f>IFERROR((ROUNDUP(ПКР*H913/310*1000,0))*0.33,0)</f>
        <v>5.61</v>
      </c>
      <c r="J913" s="1013" t="s">
        <v>183</v>
      </c>
      <c r="L913" s="1166"/>
      <c r="M913" s="120"/>
      <c r="N913" s="1029">
        <v>0</v>
      </c>
    </row>
    <row r="914" spans="2:14" ht="15" hidden="1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hidden="1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39</v>
      </c>
      <c r="J915" s="1013" t="s">
        <v>112</v>
      </c>
      <c r="M915" s="120"/>
      <c r="N915" s="1029">
        <v>0</v>
      </c>
    </row>
    <row r="916" spans="2:14" ht="15" hidden="1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hidden="1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hidden="1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hidden="1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hidden="1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hidden="1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hidden="1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hidden="1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hidden="1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hidden="1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hidden="1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hidden="1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hidden="1" customHeight="1">
      <c r="C928" s="626" t="s">
        <v>1489</v>
      </c>
      <c r="D928" s="627"/>
      <c r="E928" s="627"/>
      <c r="F928" s="733"/>
      <c r="G928" s="628" t="str">
        <f t="shared" ref="G928:G933" si="153">" "</f>
        <v xml:space="preserve"> </v>
      </c>
      <c r="H928" s="608">
        <v>1.1499999999999999</v>
      </c>
      <c r="I928" s="609">
        <f>IFERROR(ROUNDUP((парапетВ+парапетН)*H928,0),0)</f>
        <v>39</v>
      </c>
      <c r="J928" s="1013" t="s">
        <v>112</v>
      </c>
      <c r="M928" s="120"/>
      <c r="N928" s="1029">
        <v>0</v>
      </c>
    </row>
    <row r="929" spans="3:14" ht="15" hidden="1" customHeight="1">
      <c r="C929" s="626" t="s">
        <v>184</v>
      </c>
      <c r="D929" s="627"/>
      <c r="E929" s="627"/>
      <c r="F929" s="627"/>
      <c r="G929" s="628" t="str">
        <f t="shared" si="153"/>
        <v xml:space="preserve"> </v>
      </c>
      <c r="H929" s="608">
        <v>1.1499999999999999</v>
      </c>
      <c r="I929" s="609">
        <f>IFERROR(ROUNDUP(парапетВ*H929,0),0)</f>
        <v>39</v>
      </c>
      <c r="J929" s="1013" t="s">
        <v>112</v>
      </c>
      <c r="M929" s="120"/>
      <c r="N929" s="1029">
        <v>0</v>
      </c>
    </row>
    <row r="930" spans="3:14" ht="15" hidden="1" customHeight="1">
      <c r="C930" s="626" t="s">
        <v>1483</v>
      </c>
      <c r="D930" s="627"/>
      <c r="E930" s="627"/>
      <c r="F930" s="627"/>
      <c r="G930" s="628" t="str">
        <f t="shared" si="153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hidden="1" customHeight="1">
      <c r="C931" s="626" t="s">
        <v>1484</v>
      </c>
      <c r="D931" s="627"/>
      <c r="E931" s="627"/>
      <c r="F931" s="627"/>
      <c r="G931" s="628" t="str">
        <f t="shared" si="153"/>
        <v xml:space="preserve"> </v>
      </c>
      <c r="H931" s="608">
        <v>1.1499999999999999</v>
      </c>
      <c r="I931" s="609">
        <f>IFERROR(ROUNDUP(парапетВ*H931,0),0)</f>
        <v>39</v>
      </c>
      <c r="J931" s="1013" t="s">
        <v>112</v>
      </c>
      <c r="M931" s="120"/>
      <c r="N931" s="1029">
        <v>0</v>
      </c>
    </row>
    <row r="932" spans="3:14" ht="15" hidden="1" customHeight="1">
      <c r="C932" s="626" t="s">
        <v>1481</v>
      </c>
      <c r="D932" s="627"/>
      <c r="E932" s="627"/>
      <c r="F932" s="627"/>
      <c r="G932" s="628" t="str">
        <f t="shared" si="153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hidden="1" customHeight="1">
      <c r="C933" s="626" t="s">
        <v>187</v>
      </c>
      <c r="D933" s="627"/>
      <c r="E933" s="627"/>
      <c r="F933" s="627"/>
      <c r="G933" s="628" t="str">
        <f t="shared" si="153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hidden="1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hidden="1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39</v>
      </c>
      <c r="J935" s="1013" t="s">
        <v>112</v>
      </c>
      <c r="M935" s="120"/>
      <c r="N935" s="1029">
        <v>0</v>
      </c>
    </row>
    <row r="936" spans="3:14" ht="15" hidden="1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39</v>
      </c>
      <c r="J936" s="1013" t="s">
        <v>112</v>
      </c>
      <c r="M936" s="120"/>
      <c r="N936" s="1029">
        <v>0</v>
      </c>
    </row>
    <row r="937" spans="3:14" ht="15" hidden="1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39</v>
      </c>
      <c r="J937" s="1013" t="s">
        <v>112</v>
      </c>
      <c r="M937" s="120"/>
      <c r="N937" s="1029">
        <v>0</v>
      </c>
    </row>
    <row r="938" spans="3:14" ht="15" hidden="1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39</v>
      </c>
      <c r="J938" s="1013" t="s">
        <v>112</v>
      </c>
      <c r="M938" s="120"/>
      <c r="N938" s="1029">
        <v>0</v>
      </c>
    </row>
    <row r="939" spans="3:14" ht="15" hidden="1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hidden="1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hidden="1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hidden="1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hidden="1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hidden="1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hidden="1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hidden="1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hidden="1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hidden="1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hidden="1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hidden="1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hidden="1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hidden="1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hidden="1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hidden="1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hidden="1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hidden="1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hidden="1" customHeight="1">
      <c r="M957" s="120"/>
      <c r="N957" s="1029">
        <v>0</v>
      </c>
    </row>
    <row r="958" spans="3:14" ht="15" hidden="1" customHeight="1">
      <c r="M958" s="120"/>
      <c r="N958" s="1029">
        <v>0</v>
      </c>
    </row>
    <row r="959" spans="3:14" ht="15" hidden="1" customHeight="1">
      <c r="M959" s="120"/>
      <c r="N959" s="1029">
        <v>0</v>
      </c>
    </row>
    <row r="960" spans="3:14" ht="15" hidden="1" customHeight="1">
      <c r="M960" s="120"/>
      <c r="N960" s="1029">
        <v>0</v>
      </c>
    </row>
    <row r="961" spans="2:28" ht="15" hidden="1" customHeight="1">
      <c r="M961" s="120"/>
      <c r="N961" s="1029">
        <v>0</v>
      </c>
    </row>
    <row r="962" spans="2:28" ht="15" hidden="1" customHeight="1">
      <c r="M962" s="120"/>
      <c r="N962" s="1029">
        <v>0</v>
      </c>
    </row>
    <row r="963" spans="2:28" ht="15" hidden="1" customHeight="1">
      <c r="M963" s="120"/>
      <c r="N963" s="1029">
        <v>0</v>
      </c>
    </row>
    <row r="964" spans="2:28" ht="15" hidden="1" customHeight="1">
      <c r="M964" s="120"/>
      <c r="N964" s="1029">
        <v>0</v>
      </c>
    </row>
    <row r="965" spans="2:28" ht="15" hidden="1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hidden="1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hidden="1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hidden="1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hidden="1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hidden="1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hidden="1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hidden="1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hidden="1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hidden="1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 ca="1">ROUNDUP((ПЛ*0.006*H974+$AC$186+N("ГИ на ограждение")),0)</f>
        <v>1</v>
      </c>
      <c r="J974" s="1013" t="s">
        <v>112</v>
      </c>
      <c r="M974" s="120"/>
      <c r="N974" s="1029">
        <v>0</v>
      </c>
    </row>
    <row r="975" spans="2:28" ht="15" hidden="1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1</v>
      </c>
      <c r="J975" s="1013" t="s">
        <v>151</v>
      </c>
      <c r="M975" s="120"/>
      <c r="N975" s="1029">
        <v>0</v>
      </c>
    </row>
    <row r="976" spans="2:28" ht="15" hidden="1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1</v>
      </c>
      <c r="J976" s="1013" t="s">
        <v>151</v>
      </c>
      <c r="L976" s="381"/>
      <c r="M976" s="120"/>
      <c r="N976" s="1029">
        <v>0</v>
      </c>
    </row>
    <row r="977" spans="2:16" ht="15" hidden="1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48</v>
      </c>
      <c r="J977" s="1013" t="s">
        <v>112</v>
      </c>
      <c r="M977" s="120"/>
      <c r="N977" s="1029">
        <v>0</v>
      </c>
    </row>
    <row r="978" spans="2:16" ht="15" hidden="1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1</v>
      </c>
      <c r="J978" s="682" t="s">
        <v>151</v>
      </c>
      <c r="M978" s="120"/>
      <c r="N978" s="1029">
        <v>0</v>
      </c>
    </row>
    <row r="979" spans="2:16" ht="15" hidden="1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hidden="1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50</v>
      </c>
      <c r="J980" s="712" t="s">
        <v>112</v>
      </c>
      <c r="M980" s="120"/>
      <c r="N980" s="1029">
        <v>0</v>
      </c>
    </row>
    <row r="981" spans="2:16" ht="15" hidden="1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50</v>
      </c>
      <c r="J981" s="1013" t="s">
        <v>112</v>
      </c>
      <c r="M981" s="120"/>
      <c r="N981" s="1029">
        <v>0</v>
      </c>
    </row>
    <row r="982" spans="2:16" ht="15" hidden="1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46</v>
      </c>
      <c r="J982" s="1013" t="s">
        <v>112</v>
      </c>
      <c r="M982" s="120"/>
      <c r="N982" s="1029">
        <v>0</v>
      </c>
    </row>
    <row r="983" spans="2:16" ht="15" hidden="1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46</v>
      </c>
      <c r="J983" s="1013" t="s">
        <v>112</v>
      </c>
      <c r="K983" s="719"/>
      <c r="L983" s="170"/>
      <c r="M983" s="120"/>
      <c r="N983" s="1029">
        <v>0</v>
      </c>
    </row>
    <row r="984" spans="2:16" ht="15" hidden="1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hidden="1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hidden="1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hidden="1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hidden="1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hidden="1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hidden="1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4">ROUNDUP(ПЛ*H990,0)</f>
        <v>48</v>
      </c>
      <c r="J990" s="1013" t="s">
        <v>112</v>
      </c>
      <c r="M990" s="120"/>
      <c r="N990" s="1029">
        <v>0</v>
      </c>
    </row>
    <row r="991" spans="2:16" ht="15" hidden="1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4"/>
        <v>48</v>
      </c>
      <c r="J991" s="1013" t="s">
        <v>112</v>
      </c>
      <c r="M991" s="120"/>
      <c r="N991" s="1029">
        <v>0</v>
      </c>
    </row>
    <row r="992" spans="2:16" ht="15" hidden="1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4"/>
        <v>48</v>
      </c>
      <c r="J992" s="1013" t="s">
        <v>112</v>
      </c>
      <c r="M992" s="120"/>
      <c r="N992" s="1029">
        <v>0</v>
      </c>
    </row>
    <row r="993" spans="3:14" ht="15" hidden="1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4"/>
        <v>48</v>
      </c>
      <c r="J993" s="1013" t="s">
        <v>112</v>
      </c>
      <c r="M993" s="120"/>
      <c r="N993" s="1029">
        <v>0</v>
      </c>
    </row>
    <row r="994" spans="3:14" ht="15" hidden="1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4"/>
        <v>48</v>
      </c>
      <c r="J994" s="1013" t="s">
        <v>112</v>
      </c>
      <c r="M994" s="120"/>
      <c r="N994" s="1029">
        <v>0</v>
      </c>
    </row>
    <row r="995" spans="3:14" ht="15" hidden="1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4"/>
        <v>48</v>
      </c>
      <c r="J995" s="1013" t="s">
        <v>112</v>
      </c>
      <c r="M995" s="120"/>
      <c r="N995" s="1029">
        <v>0</v>
      </c>
    </row>
    <row r="996" spans="3:14" ht="15" hidden="1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4"/>
        <v>48</v>
      </c>
      <c r="J996" s="1013" t="s">
        <v>112</v>
      </c>
      <c r="M996" s="120"/>
      <c r="N996" s="1029">
        <v>0</v>
      </c>
    </row>
    <row r="997" spans="3:14" ht="15" hidden="1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4"/>
        <v>48</v>
      </c>
      <c r="J997" s="1013" t="s">
        <v>112</v>
      </c>
      <c r="M997" s="120"/>
      <c r="N997" s="1029">
        <v>0</v>
      </c>
    </row>
    <row r="998" spans="3:14" ht="15" hidden="1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4"/>
        <v>48</v>
      </c>
      <c r="J998" s="1013" t="s">
        <v>112</v>
      </c>
      <c r="M998" s="120"/>
      <c r="N998" s="1029">
        <v>0</v>
      </c>
    </row>
    <row r="999" spans="3:14" ht="15" hidden="1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4"/>
        <v>48</v>
      </c>
      <c r="J999" s="1013" t="s">
        <v>112</v>
      </c>
      <c r="M999" s="120"/>
      <c r="N999" s="1029">
        <v>0</v>
      </c>
    </row>
    <row r="1000" spans="3:14" ht="15" hidden="1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4"/>
        <v>48</v>
      </c>
      <c r="J1000" s="1013" t="s">
        <v>112</v>
      </c>
      <c r="M1000" s="120"/>
      <c r="N1000" s="1029">
        <v>0</v>
      </c>
    </row>
    <row r="1001" spans="3:14" ht="15" hidden="1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4"/>
        <v>48</v>
      </c>
      <c r="J1001" s="1013" t="s">
        <v>112</v>
      </c>
      <c r="M1001" s="120"/>
      <c r="N1001" s="1029">
        <v>0</v>
      </c>
    </row>
    <row r="1002" spans="3:14" ht="15" hidden="1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4"/>
        <v>48</v>
      </c>
      <c r="J1002" s="1013" t="s">
        <v>112</v>
      </c>
      <c r="M1002" s="120"/>
      <c r="N1002" s="1029">
        <v>0</v>
      </c>
    </row>
    <row r="1003" spans="3:14" ht="15" hidden="1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4"/>
        <v>48</v>
      </c>
      <c r="J1003" s="1013" t="s">
        <v>112</v>
      </c>
      <c r="M1003" s="120"/>
      <c r="N1003" s="1029">
        <v>0</v>
      </c>
    </row>
    <row r="1004" spans="3:14" ht="15" hidden="1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4"/>
        <v>48</v>
      </c>
      <c r="J1004" s="1013" t="s">
        <v>112</v>
      </c>
      <c r="M1004" s="120"/>
      <c r="N1004" s="1029">
        <v>0</v>
      </c>
    </row>
    <row r="1005" spans="3:14" ht="15" hidden="1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4"/>
        <v>48</v>
      </c>
      <c r="J1005" s="1013" t="s">
        <v>112</v>
      </c>
      <c r="M1005" s="120"/>
      <c r="N1005" s="1029">
        <v>0</v>
      </c>
    </row>
    <row r="1006" spans="3:14" ht="15" hidden="1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4"/>
        <v>48</v>
      </c>
      <c r="J1006" s="1013" t="s">
        <v>112</v>
      </c>
      <c r="M1006" s="120"/>
      <c r="N1006" s="1029">
        <v>0</v>
      </c>
    </row>
    <row r="1007" spans="3:14" ht="15" hidden="1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4"/>
        <v>48</v>
      </c>
      <c r="J1007" s="682" t="s">
        <v>112</v>
      </c>
      <c r="M1007" s="120"/>
      <c r="N1007" s="1029">
        <v>0</v>
      </c>
    </row>
    <row r="1008" spans="3:14" ht="15" hidden="1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hidden="1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11</v>
      </c>
      <c r="J1009" s="676" t="s">
        <v>183</v>
      </c>
      <c r="M1009" s="120"/>
      <c r="N1009" s="1029">
        <v>0</v>
      </c>
    </row>
    <row r="1010" spans="3:14" ht="15" hidden="1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29</v>
      </c>
      <c r="J1010" s="1013" t="s">
        <v>183</v>
      </c>
      <c r="M1010" s="120"/>
      <c r="N1010" s="1029">
        <v>0</v>
      </c>
    </row>
    <row r="1011" spans="3:14" ht="15" hidden="1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21</v>
      </c>
      <c r="J1011" s="1013" t="s">
        <v>183</v>
      </c>
      <c r="M1011" s="120"/>
      <c r="N1011" s="1029">
        <v>0</v>
      </c>
    </row>
    <row r="1012" spans="3:14" ht="15" hidden="1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9</v>
      </c>
      <c r="J1012" s="1013" t="s">
        <v>183</v>
      </c>
      <c r="K1012" s="719"/>
      <c r="L1012" s="170"/>
      <c r="M1012" s="120"/>
      <c r="N1012" s="1029">
        <v>0</v>
      </c>
    </row>
    <row r="1013" spans="3:14" ht="15" hidden="1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hidden="1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hidden="1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48</v>
      </c>
      <c r="J1015" s="1013" t="s">
        <v>112</v>
      </c>
      <c r="M1015" s="120"/>
      <c r="N1015" s="1029">
        <v>0</v>
      </c>
    </row>
    <row r="1016" spans="3:14" ht="15" hidden="1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48</v>
      </c>
      <c r="J1016" s="1013" t="s">
        <v>112</v>
      </c>
      <c r="M1016" s="120"/>
      <c r="N1016" s="1029">
        <v>0</v>
      </c>
    </row>
    <row r="1017" spans="3:14" ht="15" hidden="1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48</v>
      </c>
      <c r="J1017" s="682" t="s">
        <v>112</v>
      </c>
      <c r="L1017" s="277"/>
      <c r="M1017" s="120"/>
      <c r="N1017" s="1029">
        <v>0</v>
      </c>
    </row>
    <row r="1018" spans="3:14" ht="15" hidden="1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hidden="1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hidden="1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hidden="1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hidden="1" customHeight="1">
      <c r="L1022" s="1164"/>
      <c r="M1022" s="120"/>
      <c r="N1022" s="1029">
        <v>0</v>
      </c>
    </row>
    <row r="1023" spans="3:14" ht="15" hidden="1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hidden="1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hidden="1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4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hidden="1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hidden="1" customHeight="1">
      <c r="C1027" s="626" t="s">
        <v>1090</v>
      </c>
      <c r="D1027" s="627"/>
      <c r="E1027" s="627"/>
      <c r="F1027" s="627"/>
      <c r="G1027" s="628" t="str">
        <f t="shared" ref="G1027:G1034" si="155">" "</f>
        <v xml:space="preserve"> </v>
      </c>
      <c r="H1027" s="608">
        <v>5</v>
      </c>
      <c r="I1027" s="611">
        <f>IFERROR(ROUNDUP(ТЭ*H1027*1.03,0),0)</f>
        <v>31</v>
      </c>
      <c r="J1027" s="1013" t="s">
        <v>151</v>
      </c>
      <c r="L1027" s="1165"/>
      <c r="M1027" s="120"/>
      <c r="N1027" s="1029">
        <v>0</v>
      </c>
    </row>
    <row r="1028" spans="2:17" ht="15" hidden="1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5"/>
        <v xml:space="preserve"> </v>
      </c>
      <c r="H1028" s="608">
        <v>1.03</v>
      </c>
      <c r="I1028" s="614">
        <f>IFERROR(ROUNDUP(ПКР*H1028,2),0)</f>
        <v>35.129999999999995</v>
      </c>
      <c r="J1028" s="1013" t="s">
        <v>264</v>
      </c>
      <c r="M1028" s="120"/>
      <c r="N1028" s="1029">
        <v>0</v>
      </c>
      <c r="Q1028" s="1"/>
    </row>
    <row r="1029" spans="2:17" ht="15" hidden="1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5"/>
        <v xml:space="preserve"> </v>
      </c>
      <c r="H1029" s="608">
        <v>1.03</v>
      </c>
      <c r="I1029" s="614">
        <f>IFERROR(ROUNDUP(ППР*H1029,2),0)</f>
        <v>35.129999999999995</v>
      </c>
      <c r="J1029" s="1013" t="s">
        <v>264</v>
      </c>
      <c r="M1029" s="120"/>
      <c r="N1029" s="1029">
        <v>0</v>
      </c>
      <c r="Q1029" s="1"/>
    </row>
    <row r="1030" spans="2:17" ht="15" hidden="1" customHeight="1">
      <c r="C1030" s="626" t="s">
        <v>559</v>
      </c>
      <c r="D1030" s="627"/>
      <c r="E1030" s="627"/>
      <c r="F1030" s="627"/>
      <c r="G1030" s="628" t="str">
        <f t="shared" si="155"/>
        <v xml:space="preserve"> </v>
      </c>
      <c r="H1030" s="608">
        <v>5</v>
      </c>
      <c r="I1030" s="611">
        <f>IFERROR(ROUNDUP(СМРЗ.МЕТ*H1030*1.03,0),0)</f>
        <v>145</v>
      </c>
      <c r="J1030" s="1013" t="s">
        <v>151</v>
      </c>
      <c r="M1030" s="120"/>
      <c r="N1030" s="1029">
        <v>0</v>
      </c>
    </row>
    <row r="1031" spans="2:17" ht="15" hidden="1" customHeight="1">
      <c r="C1031" s="626" t="s">
        <v>189</v>
      </c>
      <c r="D1031" s="627"/>
      <c r="E1031" s="627"/>
      <c r="F1031" s="627"/>
      <c r="G1031" s="628" t="str">
        <f t="shared" si="155"/>
        <v xml:space="preserve"> </v>
      </c>
      <c r="H1031" s="608">
        <v>5</v>
      </c>
      <c r="I1031" s="611">
        <f>IFERROR(ROUNDUP(АНКЕР,0),0)</f>
        <v>315</v>
      </c>
      <c r="J1031" s="1013" t="s">
        <v>151</v>
      </c>
      <c r="M1031" s="120"/>
      <c r="N1031" s="1029">
        <v>0</v>
      </c>
    </row>
    <row r="1032" spans="2:17" ht="15" hidden="1" customHeight="1">
      <c r="C1032" s="626" t="s">
        <v>1459</v>
      </c>
      <c r="D1032" s="627"/>
      <c r="E1032" s="627"/>
      <c r="F1032" s="627"/>
      <c r="G1032" s="628" t="str">
        <f t="shared" si="155"/>
        <v xml:space="preserve"> </v>
      </c>
      <c r="H1032" s="608">
        <v>5</v>
      </c>
      <c r="I1032" s="611">
        <f>IFERROR(ROUNDUP(СМРЗ.БЕТ*H1032*1.03,0),0)+$I$1141</f>
        <v>243</v>
      </c>
      <c r="J1032" s="1013" t="s">
        <v>151</v>
      </c>
      <c r="K1032" s="106"/>
      <c r="M1032" s="120"/>
      <c r="N1032" s="1029">
        <v>0</v>
      </c>
    </row>
    <row r="1033" spans="2:17" ht="15" hidden="1" customHeight="1">
      <c r="C1033" s="626" t="s">
        <v>192</v>
      </c>
      <c r="D1033" s="627"/>
      <c r="E1033" s="627"/>
      <c r="F1033" s="627"/>
      <c r="G1033" s="628" t="str">
        <f t="shared" si="155"/>
        <v xml:space="preserve"> </v>
      </c>
      <c r="H1033" s="608">
        <v>1.1000000000000001</v>
      </c>
      <c r="I1033" s="609">
        <f>IFERROR(ROUNDUP(ГнП*H1033+IFERROR(IF($R$110=$AA$16,$T$110*1.9,0),0),0),0)</f>
        <v>3</v>
      </c>
      <c r="J1033" s="1013" t="s">
        <v>112</v>
      </c>
      <c r="M1033" s="120"/>
      <c r="N1033" s="1029">
        <v>0</v>
      </c>
    </row>
    <row r="1034" spans="2:17" ht="15" hidden="1" customHeight="1">
      <c r="C1034" s="626" t="s">
        <v>936</v>
      </c>
      <c r="D1034" s="627"/>
      <c r="E1034" s="627"/>
      <c r="F1034" s="627"/>
      <c r="G1034" s="628" t="str">
        <f t="shared" si="155"/>
        <v xml:space="preserve"> </v>
      </c>
      <c r="H1034" s="608">
        <v>0.15</v>
      </c>
      <c r="I1034" s="611">
        <f ca="1">IFERROR(ROUNDUP((ПКР*H1034+$F$1035*0.025)*1000/600+$T$108*300/600+$AD$186+N("герметик на ограждения"),0),0)</f>
        <v>9</v>
      </c>
      <c r="J1034" s="1013" t="s">
        <v>151</v>
      </c>
      <c r="M1034" s="120"/>
      <c r="N1034" s="1029">
        <v>0</v>
      </c>
    </row>
    <row r="1035" spans="2:17" ht="15" hidden="1" customHeight="1">
      <c r="C1035" s="626" t="s">
        <v>408</v>
      </c>
      <c r="D1035" s="627"/>
      <c r="E1035" s="627"/>
      <c r="F1035" s="721"/>
      <c r="G1035" s="628" t="str">
        <f>CONCATENATE(($S$101+$U$106)," м")</f>
        <v>5,9 м</v>
      </c>
      <c r="H1035" s="608">
        <v>1.05</v>
      </c>
      <c r="I1035" s="614">
        <f>ROUNDUP(($S$101+$U$106)*H1035*0.33+N("полоса шириной 2 метра поделенная на 6 частей по 33 см"),2)</f>
        <v>2.0499999999999998</v>
      </c>
      <c r="J1035" s="1013" t="s">
        <v>112</v>
      </c>
      <c r="M1035" s="120"/>
      <c r="N1035" s="1029">
        <v>0</v>
      </c>
    </row>
    <row r="1036" spans="2:17" ht="15" hidden="1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39</v>
      </c>
      <c r="J1036" s="1013" t="s">
        <v>112</v>
      </c>
      <c r="M1036" s="120"/>
      <c r="N1036" s="1029">
        <v>0</v>
      </c>
    </row>
    <row r="1037" spans="2:17" ht="15" hidden="1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hidden="1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hidden="1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hidden="1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hidden="1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hidden="1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hidden="1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hidden="1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hidden="1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hidden="1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hidden="1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hidden="1" customHeight="1">
      <c r="C1048" s="626" t="s">
        <v>188</v>
      </c>
      <c r="D1048" s="627"/>
      <c r="E1048" s="627"/>
      <c r="F1048" s="627"/>
      <c r="G1048" s="628" t="str">
        <f t="shared" ref="G1048:G1059" si="156">" "</f>
        <v xml:space="preserve"> </v>
      </c>
      <c r="H1048" s="608">
        <v>1.03</v>
      </c>
      <c r="I1048" s="611">
        <f>IFERROR(MROUND(ROUNDUP(ППР*H1048,0),3),0)</f>
        <v>36</v>
      </c>
      <c r="J1048" s="1013" t="s">
        <v>264</v>
      </c>
      <c r="M1048" s="120"/>
      <c r="N1048" s="1029">
        <v>0</v>
      </c>
    </row>
    <row r="1049" spans="2:16" ht="15" hidden="1" customHeight="1">
      <c r="C1049" s="626" t="s">
        <v>196</v>
      </c>
      <c r="D1049" s="627"/>
      <c r="E1049" s="627"/>
      <c r="F1049" s="627"/>
      <c r="G1049" s="628" t="str">
        <f t="shared" si="156"/>
        <v xml:space="preserve"> </v>
      </c>
      <c r="H1049" s="608">
        <v>1.1499999999999999</v>
      </c>
      <c r="I1049" s="609">
        <f t="shared" ref="I1049:I1060" si="157">IFERROR(ROUNDUP(парапетВ*H1049+IFERROR(IF($R$110=$AA$16,($T$110*1.05*1.15)),0),0),0)</f>
        <v>39</v>
      </c>
      <c r="J1049" s="1013" t="s">
        <v>112</v>
      </c>
      <c r="M1049" s="120"/>
      <c r="N1049" s="1029">
        <v>0</v>
      </c>
    </row>
    <row r="1050" spans="2:16" ht="15" hidden="1" customHeight="1">
      <c r="C1050" s="626" t="s">
        <v>202</v>
      </c>
      <c r="D1050" s="627"/>
      <c r="E1050" s="627"/>
      <c r="F1050" s="627"/>
      <c r="G1050" s="628" t="str">
        <f t="shared" si="156"/>
        <v xml:space="preserve"> </v>
      </c>
      <c r="H1050" s="608">
        <v>1.1499999999999999</v>
      </c>
      <c r="I1050" s="609">
        <f t="shared" si="157"/>
        <v>39</v>
      </c>
      <c r="J1050" s="1013" t="s">
        <v>112</v>
      </c>
      <c r="M1050" s="120"/>
      <c r="N1050" s="1029">
        <v>0</v>
      </c>
    </row>
    <row r="1051" spans="2:16" ht="15" hidden="1" customHeight="1">
      <c r="C1051" s="626" t="s">
        <v>205</v>
      </c>
      <c r="D1051" s="627"/>
      <c r="E1051" s="627"/>
      <c r="F1051" s="627"/>
      <c r="G1051" s="628" t="str">
        <f t="shared" si="156"/>
        <v xml:space="preserve"> </v>
      </c>
      <c r="H1051" s="608">
        <v>1.1499999999999999</v>
      </c>
      <c r="I1051" s="609">
        <f t="shared" si="157"/>
        <v>39</v>
      </c>
      <c r="J1051" s="1013" t="s">
        <v>112</v>
      </c>
      <c r="M1051" s="120"/>
      <c r="N1051" s="1029">
        <v>0</v>
      </c>
    </row>
    <row r="1052" spans="2:16" ht="15" hidden="1" customHeight="1">
      <c r="C1052" s="626" t="s">
        <v>266</v>
      </c>
      <c r="D1052" s="627"/>
      <c r="E1052" s="627"/>
      <c r="F1052" s="627"/>
      <c r="G1052" s="628" t="str">
        <f t="shared" si="156"/>
        <v xml:space="preserve"> </v>
      </c>
      <c r="H1052" s="608">
        <v>1.1499999999999999</v>
      </c>
      <c r="I1052" s="609">
        <f t="shared" si="157"/>
        <v>39</v>
      </c>
      <c r="J1052" s="1013" t="s">
        <v>112</v>
      </c>
      <c r="M1052" s="120"/>
      <c r="N1052" s="1029">
        <v>0</v>
      </c>
    </row>
    <row r="1053" spans="2:16" ht="15" hidden="1" customHeight="1">
      <c r="C1053" s="626" t="s">
        <v>194</v>
      </c>
      <c r="D1053" s="627"/>
      <c r="E1053" s="627"/>
      <c r="F1053" s="627"/>
      <c r="G1053" s="628" t="str">
        <f t="shared" si="156"/>
        <v xml:space="preserve"> </v>
      </c>
      <c r="H1053" s="608">
        <v>1.1499999999999999</v>
      </c>
      <c r="I1053" s="609">
        <f t="shared" si="157"/>
        <v>39</v>
      </c>
      <c r="J1053" s="1013" t="s">
        <v>112</v>
      </c>
      <c r="M1053" s="120"/>
      <c r="N1053" s="1029">
        <v>0</v>
      </c>
    </row>
    <row r="1054" spans="2:16" ht="15" hidden="1" customHeight="1">
      <c r="C1054" s="626" t="s">
        <v>203</v>
      </c>
      <c r="D1054" s="627"/>
      <c r="E1054" s="627"/>
      <c r="F1054" s="627"/>
      <c r="G1054" s="628" t="str">
        <f t="shared" si="156"/>
        <v xml:space="preserve"> </v>
      </c>
      <c r="H1054" s="608">
        <v>1.1499999999999999</v>
      </c>
      <c r="I1054" s="609">
        <f t="shared" si="157"/>
        <v>39</v>
      </c>
      <c r="J1054" s="1013" t="s">
        <v>112</v>
      </c>
      <c r="M1054" s="120"/>
      <c r="N1054" s="1029">
        <v>0</v>
      </c>
    </row>
    <row r="1055" spans="2:16" ht="15" hidden="1" customHeight="1">
      <c r="C1055" s="626" t="s">
        <v>346</v>
      </c>
      <c r="D1055" s="627"/>
      <c r="E1055" s="627"/>
      <c r="F1055" s="627"/>
      <c r="G1055" s="628" t="str">
        <f t="shared" si="156"/>
        <v xml:space="preserve"> </v>
      </c>
      <c r="H1055" s="608">
        <v>1.1499999999999999</v>
      </c>
      <c r="I1055" s="609">
        <f t="shared" si="157"/>
        <v>39</v>
      </c>
      <c r="J1055" s="1013" t="s">
        <v>112</v>
      </c>
      <c r="M1055" s="120"/>
      <c r="N1055" s="1029">
        <v>0</v>
      </c>
    </row>
    <row r="1056" spans="2:16" ht="15" hidden="1" customHeight="1">
      <c r="C1056" s="626" t="s">
        <v>195</v>
      </c>
      <c r="D1056" s="627"/>
      <c r="E1056" s="627"/>
      <c r="F1056" s="627"/>
      <c r="G1056" s="628" t="str">
        <f t="shared" si="156"/>
        <v xml:space="preserve"> </v>
      </c>
      <c r="H1056" s="608">
        <v>1.1499999999999999</v>
      </c>
      <c r="I1056" s="609">
        <f t="shared" si="157"/>
        <v>39</v>
      </c>
      <c r="J1056" s="1013" t="s">
        <v>112</v>
      </c>
      <c r="M1056" s="120"/>
      <c r="N1056" s="1029">
        <v>0</v>
      </c>
    </row>
    <row r="1057" spans="3:14" ht="15" hidden="1" customHeight="1">
      <c r="C1057" s="626" t="s">
        <v>201</v>
      </c>
      <c r="D1057" s="627"/>
      <c r="E1057" s="627"/>
      <c r="F1057" s="627"/>
      <c r="G1057" s="628" t="str">
        <f t="shared" si="156"/>
        <v xml:space="preserve"> </v>
      </c>
      <c r="H1057" s="608">
        <v>1.1499999999999999</v>
      </c>
      <c r="I1057" s="609">
        <f t="shared" si="157"/>
        <v>39</v>
      </c>
      <c r="J1057" s="1013" t="s">
        <v>112</v>
      </c>
      <c r="M1057" s="120"/>
      <c r="N1057" s="1029">
        <v>0</v>
      </c>
    </row>
    <row r="1058" spans="3:14" ht="15" hidden="1" customHeight="1">
      <c r="C1058" s="626" t="s">
        <v>204</v>
      </c>
      <c r="D1058" s="627"/>
      <c r="E1058" s="627"/>
      <c r="F1058" s="627"/>
      <c r="G1058" s="628" t="str">
        <f t="shared" si="156"/>
        <v xml:space="preserve"> </v>
      </c>
      <c r="H1058" s="608">
        <v>1.1499999999999999</v>
      </c>
      <c r="I1058" s="609">
        <f t="shared" si="157"/>
        <v>39</v>
      </c>
      <c r="J1058" s="1013" t="s">
        <v>112</v>
      </c>
      <c r="M1058" s="120"/>
      <c r="N1058" s="1029">
        <v>0</v>
      </c>
    </row>
    <row r="1059" spans="3:14" ht="15" hidden="1" customHeight="1">
      <c r="C1059" s="626" t="s">
        <v>265</v>
      </c>
      <c r="D1059" s="627"/>
      <c r="E1059" s="627"/>
      <c r="F1059" s="627"/>
      <c r="G1059" s="628" t="str">
        <f t="shared" si="156"/>
        <v xml:space="preserve"> </v>
      </c>
      <c r="H1059" s="608">
        <v>1.1499999999999999</v>
      </c>
      <c r="I1059" s="609">
        <f t="shared" si="157"/>
        <v>39</v>
      </c>
      <c r="J1059" s="1013" t="s">
        <v>112</v>
      </c>
      <c r="M1059" s="120"/>
      <c r="N1059" s="1029">
        <v>0</v>
      </c>
    </row>
    <row r="1060" spans="3:14" ht="15" hidden="1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7"/>
        <v>39</v>
      </c>
      <c r="J1060" s="1013" t="s">
        <v>112</v>
      </c>
      <c r="M1060" s="120"/>
      <c r="N1060" s="1029">
        <v>0</v>
      </c>
    </row>
    <row r="1061" spans="3:14" ht="15" hidden="1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hidden="1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hidden="1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hidden="1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9</v>
      </c>
      <c r="J1064" s="1013" t="s">
        <v>183</v>
      </c>
      <c r="M1064" s="120"/>
      <c r="N1064" s="1029">
        <v>0</v>
      </c>
    </row>
    <row r="1065" spans="3:14" ht="15" hidden="1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24</v>
      </c>
      <c r="J1065" s="1013" t="s">
        <v>183</v>
      </c>
      <c r="M1065" s="120"/>
      <c r="N1065" s="1029">
        <v>0</v>
      </c>
    </row>
    <row r="1066" spans="3:14" ht="15" hidden="1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17</v>
      </c>
      <c r="J1066" s="1013" t="s">
        <v>183</v>
      </c>
      <c r="M1066" s="120"/>
      <c r="N1066" s="1029">
        <v>0</v>
      </c>
    </row>
    <row r="1067" spans="3:14" ht="15" hidden="1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7</v>
      </c>
      <c r="J1067" s="1013" t="s">
        <v>183</v>
      </c>
      <c r="M1067" s="120"/>
      <c r="N1067" s="1029">
        <v>0</v>
      </c>
    </row>
    <row r="1068" spans="3:14" ht="15" hidden="1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36</v>
      </c>
      <c r="J1068" s="1013" t="s">
        <v>112</v>
      </c>
      <c r="M1068" s="120"/>
      <c r="N1068" s="1029">
        <v>0</v>
      </c>
    </row>
    <row r="1069" spans="3:14" ht="15" hidden="1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hidden="1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hidden="1" customHeight="1">
      <c r="M1071" s="120"/>
      <c r="N1071" s="1029">
        <v>0</v>
      </c>
    </row>
    <row r="1072" spans="3:14" ht="15" hidden="1" customHeight="1">
      <c r="M1072" s="120"/>
      <c r="N1072" s="1029">
        <v>0</v>
      </c>
    </row>
    <row r="1073" spans="1:14" ht="15" hidden="1" customHeight="1">
      <c r="M1073" s="120"/>
      <c r="N1073" s="1029">
        <v>0</v>
      </c>
    </row>
    <row r="1074" spans="1:14" ht="15" hidden="1" customHeight="1">
      <c r="M1074" s="120"/>
      <c r="N1074" s="1029">
        <v>0</v>
      </c>
    </row>
    <row r="1075" spans="1:14" ht="15" hidden="1" customHeight="1">
      <c r="M1075" s="120"/>
      <c r="N1075" s="1029">
        <v>0</v>
      </c>
    </row>
    <row r="1076" spans="1:14" ht="15" hidden="1" customHeight="1">
      <c r="M1076" s="120"/>
      <c r="N1076" s="1029">
        <v>0</v>
      </c>
    </row>
    <row r="1077" spans="1:14" ht="15" hidden="1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hidden="1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hidden="1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0.86399999999999999</v>
      </c>
      <c r="J1079" s="1013" t="s">
        <v>178</v>
      </c>
      <c r="L1079" s="1164"/>
      <c r="M1079" s="120"/>
      <c r="N1079" s="1029">
        <v>0</v>
      </c>
    </row>
    <row r="1080" spans="1:14" ht="15" hidden="1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1.296</v>
      </c>
      <c r="J1080" s="1013" t="s">
        <v>178</v>
      </c>
      <c r="M1080" s="120"/>
      <c r="N1080" s="1029">
        <v>0</v>
      </c>
    </row>
    <row r="1081" spans="1:14" ht="15" hidden="1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1.6419999999999999</v>
      </c>
      <c r="J1081" s="1013" t="s">
        <v>178</v>
      </c>
      <c r="M1081" s="120"/>
      <c r="N1081" s="1029">
        <v>0</v>
      </c>
    </row>
    <row r="1082" spans="1:14" ht="15" hidden="1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hidden="1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hidden="1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hidden="1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hidden="1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hidden="1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hidden="1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hidden="1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hidden="1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hidden="1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hidden="1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hidden="1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hidden="1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hidden="1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hidden="1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hidden="1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hidden="1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hidden="1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hidden="1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hidden="1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hidden="1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hidden="1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hidden="1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hidden="1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hidden="1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hidden="1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hidden="1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hidden="1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hidden="1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hidden="1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hidden="1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hidden="1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hidden="1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hidden="1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hidden="1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hidden="1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hidden="1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hidden="1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hidden="1" customHeight="1">
      <c r="N1120" s="1029">
        <v>0</v>
      </c>
    </row>
    <row r="1121" spans="14:14" ht="15" hidden="1" customHeight="1">
      <c r="N1121" s="1029">
        <v>0</v>
      </c>
    </row>
    <row r="1122" spans="14:14" ht="15" hidden="1" customHeight="1">
      <c r="N1122" s="1029">
        <v>0</v>
      </c>
    </row>
    <row r="1123" spans="14:14" ht="15" hidden="1" customHeight="1">
      <c r="N1123" s="1029">
        <v>0</v>
      </c>
    </row>
    <row r="1124" spans="14:14" ht="15" hidden="1" customHeight="1">
      <c r="N1124" s="1029">
        <v>0</v>
      </c>
    </row>
    <row r="1125" spans="14:14" ht="15" hidden="1" customHeight="1">
      <c r="N1125" s="1029">
        <v>0</v>
      </c>
    </row>
    <row r="1126" spans="14:14" ht="15" hidden="1" customHeight="1">
      <c r="N1126" s="1029">
        <v>0</v>
      </c>
    </row>
    <row r="1127" spans="14:14" ht="15" hidden="1" customHeight="1">
      <c r="N1127" s="1029">
        <v>0</v>
      </c>
    </row>
    <row r="1128" spans="14:14" ht="15" hidden="1" customHeight="1">
      <c r="N1128" s="1029">
        <v>0</v>
      </c>
    </row>
    <row r="1129" spans="14:14" ht="15" hidden="1" customHeight="1">
      <c r="N1129" s="1029">
        <v>0</v>
      </c>
    </row>
    <row r="1130" spans="14:14" ht="15" hidden="1" customHeight="1">
      <c r="N1130" s="1029">
        <v>0</v>
      </c>
    </row>
    <row r="1131" spans="14:14" ht="15" hidden="1" customHeight="1">
      <c r="N1131" s="1029">
        <v>0</v>
      </c>
    </row>
    <row r="1132" spans="14:14" ht="15" hidden="1" customHeight="1">
      <c r="N1132" s="1029">
        <v>0</v>
      </c>
    </row>
    <row r="1133" spans="14:14" ht="15" hidden="1" customHeight="1">
      <c r="N1133" s="1029">
        <v>0</v>
      </c>
    </row>
    <row r="1134" spans="14:14" ht="15" hidden="1" customHeight="1">
      <c r="N1134" s="1029">
        <v>0</v>
      </c>
    </row>
    <row r="1135" spans="14:14" ht="15" hidden="1" customHeight="1">
      <c r="N1135" s="1029">
        <v>0</v>
      </c>
    </row>
    <row r="1136" spans="14:14" ht="15" hidden="1" customHeight="1">
      <c r="N1136" s="1029">
        <v>0</v>
      </c>
    </row>
    <row r="1137" spans="3:19" ht="15" hidden="1" customHeight="1">
      <c r="N1137" s="1029">
        <v>0</v>
      </c>
    </row>
    <row r="1138" spans="3:19" ht="15" hidden="1" customHeight="1">
      <c r="N1138" s="1029">
        <v>0</v>
      </c>
    </row>
    <row r="1139" spans="3:19" ht="15" hidden="1" customHeight="1">
      <c r="N1139" s="1029">
        <v>0</v>
      </c>
      <c r="S1139" s="1"/>
    </row>
    <row r="1140" spans="3:19" ht="15" hidden="1" customHeight="1">
      <c r="N1140" s="1029">
        <v>0</v>
      </c>
    </row>
    <row r="1141" spans="3:19" ht="15" hidden="1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8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hidden="1" customHeight="1">
      <c r="N1142" s="1029">
        <v>0</v>
      </c>
    </row>
    <row r="1143" spans="3:19" ht="15" hidden="1" customHeight="1">
      <c r="C1143" s="106"/>
      <c r="N1143" s="1029">
        <v>0</v>
      </c>
    </row>
    <row r="1144" spans="3:19" ht="15" hidden="1" customHeight="1">
      <c r="N1144" s="1029">
        <v>0</v>
      </c>
    </row>
    <row r="1145" spans="3:19" ht="15" hidden="1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hidden="1" customHeight="1">
      <c r="I1146" s="1024"/>
      <c r="L1146" s="1164"/>
      <c r="N1146" s="1029">
        <v>0</v>
      </c>
    </row>
    <row r="1147" spans="3:19" ht="15" hidden="1" customHeight="1">
      <c r="L1147" s="1164"/>
      <c r="N1147" s="1029">
        <v>0</v>
      </c>
    </row>
    <row r="1148" spans="3:19" ht="15" hidden="1" customHeight="1">
      <c r="I1148" s="724" t="s">
        <v>330</v>
      </c>
      <c r="K1148" s="106"/>
      <c r="N1148" s="1029">
        <v>0</v>
      </c>
    </row>
    <row r="1149" spans="3:19" ht="15" hidden="1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8"/>
        <v xml:space="preserve"> </v>
      </c>
      <c r="I1149" s="609">
        <f t="shared" ref="I1149:I1155" si="159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hidden="1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8"/>
        <v xml:space="preserve"> </v>
      </c>
      <c r="I1150" s="609">
        <f t="shared" si="159"/>
        <v>0</v>
      </c>
      <c r="J1150" s="1013" t="s">
        <v>190</v>
      </c>
      <c r="N1150" s="1029">
        <v>0</v>
      </c>
    </row>
    <row r="1151" spans="3:19" ht="15" hidden="1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8"/>
        <v xml:space="preserve"> </v>
      </c>
      <c r="I1151" s="609">
        <f t="shared" si="159"/>
        <v>0</v>
      </c>
      <c r="J1151" s="1013" t="s">
        <v>190</v>
      </c>
      <c r="N1151" s="1029">
        <v>0</v>
      </c>
    </row>
    <row r="1152" spans="3:19" ht="15" hidden="1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8"/>
        <v xml:space="preserve"> </v>
      </c>
      <c r="I1152" s="609">
        <f t="shared" si="159"/>
        <v>74</v>
      </c>
      <c r="J1152" s="1013" t="s">
        <v>190</v>
      </c>
      <c r="N1152" s="1029">
        <v>0</v>
      </c>
    </row>
    <row r="1153" spans="3:14" ht="15" hidden="1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8"/>
        <v xml:space="preserve"> </v>
      </c>
      <c r="I1153" s="609">
        <f t="shared" si="159"/>
        <v>0</v>
      </c>
      <c r="J1153" s="1013" t="s">
        <v>190</v>
      </c>
      <c r="N1153" s="1029">
        <v>0</v>
      </c>
    </row>
    <row r="1154" spans="3:14" ht="15" hidden="1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8"/>
        <v xml:space="preserve"> </v>
      </c>
      <c r="I1154" s="609">
        <f t="shared" si="159"/>
        <v>0</v>
      </c>
      <c r="J1154" s="1013" t="s">
        <v>190</v>
      </c>
      <c r="N1154" s="1029">
        <v>0</v>
      </c>
    </row>
    <row r="1155" spans="3:14" ht="15" hidden="1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8"/>
        <v xml:space="preserve"> </v>
      </c>
      <c r="I1155" s="609">
        <f t="shared" si="159"/>
        <v>0</v>
      </c>
      <c r="J1155" s="1013" t="s">
        <v>190</v>
      </c>
      <c r="N1155" s="1029">
        <v>0</v>
      </c>
    </row>
    <row r="1156" spans="3:14" ht="15" hidden="1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8"/>
        <v xml:space="preserve"> </v>
      </c>
      <c r="I1156" s="609">
        <f t="shared" ref="I1156:I1163" ca="1" si="160">SUMIF($AI$79:$AI$227,F1156,$AJ$79:$AJ$175)</f>
        <v>74</v>
      </c>
      <c r="J1156" s="1013" t="s">
        <v>190</v>
      </c>
      <c r="N1156" s="1029">
        <v>0</v>
      </c>
    </row>
    <row r="1157" spans="3:14" ht="15" hidden="1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8"/>
        <v xml:space="preserve"> </v>
      </c>
      <c r="I1157" s="609">
        <f t="shared" ca="1" si="160"/>
        <v>0</v>
      </c>
      <c r="J1157" s="1013" t="s">
        <v>190</v>
      </c>
      <c r="N1157" s="1029">
        <v>0</v>
      </c>
    </row>
    <row r="1158" spans="3:14" ht="15" hidden="1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8"/>
        <v xml:space="preserve"> </v>
      </c>
      <c r="I1158" s="609">
        <f t="shared" ca="1" si="160"/>
        <v>0</v>
      </c>
      <c r="J1158" s="1013" t="s">
        <v>190</v>
      </c>
      <c r="N1158" s="1029">
        <v>0</v>
      </c>
    </row>
    <row r="1159" spans="3:14" ht="15" hidden="1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8"/>
        <v xml:space="preserve"> </v>
      </c>
      <c r="I1159" s="609">
        <f t="shared" ca="1" si="160"/>
        <v>0</v>
      </c>
      <c r="J1159" s="1013" t="s">
        <v>190</v>
      </c>
      <c r="N1159" s="1029">
        <v>0</v>
      </c>
    </row>
    <row r="1160" spans="3:14" ht="15" hidden="1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8"/>
        <v xml:space="preserve"> </v>
      </c>
      <c r="I1160" s="609">
        <f t="shared" ca="1" si="160"/>
        <v>0</v>
      </c>
      <c r="J1160" s="1013" t="s">
        <v>190</v>
      </c>
      <c r="N1160" s="1029">
        <v>0</v>
      </c>
    </row>
    <row r="1161" spans="3:14" ht="15" hidden="1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8"/>
        <v xml:space="preserve"> </v>
      </c>
      <c r="I1161" s="609">
        <f t="shared" ca="1" si="160"/>
        <v>0</v>
      </c>
      <c r="J1161" s="1013" t="s">
        <v>190</v>
      </c>
      <c r="N1161" s="1029">
        <v>0</v>
      </c>
    </row>
    <row r="1162" spans="3:14" ht="15" hidden="1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8"/>
        <v xml:space="preserve"> </v>
      </c>
      <c r="I1162" s="609">
        <f t="shared" ca="1" si="160"/>
        <v>0</v>
      </c>
      <c r="J1162" s="1013" t="s">
        <v>190</v>
      </c>
      <c r="N1162" s="1029">
        <v>0</v>
      </c>
    </row>
    <row r="1163" spans="3:14" ht="15" hidden="1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8"/>
        <v xml:space="preserve"> </v>
      </c>
      <c r="I1163" s="609">
        <f t="shared" ca="1" si="160"/>
        <v>0</v>
      </c>
      <c r="J1163" s="1013" t="s">
        <v>190</v>
      </c>
      <c r="N1163" s="1029">
        <v>0</v>
      </c>
    </row>
    <row r="1164" spans="3:14" ht="15" hidden="1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61">SUMIFS($AF$79:$AF$152,$V$79:$V$152,F1164,$W$79:$W$152,$Y$29)</f>
        <v>0</v>
      </c>
      <c r="J1164" s="1013" t="s">
        <v>178</v>
      </c>
      <c r="N1164" s="1029">
        <v>0</v>
      </c>
    </row>
    <row r="1165" spans="3:14" ht="15" hidden="1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61"/>
        <v>0</v>
      </c>
      <c r="J1165" s="1013" t="s">
        <v>178</v>
      </c>
      <c r="N1165" s="1029">
        <v>0</v>
      </c>
    </row>
    <row r="1166" spans="3:14" ht="15" hidden="1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61"/>
        <v>0</v>
      </c>
      <c r="J1166" s="1013" t="s">
        <v>178</v>
      </c>
      <c r="N1166" s="1029">
        <v>0</v>
      </c>
    </row>
    <row r="1167" spans="3:14" ht="15" hidden="1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61"/>
        <v>0</v>
      </c>
      <c r="J1167" s="1013" t="s">
        <v>178</v>
      </c>
      <c r="N1167" s="1029">
        <v>0</v>
      </c>
    </row>
    <row r="1168" spans="3:14" ht="15" hidden="1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61"/>
        <v>0</v>
      </c>
      <c r="J1168" s="1013" t="s">
        <v>178</v>
      </c>
      <c r="N1168" s="1029">
        <v>0</v>
      </c>
    </row>
    <row r="1169" spans="3:14" ht="15" hidden="1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61"/>
        <v>0</v>
      </c>
      <c r="J1169" s="1013" t="s">
        <v>178</v>
      </c>
      <c r="N1169" s="1029">
        <v>0</v>
      </c>
    </row>
    <row r="1170" spans="3:14" ht="15" hidden="1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61"/>
        <v>0</v>
      </c>
      <c r="J1170" s="1013" t="s">
        <v>178</v>
      </c>
      <c r="N1170" s="1029">
        <v>0</v>
      </c>
    </row>
    <row r="1171" spans="3:14" ht="15" hidden="1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61"/>
        <v>0</v>
      </c>
      <c r="J1171" s="1013" t="s">
        <v>178</v>
      </c>
      <c r="N1171" s="1029">
        <v>0</v>
      </c>
    </row>
    <row r="1172" spans="3:14" ht="15" hidden="1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61"/>
        <v>0</v>
      </c>
      <c r="J1172" s="1013" t="s">
        <v>178</v>
      </c>
      <c r="N1172" s="1029">
        <v>0</v>
      </c>
    </row>
    <row r="1173" spans="3:14" ht="15" hidden="1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61"/>
        <v>0</v>
      </c>
      <c r="J1173" s="1013" t="s">
        <v>178</v>
      </c>
      <c r="N1173" s="1029">
        <v>0</v>
      </c>
    </row>
    <row r="1174" spans="3:14" ht="15" hidden="1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61"/>
        <v>0</v>
      </c>
      <c r="J1174" s="1013" t="s">
        <v>178</v>
      </c>
      <c r="N1174" s="1029">
        <v>0</v>
      </c>
    </row>
    <row r="1175" spans="3:14" ht="15" hidden="1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61"/>
        <v>0</v>
      </c>
      <c r="J1175" s="1013" t="s">
        <v>178</v>
      </c>
      <c r="N1175" s="1029">
        <v>0</v>
      </c>
    </row>
    <row r="1176" spans="3:14" ht="15" hidden="1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61"/>
        <v>0</v>
      </c>
      <c r="J1176" s="1013" t="s">
        <v>178</v>
      </c>
      <c r="N1176" s="1029">
        <v>0</v>
      </c>
    </row>
    <row r="1177" spans="3:14" ht="15" hidden="1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61"/>
        <v>0</v>
      </c>
      <c r="J1177" s="1013" t="s">
        <v>178</v>
      </c>
      <c r="N1177" s="1029">
        <v>0</v>
      </c>
    </row>
    <row r="1178" spans="3:14" ht="15" hidden="1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2">SUMIFS($AF$79:$AF$152,$V$79:$V$152,F1178,$W$79:$W$152,$Y$31)</f>
        <v>0</v>
      </c>
      <c r="J1178" s="1013" t="s">
        <v>178</v>
      </c>
      <c r="N1178" s="1029">
        <v>0</v>
      </c>
    </row>
    <row r="1179" spans="3:14" ht="15" hidden="1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2"/>
        <v>0</v>
      </c>
      <c r="J1179" s="1013" t="s">
        <v>178</v>
      </c>
      <c r="N1179" s="1029">
        <v>0</v>
      </c>
    </row>
    <row r="1180" spans="3:14" ht="15" hidden="1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2"/>
        <v>0</v>
      </c>
      <c r="J1180" s="1013" t="s">
        <v>178</v>
      </c>
      <c r="N1180" s="1029">
        <v>0</v>
      </c>
    </row>
    <row r="1181" spans="3:14" ht="15" hidden="1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2"/>
        <v>0</v>
      </c>
      <c r="J1181" s="1013" t="s">
        <v>178</v>
      </c>
      <c r="N1181" s="1029">
        <v>0</v>
      </c>
    </row>
    <row r="1182" spans="3:14" ht="15" hidden="1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2"/>
        <v>0</v>
      </c>
      <c r="J1182" s="1013" t="s">
        <v>178</v>
      </c>
      <c r="N1182" s="1029">
        <v>0</v>
      </c>
    </row>
    <row r="1183" spans="3:14" ht="15" hidden="1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2"/>
        <v>0</v>
      </c>
      <c r="J1183" s="1013" t="s">
        <v>178</v>
      </c>
      <c r="N1183" s="1029">
        <v>0</v>
      </c>
    </row>
    <row r="1184" spans="3:14" ht="15" hidden="1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2"/>
        <v>0</v>
      </c>
      <c r="J1184" s="1013" t="s">
        <v>178</v>
      </c>
      <c r="N1184" s="1029">
        <v>0</v>
      </c>
    </row>
    <row r="1185" spans="3:14" ht="15" hidden="1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2"/>
        <v>0</v>
      </c>
      <c r="J1185" s="1013" t="s">
        <v>178</v>
      </c>
      <c r="N1185" s="1029">
        <v>0</v>
      </c>
    </row>
    <row r="1186" spans="3:14" ht="15" hidden="1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2"/>
        <v>0</v>
      </c>
      <c r="J1186" s="1013" t="s">
        <v>178</v>
      </c>
      <c r="N1186" s="1029">
        <v>0</v>
      </c>
    </row>
    <row r="1187" spans="3:14" ht="15" hidden="1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2"/>
        <v>0</v>
      </c>
      <c r="J1187" s="1013" t="s">
        <v>178</v>
      </c>
      <c r="N1187" s="1029">
        <v>0</v>
      </c>
    </row>
    <row r="1188" spans="3:14" ht="15" hidden="1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2"/>
        <v>0</v>
      </c>
      <c r="J1188" s="1013" t="s">
        <v>178</v>
      </c>
      <c r="N1188" s="1029">
        <v>0</v>
      </c>
    </row>
    <row r="1189" spans="3:14" ht="15" hidden="1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2"/>
        <v>0</v>
      </c>
      <c r="J1189" s="1013" t="s">
        <v>178</v>
      </c>
      <c r="N1189" s="1029">
        <v>0</v>
      </c>
    </row>
    <row r="1190" spans="3:14" ht="15" hidden="1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2"/>
        <v>0</v>
      </c>
      <c r="J1190" s="1013" t="s">
        <v>178</v>
      </c>
      <c r="N1190" s="1029">
        <v>0</v>
      </c>
    </row>
    <row r="1191" spans="3:14" ht="15" hidden="1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2"/>
        <v>0</v>
      </c>
      <c r="J1191" s="1013" t="s">
        <v>178</v>
      </c>
      <c r="N1191" s="865">
        <v>0</v>
      </c>
    </row>
    <row r="1192" spans="3:14" ht="15" hidden="1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3">SUMIFS($AF$79:$AF$152,$V$79:$V$152,F1192,$W$79:$W$152,$Y$30)</f>
        <v>0</v>
      </c>
      <c r="J1192" s="1013" t="s">
        <v>178</v>
      </c>
      <c r="N1192" s="865">
        <v>0</v>
      </c>
    </row>
    <row r="1193" spans="3:14" ht="15" hidden="1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3"/>
        <v>0</v>
      </c>
      <c r="J1193" s="1013" t="s">
        <v>178</v>
      </c>
      <c r="N1193" s="865">
        <v>0</v>
      </c>
    </row>
    <row r="1194" spans="3:14" ht="15" hidden="1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3"/>
        <v>0</v>
      </c>
      <c r="J1194" s="1013" t="s">
        <v>178</v>
      </c>
      <c r="N1194" s="865">
        <v>0</v>
      </c>
    </row>
    <row r="1195" spans="3:14" ht="15" hidden="1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3"/>
        <v>0</v>
      </c>
      <c r="J1195" s="1013" t="s">
        <v>178</v>
      </c>
      <c r="N1195" s="865">
        <v>0</v>
      </c>
    </row>
    <row r="1196" spans="3:14" ht="15" hidden="1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3"/>
        <v>0</v>
      </c>
      <c r="J1196" s="1013" t="s">
        <v>178</v>
      </c>
      <c r="N1196" s="865">
        <v>0</v>
      </c>
    </row>
    <row r="1197" spans="3:14" ht="15" hidden="1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3"/>
        <v>0</v>
      </c>
      <c r="J1197" s="1013" t="s">
        <v>178</v>
      </c>
      <c r="N1197" s="865">
        <v>0</v>
      </c>
    </row>
    <row r="1198" spans="3:14" ht="15" hidden="1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3"/>
        <v>0</v>
      </c>
      <c r="J1198" s="1013" t="s">
        <v>178</v>
      </c>
      <c r="N1198" s="865">
        <v>0</v>
      </c>
    </row>
    <row r="1199" spans="3:14" ht="15" hidden="1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3"/>
        <v>0</v>
      </c>
      <c r="J1199" s="1013" t="s">
        <v>178</v>
      </c>
      <c r="N1199" s="865">
        <v>0</v>
      </c>
    </row>
    <row r="1200" spans="3:14" ht="15" hidden="1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3"/>
        <v>0</v>
      </c>
      <c r="J1200" s="1013" t="s">
        <v>178</v>
      </c>
      <c r="N1200" s="865">
        <v>0</v>
      </c>
    </row>
    <row r="1201" spans="3:14" ht="15" hidden="1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3"/>
        <v>0</v>
      </c>
      <c r="J1201" s="1013" t="s">
        <v>178</v>
      </c>
      <c r="N1201" s="865">
        <v>0</v>
      </c>
    </row>
    <row r="1202" spans="3:14" ht="15" hidden="1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3"/>
        <v>0</v>
      </c>
      <c r="J1202" s="1013" t="s">
        <v>178</v>
      </c>
      <c r="N1202" s="865">
        <v>0</v>
      </c>
    </row>
    <row r="1203" spans="3:14" ht="15" hidden="1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3"/>
        <v>0</v>
      </c>
      <c r="J1203" s="1013" t="s">
        <v>178</v>
      </c>
      <c r="N1203" s="865">
        <v>0</v>
      </c>
    </row>
    <row r="1204" spans="3:14" ht="15" hidden="1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3"/>
        <v>0</v>
      </c>
      <c r="J1204" s="1013" t="s">
        <v>178</v>
      </c>
      <c r="N1204" s="865">
        <v>0</v>
      </c>
    </row>
    <row r="1205" spans="3:14" ht="15" hidden="1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3"/>
        <v>0</v>
      </c>
      <c r="J1205" s="1013" t="s">
        <v>178</v>
      </c>
      <c r="N1205" s="865">
        <v>0</v>
      </c>
    </row>
    <row r="1206" spans="3:14" ht="15" hidden="1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3"/>
        <v>0</v>
      </c>
      <c r="J1206" s="1013" t="s">
        <v>178</v>
      </c>
      <c r="N1206" s="865">
        <v>0</v>
      </c>
    </row>
    <row r="1207" spans="3:14" ht="15" hidden="1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3"/>
        <v>0</v>
      </c>
      <c r="J1207" s="1013" t="s">
        <v>178</v>
      </c>
      <c r="N1207" s="865">
        <v>0</v>
      </c>
    </row>
    <row r="1208" spans="3:14" ht="15" hidden="1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4">SUMIFS($AF$79:$AF$152,$V$79:$V$152,F1208,$W$79:$W$152,$Y$34)</f>
        <v>0</v>
      </c>
      <c r="J1208" s="1013" t="s">
        <v>178</v>
      </c>
      <c r="N1208" s="865">
        <v>0</v>
      </c>
    </row>
    <row r="1209" spans="3:14" ht="15" hidden="1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4"/>
        <v>0</v>
      </c>
      <c r="J1209" s="1013" t="s">
        <v>178</v>
      </c>
      <c r="N1209" s="865">
        <v>0</v>
      </c>
    </row>
    <row r="1210" spans="3:14" ht="15" hidden="1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4"/>
        <v>0</v>
      </c>
      <c r="J1210" s="1013" t="s">
        <v>178</v>
      </c>
      <c r="N1210" s="865">
        <v>0</v>
      </c>
    </row>
    <row r="1211" spans="3:14" ht="15" hidden="1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4"/>
        <v>0</v>
      </c>
      <c r="J1211" s="1013" t="s">
        <v>178</v>
      </c>
      <c r="N1211" s="865">
        <v>0</v>
      </c>
    </row>
    <row r="1212" spans="3:14" ht="15" hidden="1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4"/>
        <v>0</v>
      </c>
      <c r="J1212" s="1013" t="s">
        <v>178</v>
      </c>
      <c r="N1212" s="865">
        <v>0</v>
      </c>
    </row>
    <row r="1213" spans="3:14" ht="15" hidden="1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4"/>
        <v>0</v>
      </c>
      <c r="J1213" s="1013" t="s">
        <v>178</v>
      </c>
      <c r="N1213" s="865">
        <v>0</v>
      </c>
    </row>
    <row r="1214" spans="3:14" ht="15" hidden="1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4"/>
        <v>0</v>
      </c>
      <c r="J1214" s="1013" t="s">
        <v>178</v>
      </c>
      <c r="N1214" s="865">
        <v>0</v>
      </c>
    </row>
    <row r="1215" spans="3:14" ht="15" hidden="1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4"/>
        <v>0</v>
      </c>
      <c r="J1215" s="1013" t="s">
        <v>178</v>
      </c>
      <c r="N1215" s="865">
        <v>0</v>
      </c>
    </row>
    <row r="1216" spans="3:14" ht="15" hidden="1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4"/>
        <v>0</v>
      </c>
      <c r="J1216" s="1013" t="s">
        <v>178</v>
      </c>
      <c r="N1216" s="865">
        <v>0</v>
      </c>
    </row>
    <row r="1217" spans="3:14" ht="15" hidden="1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4"/>
        <v>0</v>
      </c>
      <c r="J1217" s="1013" t="s">
        <v>178</v>
      </c>
      <c r="N1217" s="865">
        <v>0</v>
      </c>
    </row>
    <row r="1218" spans="3:14" ht="15" hidden="1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4"/>
        <v>0</v>
      </c>
      <c r="J1218" s="1013" t="s">
        <v>178</v>
      </c>
      <c r="N1218" s="865">
        <v>0</v>
      </c>
    </row>
    <row r="1219" spans="3:14" ht="15" hidden="1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hidden="1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hidden="1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hidden="1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hidden="1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hidden="1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5">SUMIFS($AF$79:$AF$152,$V$79:$V$152,F1224,$W$79:$W$152,$Y$32)</f>
        <v>0</v>
      </c>
      <c r="J1224" s="1013" t="s">
        <v>178</v>
      </c>
      <c r="N1224" s="865">
        <v>0</v>
      </c>
    </row>
    <row r="1225" spans="3:14" ht="15" hidden="1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5"/>
        <v>0</v>
      </c>
      <c r="J1225" s="1013" t="s">
        <v>178</v>
      </c>
      <c r="N1225" s="865">
        <v>0</v>
      </c>
    </row>
    <row r="1226" spans="3:14" ht="15" hidden="1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5"/>
        <v>0</v>
      </c>
      <c r="J1226" s="1013" t="s">
        <v>178</v>
      </c>
      <c r="N1226" s="865">
        <v>0</v>
      </c>
    </row>
    <row r="1227" spans="3:14" ht="15" hidden="1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5"/>
        <v>0</v>
      </c>
      <c r="J1227" s="1013" t="s">
        <v>178</v>
      </c>
      <c r="N1227" s="865">
        <v>0</v>
      </c>
    </row>
    <row r="1228" spans="3:14" ht="15" hidden="1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5"/>
        <v>0</v>
      </c>
      <c r="J1228" s="1013" t="s">
        <v>178</v>
      </c>
      <c r="N1228" s="865">
        <v>0</v>
      </c>
    </row>
    <row r="1229" spans="3:14" ht="15" hidden="1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5"/>
        <v>0</v>
      </c>
      <c r="J1229" s="1013" t="s">
        <v>178</v>
      </c>
      <c r="N1229" s="865">
        <v>0</v>
      </c>
    </row>
    <row r="1230" spans="3:14" ht="15" hidden="1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5"/>
        <v>0</v>
      </c>
      <c r="J1230" s="1013" t="s">
        <v>178</v>
      </c>
      <c r="N1230" s="865">
        <v>0</v>
      </c>
    </row>
    <row r="1231" spans="3:14" ht="15" hidden="1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5"/>
        <v>0</v>
      </c>
      <c r="J1231" s="1013" t="s">
        <v>178</v>
      </c>
      <c r="N1231" s="865">
        <v>0</v>
      </c>
    </row>
    <row r="1232" spans="3:14" ht="15" hidden="1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5"/>
        <v>0</v>
      </c>
      <c r="J1232" s="1013" t="s">
        <v>178</v>
      </c>
      <c r="N1232" s="865">
        <v>0</v>
      </c>
    </row>
    <row r="1233" spans="3:14" ht="15" hidden="1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5"/>
        <v>0</v>
      </c>
      <c r="J1233" s="1013" t="s">
        <v>178</v>
      </c>
      <c r="N1233" s="865">
        <v>0</v>
      </c>
    </row>
    <row r="1234" spans="3:14" ht="15" hidden="1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5"/>
        <v>0</v>
      </c>
      <c r="J1234" s="1013" t="s">
        <v>178</v>
      </c>
      <c r="N1234" s="865">
        <v>0</v>
      </c>
    </row>
    <row r="1235" spans="3:14" ht="15" hidden="1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5"/>
        <v>0</v>
      </c>
      <c r="J1235" s="1013" t="s">
        <v>178</v>
      </c>
      <c r="N1235" s="865">
        <v>0</v>
      </c>
    </row>
    <row r="1236" spans="3:14" ht="15" hidden="1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hidden="1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hidden="1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6">SUMIFS($AF$79:$AF$152,$V$79:$V$152,F1238,$W$79:$W$152,$Y$32)</f>
        <v>0</v>
      </c>
      <c r="J1238" s="1013" t="s">
        <v>178</v>
      </c>
      <c r="N1238" s="865">
        <v>0</v>
      </c>
    </row>
    <row r="1239" spans="3:14" ht="15" hidden="1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6"/>
        <v>0</v>
      </c>
      <c r="J1239" s="1013" t="s">
        <v>178</v>
      </c>
      <c r="N1239" s="865">
        <v>0</v>
      </c>
    </row>
    <row r="1240" spans="3:14" ht="15" hidden="1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7">SUMIFS($AF$79:$AF$152,$V$79:$V$152,F1240,$W$79:$W$152,$Y$33)</f>
        <v>0</v>
      </c>
      <c r="J1240" s="1013" t="s">
        <v>178</v>
      </c>
      <c r="N1240" s="865">
        <v>0</v>
      </c>
    </row>
    <row r="1241" spans="3:14" ht="15" hidden="1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7"/>
        <v>0</v>
      </c>
      <c r="J1241" s="1013" t="s">
        <v>178</v>
      </c>
      <c r="N1241" s="865">
        <v>0</v>
      </c>
    </row>
    <row r="1242" spans="3:14" ht="15" hidden="1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7"/>
        <v>0</v>
      </c>
      <c r="J1242" s="1013" t="s">
        <v>178</v>
      </c>
      <c r="N1242" s="865">
        <v>0</v>
      </c>
    </row>
    <row r="1243" spans="3:14" ht="15" hidden="1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7"/>
        <v>0</v>
      </c>
      <c r="J1243" s="1013" t="s">
        <v>178</v>
      </c>
      <c r="N1243" s="865">
        <v>0</v>
      </c>
    </row>
    <row r="1244" spans="3:14" ht="15" hidden="1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7"/>
        <v>0</v>
      </c>
      <c r="J1244" s="1013" t="s">
        <v>178</v>
      </c>
      <c r="N1244" s="865">
        <v>0</v>
      </c>
    </row>
    <row r="1245" spans="3:14" ht="15" hidden="1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7"/>
        <v>0</v>
      </c>
      <c r="J1245" s="1013" t="s">
        <v>178</v>
      </c>
      <c r="N1245" s="865">
        <v>0</v>
      </c>
    </row>
    <row r="1246" spans="3:14" ht="15" hidden="1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7"/>
        <v>0</v>
      </c>
      <c r="J1246" s="1013" t="s">
        <v>178</v>
      </c>
      <c r="N1246" s="865">
        <v>0</v>
      </c>
    </row>
    <row r="1247" spans="3:14" ht="15" hidden="1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7"/>
        <v>0</v>
      </c>
      <c r="J1247" s="1013" t="s">
        <v>178</v>
      </c>
      <c r="N1247" s="865">
        <v>0</v>
      </c>
    </row>
    <row r="1248" spans="3:14" ht="15" hidden="1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7"/>
        <v>0</v>
      </c>
      <c r="J1248" s="1013" t="s">
        <v>178</v>
      </c>
      <c r="N1248" s="865">
        <v>0</v>
      </c>
    </row>
    <row r="1249" spans="3:14" ht="15" hidden="1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7"/>
        <v>0</v>
      </c>
      <c r="J1249" s="1013" t="s">
        <v>178</v>
      </c>
      <c r="N1249" s="865">
        <v>0</v>
      </c>
    </row>
    <row r="1250" spans="3:14" ht="15" hidden="1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7"/>
        <v>0</v>
      </c>
      <c r="J1250" s="1013" t="s">
        <v>178</v>
      </c>
      <c r="N1250" s="865">
        <v>0</v>
      </c>
    </row>
    <row r="1251" spans="3:14" ht="15" hidden="1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7"/>
        <v>0</v>
      </c>
      <c r="J1251" s="1013" t="s">
        <v>178</v>
      </c>
      <c r="N1251" s="865">
        <v>0</v>
      </c>
    </row>
    <row r="1252" spans="3:14" ht="15" hidden="1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7"/>
        <v>0</v>
      </c>
      <c r="J1252" s="1013" t="s">
        <v>178</v>
      </c>
      <c r="N1252" s="865">
        <v>0</v>
      </c>
    </row>
    <row r="1253" spans="3:14" ht="15" hidden="1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7"/>
        <v>0</v>
      </c>
      <c r="J1253" s="1013" t="s">
        <v>178</v>
      </c>
      <c r="N1253" s="865">
        <v>0</v>
      </c>
    </row>
    <row r="1254" spans="3:14" ht="15" hidden="1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7"/>
        <v>0</v>
      </c>
      <c r="J1254" s="1013" t="s">
        <v>178</v>
      </c>
      <c r="N1254" s="865">
        <v>0</v>
      </c>
    </row>
    <row r="1255" spans="3:14" ht="15" hidden="1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7"/>
        <v>0</v>
      </c>
      <c r="J1255" s="1013" t="s">
        <v>178</v>
      </c>
      <c r="N1255" s="865">
        <v>0</v>
      </c>
    </row>
    <row r="1256" spans="3:14" ht="15" hidden="1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8">SUMIFS($AF$79:$AF$152,$V$79:$V$152,F1256,$W$79:$W$152,$Y$35)</f>
        <v>0.6</v>
      </c>
      <c r="J1256" s="1013" t="s">
        <v>178</v>
      </c>
      <c r="N1256" s="865">
        <v>0</v>
      </c>
    </row>
    <row r="1257" spans="3:14" ht="15" hidden="1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8"/>
        <v>0</v>
      </c>
      <c r="J1257" s="1013" t="s">
        <v>178</v>
      </c>
      <c r="N1257" s="865">
        <v>0</v>
      </c>
    </row>
    <row r="1258" spans="3:14" ht="15" hidden="1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8"/>
        <v>0</v>
      </c>
      <c r="J1258" s="1013" t="s">
        <v>178</v>
      </c>
      <c r="N1258" s="865">
        <v>0</v>
      </c>
    </row>
    <row r="1259" spans="3:14" ht="15" hidden="1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8"/>
        <v>0</v>
      </c>
      <c r="J1259" s="1013" t="s">
        <v>178</v>
      </c>
      <c r="N1259" s="865">
        <v>0</v>
      </c>
    </row>
    <row r="1260" spans="3:14" ht="15" hidden="1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8"/>
        <v>0</v>
      </c>
      <c r="J1260" s="1013" t="s">
        <v>178</v>
      </c>
      <c r="N1260" s="865">
        <v>0</v>
      </c>
    </row>
    <row r="1261" spans="3:14" ht="15" hidden="1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8"/>
        <v>0</v>
      </c>
      <c r="J1261" s="1013" t="s">
        <v>178</v>
      </c>
      <c r="N1261" s="865">
        <v>0</v>
      </c>
    </row>
    <row r="1262" spans="3:14" ht="15" hidden="1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8"/>
        <v>0</v>
      </c>
      <c r="J1262" s="1013" t="s">
        <v>178</v>
      </c>
      <c r="N1262" s="865">
        <v>0</v>
      </c>
    </row>
    <row r="1263" spans="3:14" ht="15" hidden="1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8"/>
        <v>0</v>
      </c>
      <c r="J1263" s="1013" t="s">
        <v>178</v>
      </c>
      <c r="N1263" s="865">
        <v>0</v>
      </c>
    </row>
    <row r="1264" spans="3:14" ht="15" hidden="1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8"/>
        <v>0</v>
      </c>
      <c r="J1264" s="1013" t="s">
        <v>178</v>
      </c>
      <c r="N1264" s="1029">
        <v>0</v>
      </c>
    </row>
    <row r="1265" spans="3:17" ht="15" hidden="1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8"/>
        <v>0</v>
      </c>
      <c r="J1265" s="1013" t="s">
        <v>178</v>
      </c>
      <c r="N1265" s="1029">
        <v>0</v>
      </c>
    </row>
    <row r="1266" spans="3:17" ht="15" hidden="1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8"/>
        <v>0</v>
      </c>
      <c r="J1266" s="1013" t="s">
        <v>178</v>
      </c>
      <c r="N1266" s="1029">
        <v>0</v>
      </c>
    </row>
    <row r="1267" spans="3:17" ht="15" hidden="1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8"/>
        <v>0</v>
      </c>
      <c r="J1267" s="1013" t="s">
        <v>178</v>
      </c>
      <c r="N1267" s="1029">
        <v>0</v>
      </c>
    </row>
    <row r="1268" spans="3:17" ht="15" hidden="1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8"/>
        <v>0</v>
      </c>
      <c r="J1268" s="1013" t="s">
        <v>178</v>
      </c>
      <c r="N1268" s="1029">
        <v>0</v>
      </c>
    </row>
    <row r="1269" spans="3:17" ht="15" hidden="1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8"/>
        <v>0</v>
      </c>
      <c r="J1269" s="1013" t="s">
        <v>178</v>
      </c>
      <c r="N1269" s="1029">
        <v>0</v>
      </c>
    </row>
    <row r="1270" spans="3:17" ht="15" hidden="1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9">SUMIFS($AF$79:$AF$152,$V$79:$V$152,F1270,$W$79:$W$152,$Y$36)</f>
        <v>0</v>
      </c>
      <c r="Q1270" s="1013" t="s">
        <v>178</v>
      </c>
    </row>
    <row r="1271" spans="3:17" ht="15" hidden="1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9"/>
        <v>0</v>
      </c>
      <c r="Q1271" s="1013" t="s">
        <v>178</v>
      </c>
    </row>
    <row r="1272" spans="3:17" ht="15" hidden="1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9"/>
        <v>0</v>
      </c>
      <c r="Q1272" s="1013" t="s">
        <v>178</v>
      </c>
    </row>
    <row r="1273" spans="3:17" ht="15" hidden="1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9"/>
        <v>0</v>
      </c>
      <c r="Q1273" s="1013" t="s">
        <v>178</v>
      </c>
    </row>
    <row r="1274" spans="3:17" ht="15" hidden="1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9"/>
        <v>0</v>
      </c>
      <c r="Q1274" s="1013" t="s">
        <v>178</v>
      </c>
    </row>
    <row r="1275" spans="3:17" ht="15" hidden="1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9"/>
        <v>0</v>
      </c>
      <c r="Q1275" s="1013" t="s">
        <v>178</v>
      </c>
    </row>
    <row r="1276" spans="3:17" ht="15" hidden="1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9"/>
        <v>0</v>
      </c>
      <c r="Q1276" s="1013" t="s">
        <v>178</v>
      </c>
    </row>
    <row r="1277" spans="3:17" ht="15" hidden="1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9"/>
        <v>0</v>
      </c>
      <c r="Q1277" s="1013" t="s">
        <v>178</v>
      </c>
    </row>
    <row r="1278" spans="3:17" ht="15" hidden="1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9"/>
        <v>0</v>
      </c>
      <c r="Q1278" s="1013" t="s">
        <v>178</v>
      </c>
    </row>
    <row r="1279" spans="3:17" ht="15" hidden="1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9"/>
        <v>0</v>
      </c>
      <c r="Q1279" s="1013" t="s">
        <v>178</v>
      </c>
    </row>
    <row r="1280" spans="3:17" ht="15" hidden="1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9"/>
        <v>0</v>
      </c>
      <c r="Q1280" s="1013" t="s">
        <v>178</v>
      </c>
    </row>
    <row r="1281" spans="3:17" ht="15" hidden="1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9"/>
        <v>0</v>
      </c>
      <c r="Q1281" s="1013" t="s">
        <v>178</v>
      </c>
    </row>
    <row r="1282" spans="3:17" ht="15" hidden="1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9"/>
        <v>0</v>
      </c>
      <c r="Q1282" s="1013" t="s">
        <v>178</v>
      </c>
    </row>
    <row r="1283" spans="3:17" ht="15" hidden="1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9"/>
        <v>0</v>
      </c>
      <c r="Q1283" s="1013" t="s">
        <v>178</v>
      </c>
    </row>
    <row r="1284" spans="3:17" ht="15" hidden="1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9"/>
        <v>0</v>
      </c>
      <c r="Q1284" s="1013" t="s">
        <v>178</v>
      </c>
    </row>
    <row r="1285" spans="3:17" ht="15" hidden="1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9"/>
        <v>0</v>
      </c>
      <c r="Q1285" s="1013" t="s">
        <v>178</v>
      </c>
    </row>
    <row r="1286" spans="3:17" ht="15" hidden="1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9"/>
        <v>0</v>
      </c>
      <c r="Q1286" s="1013" t="s">
        <v>178</v>
      </c>
    </row>
    <row r="1287" spans="3:17" ht="15" hidden="1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9"/>
        <v>0</v>
      </c>
      <c r="Q1287" s="1013" t="s">
        <v>178</v>
      </c>
    </row>
    <row r="1288" spans="3:17" ht="15" hidden="1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9"/>
        <v>0</v>
      </c>
      <c r="Q1288" s="1013" t="s">
        <v>178</v>
      </c>
    </row>
    <row r="1289" spans="3:17" ht="15" hidden="1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70">SUMIFS($AF$79:$AF$152,$V$79:$V$152,F1289,$W$79:$W$152,$Y$37)</f>
        <v>0</v>
      </c>
      <c r="Q1289" s="1013" t="s">
        <v>178</v>
      </c>
    </row>
    <row r="1290" spans="3:17" ht="15" hidden="1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70"/>
        <v>0</v>
      </c>
      <c r="Q1290" s="1013" t="s">
        <v>178</v>
      </c>
    </row>
    <row r="1291" spans="3:17" ht="15" hidden="1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70"/>
        <v>0</v>
      </c>
      <c r="Q1291" s="1013" t="s">
        <v>178</v>
      </c>
    </row>
    <row r="1292" spans="3:17" ht="15" hidden="1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70"/>
        <v>0</v>
      </c>
      <c r="Q1292" s="1013" t="s">
        <v>178</v>
      </c>
    </row>
    <row r="1293" spans="3:17" ht="15" hidden="1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70"/>
        <v>0</v>
      </c>
      <c r="Q1293" s="1013" t="s">
        <v>178</v>
      </c>
    </row>
    <row r="1294" spans="3:17" ht="15" hidden="1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70"/>
        <v>0</v>
      </c>
      <c r="Q1294" s="1013" t="s">
        <v>178</v>
      </c>
    </row>
    <row r="1295" spans="3:17" ht="15" hidden="1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70"/>
        <v>0</v>
      </c>
      <c r="Q1295" s="1013" t="s">
        <v>178</v>
      </c>
    </row>
    <row r="1296" spans="3:17" ht="15" hidden="1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70"/>
        <v>0</v>
      </c>
      <c r="Q1296" s="1013" t="s">
        <v>178</v>
      </c>
    </row>
    <row r="1297" spans="3:17" ht="15" hidden="1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70"/>
        <v>0</v>
      </c>
      <c r="Q1297" s="1013" t="s">
        <v>178</v>
      </c>
    </row>
    <row r="1298" spans="3:17" ht="15" hidden="1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70"/>
        <v>0</v>
      </c>
      <c r="Q1298" s="1013" t="s">
        <v>178</v>
      </c>
    </row>
    <row r="1299" spans="3:17" ht="15" hidden="1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70"/>
        <v>0</v>
      </c>
      <c r="Q1299" s="1013" t="s">
        <v>178</v>
      </c>
    </row>
    <row r="1300" spans="3:17" ht="15" hidden="1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70"/>
        <v>0</v>
      </c>
      <c r="Q1300" s="1013" t="s">
        <v>178</v>
      </c>
    </row>
    <row r="1301" spans="3:17" ht="15" hidden="1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70"/>
        <v>0</v>
      </c>
      <c r="Q1301" s="1013" t="s">
        <v>178</v>
      </c>
    </row>
    <row r="1302" spans="3:17" ht="15" hidden="1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hidden="1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70"/>
        <v>0</v>
      </c>
      <c r="Q1303" s="1013" t="s">
        <v>178</v>
      </c>
    </row>
    <row r="1304" spans="3:17" ht="15" hidden="1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70"/>
        <v>0</v>
      </c>
      <c r="Q1304" s="1013" t="s">
        <v>178</v>
      </c>
    </row>
    <row r="1305" spans="3:17" ht="15" hidden="1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70"/>
        <v>0</v>
      </c>
      <c r="Q1305" s="1013" t="s">
        <v>178</v>
      </c>
    </row>
    <row r="1306" spans="3:17" ht="15" hidden="1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70"/>
        <v>0</v>
      </c>
      <c r="Q1306" s="1013" t="s">
        <v>178</v>
      </c>
    </row>
    <row r="1307" spans="3:17" ht="15" hidden="1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70"/>
        <v>0</v>
      </c>
      <c r="Q1307" s="1013" t="s">
        <v>178</v>
      </c>
    </row>
    <row r="1308" spans="3:17" ht="15" hidden="1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71">SUMIFS($AF$79:$AF$152,$V$79:$V$152,F1308,$W$79:$W$152,$Y$38)</f>
        <v>0</v>
      </c>
      <c r="Q1308" s="1013" t="s">
        <v>178</v>
      </c>
    </row>
    <row r="1309" spans="3:17" ht="15" hidden="1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71"/>
        <v>0</v>
      </c>
      <c r="Q1309" s="1013" t="s">
        <v>178</v>
      </c>
    </row>
    <row r="1310" spans="3:17" ht="15" hidden="1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71"/>
        <v>0</v>
      </c>
      <c r="Q1310" s="1013" t="s">
        <v>178</v>
      </c>
    </row>
    <row r="1311" spans="3:17" ht="15" hidden="1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71"/>
        <v>0</v>
      </c>
      <c r="Q1311" s="1013" t="s">
        <v>178</v>
      </c>
    </row>
    <row r="1312" spans="3:17" ht="15" hidden="1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71"/>
        <v>0</v>
      </c>
      <c r="Q1312" s="1013" t="s">
        <v>178</v>
      </c>
    </row>
    <row r="1313" spans="3:17" ht="15" hidden="1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71"/>
        <v>0</v>
      </c>
      <c r="Q1313" s="1013" t="s">
        <v>178</v>
      </c>
    </row>
    <row r="1314" spans="3:17" ht="15" hidden="1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71"/>
        <v>0</v>
      </c>
      <c r="Q1314" s="1013" t="s">
        <v>178</v>
      </c>
    </row>
    <row r="1315" spans="3:17" ht="15" hidden="1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71"/>
        <v>0</v>
      </c>
      <c r="Q1315" s="1013" t="s">
        <v>178</v>
      </c>
    </row>
    <row r="1316" spans="3:17" ht="15" hidden="1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hidden="1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hidden="1" customHeight="1">
      <c r="C1318" s="1014" t="s">
        <v>1090</v>
      </c>
      <c r="D1318" s="640"/>
      <c r="E1318" s="640"/>
      <c r="F1318" s="656"/>
      <c r="G1318" s="628" t="str">
        <f t="shared" ref="G1318" si="172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hidden="1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hidden="1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hidden="1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hidden="1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3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hidden="1" customHeight="1">
      <c r="C1323" s="626" t="s">
        <v>189</v>
      </c>
      <c r="D1323" s="627"/>
      <c r="E1323" s="627"/>
      <c r="F1323" s="627"/>
      <c r="G1323" s="628" t="str">
        <f t="shared" ref="G1323" si="174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hidden="1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hidden="1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5">SUMIFS($AF$79:$AF$152,$V$79:$V$152,F1325,$W$79:$W$152,$Y$40)</f>
        <v>0</v>
      </c>
      <c r="J1325" s="1013" t="s">
        <v>178</v>
      </c>
      <c r="N1325" s="1029">
        <v>0</v>
      </c>
    </row>
    <row r="1326" spans="3:17" ht="15" hidden="1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5"/>
        <v>0</v>
      </c>
      <c r="J1326" s="1013" t="s">
        <v>178</v>
      </c>
      <c r="N1326" s="1029">
        <v>0</v>
      </c>
    </row>
    <row r="1327" spans="3:17" ht="15" hidden="1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5"/>
        <v>0</v>
      </c>
      <c r="J1327" s="1013" t="s">
        <v>178</v>
      </c>
      <c r="N1327" s="1029">
        <v>0</v>
      </c>
    </row>
    <row r="1328" spans="3:17" ht="15" hidden="1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5"/>
        <v>0</v>
      </c>
      <c r="J1328" s="1013" t="s">
        <v>178</v>
      </c>
      <c r="N1328" s="1029">
        <v>0</v>
      </c>
    </row>
    <row r="1329" spans="3:14" ht="15" hidden="1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hidden="1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6">SUMIFS($AF$79:$AF$152,$V$79:$V$152,F1330,$W$79:$W$152,$Y$41)</f>
        <v>0</v>
      </c>
      <c r="J1330" s="1013" t="s">
        <v>178</v>
      </c>
      <c r="N1330" s="1029">
        <v>0</v>
      </c>
    </row>
    <row r="1331" spans="3:14" ht="15" hidden="1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6"/>
        <v>0</v>
      </c>
      <c r="J1331" s="1013" t="s">
        <v>178</v>
      </c>
      <c r="N1331" s="1029">
        <v>0</v>
      </c>
    </row>
    <row r="1332" spans="3:14" ht="15" hidden="1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6"/>
        <v>0</v>
      </c>
      <c r="J1332" s="1013" t="s">
        <v>178</v>
      </c>
      <c r="N1332" s="1029">
        <v>0</v>
      </c>
    </row>
    <row r="1333" spans="3:14" ht="15" hidden="1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6"/>
        <v>0</v>
      </c>
      <c r="J1333" s="1013" t="s">
        <v>178</v>
      </c>
      <c r="N1333" s="1029">
        <v>0</v>
      </c>
    </row>
  </sheetData>
  <autoFilter ref="I1148:I1333">
    <filterColumn colId="0">
      <filters>
        <filter val="0,600"/>
        <filter val="74,0"/>
      </filters>
    </filterColumn>
  </autoFilter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1386" priority="68" operator="equal">
      <formula>"  "</formula>
    </cfRule>
  </conditionalFormatting>
  <conditionalFormatting sqref="Y73:Y74 P73:V75 Z73:AB73 Y75:AB75">
    <cfRule type="expression" dxfId="1385" priority="67">
      <formula>IF($V$3=$Y$2,0,1)</formula>
    </cfRule>
  </conditionalFormatting>
  <conditionalFormatting sqref="Y73:Y74 P73:V74 Q139:T140 S154:T155 P131:T131 P139 R154 P147 S147:T148 Q147:Q148">
    <cfRule type="expression" dxfId="1384" priority="66">
      <formula>IF($V$3=$Y$3,1,0)</formula>
    </cfRule>
  </conditionalFormatting>
  <conditionalFormatting sqref="Y73:Y74 P73:V74 Q100:S100 Q94:T94 P87:T87 P80:T80 Z73:AB73">
    <cfRule type="expression" dxfId="1383" priority="65">
      <formula>IF($V$3=$Y$4,1,0)</formula>
    </cfRule>
  </conditionalFormatting>
  <conditionalFormatting sqref="Z73">
    <cfRule type="expression" dxfId="1382" priority="64">
      <formula>IF($V$3=$Y$3,1,0)</formula>
    </cfRule>
  </conditionalFormatting>
  <conditionalFormatting sqref="Y75:Z75">
    <cfRule type="expression" dxfId="1381" priority="63">
      <formula>IF($V$3=$Y$3,1,0)</formula>
    </cfRule>
  </conditionalFormatting>
  <conditionalFormatting sqref="P75:V75 P83:T83 P85:T85 P90:T90 P92:T92 Q97:T97 P104:U104 P81:T81 P88:T88 Q95:T95 Q101:S101 P106:U106 Y75:AB75">
    <cfRule type="expression" dxfId="1380" priority="62">
      <formula>IF($V$3=$Y$4,1,0)</formula>
    </cfRule>
  </conditionalFormatting>
  <conditionalFormatting sqref="AA73">
    <cfRule type="expression" dxfId="1379" priority="61">
      <formula>IF($V$3=$Y$3,1,0)</formula>
    </cfRule>
  </conditionalFormatting>
  <conditionalFormatting sqref="AA75">
    <cfRule type="expression" dxfId="1378" priority="60">
      <formula>IF($V$3=$Y$3,1,0)</formula>
    </cfRule>
  </conditionalFormatting>
  <conditionalFormatting sqref="F828:F832 F837:F838 F840">
    <cfRule type="cellIs" dxfId="1377" priority="59" operator="equal">
      <formula>0</formula>
    </cfRule>
  </conditionalFormatting>
  <conditionalFormatting sqref="I20">
    <cfRule type="cellIs" dxfId="1376" priority="58" operator="equal">
      <formula>"  "</formula>
    </cfRule>
  </conditionalFormatting>
  <conditionalFormatting sqref="F845">
    <cfRule type="cellIs" dxfId="1375" priority="56" operator="equal">
      <formula>0</formula>
    </cfRule>
  </conditionalFormatting>
  <conditionalFormatting sqref="F844">
    <cfRule type="cellIs" dxfId="1374" priority="55" operator="equal">
      <formula>0</formula>
    </cfRule>
  </conditionalFormatting>
  <conditionalFormatting sqref="F846">
    <cfRule type="cellIs" dxfId="1373" priority="54" operator="equal">
      <formula>0</formula>
    </cfRule>
  </conditionalFormatting>
  <conditionalFormatting sqref="F847:F853">
    <cfRule type="cellIs" dxfId="1372" priority="53" operator="equal">
      <formula>0</formula>
    </cfRule>
  </conditionalFormatting>
  <conditionalFormatting sqref="I51:I58">
    <cfRule type="cellIs" dxfId="1371" priority="52" operator="equal">
      <formula>"  "</formula>
    </cfRule>
  </conditionalFormatting>
  <conditionalFormatting sqref="U80:W80">
    <cfRule type="expression" dxfId="1370" priority="69">
      <formula>IF($AE$5=1,1,0)</formula>
    </cfRule>
  </conditionalFormatting>
  <conditionalFormatting sqref="U81:W81 U83:W83 U85:W85">
    <cfRule type="expression" dxfId="1369" priority="70">
      <formula>IF($AE$5=1,1,0)</formula>
    </cfRule>
  </conditionalFormatting>
  <conditionalFormatting sqref="U82:W82 U84:W84">
    <cfRule type="expression" dxfId="1368" priority="71">
      <formula>IF($AE$5=1,1,0)</formula>
    </cfRule>
  </conditionalFormatting>
  <conditionalFormatting sqref="U87:W87">
    <cfRule type="expression" dxfId="1367" priority="72">
      <formula>IF($AE$6=1,1,0)</formula>
    </cfRule>
  </conditionalFormatting>
  <conditionalFormatting sqref="U88:W88 U90:W90 U92:W92">
    <cfRule type="expression" dxfId="1366" priority="73">
      <formula>IF($AE$6=1,1,0)</formula>
    </cfRule>
  </conditionalFormatting>
  <conditionalFormatting sqref="U89:W89 W91">
    <cfRule type="expression" dxfId="1365" priority="74">
      <formula>IF($AE$6=1,1,0)</formula>
    </cfRule>
  </conditionalFormatting>
  <conditionalFormatting sqref="U94:W94">
    <cfRule type="expression" dxfId="1364" priority="75">
      <formula>IF($AE$7=1,1,0)</formula>
    </cfRule>
  </conditionalFormatting>
  <conditionalFormatting sqref="U95:W95 U97:W97">
    <cfRule type="expression" dxfId="1363" priority="76">
      <formula>IF($AE$7=1,1,0)</formula>
    </cfRule>
  </conditionalFormatting>
  <conditionalFormatting sqref="U96:W96 U98:W98">
    <cfRule type="expression" dxfId="1362" priority="77">
      <formula>IF($AE$7=1,1,0)</formula>
    </cfRule>
  </conditionalFormatting>
  <conditionalFormatting sqref="U131:W132">
    <cfRule type="expression" dxfId="1361" priority="78">
      <formula>IF($AF$5=1,1,0)</formula>
    </cfRule>
  </conditionalFormatting>
  <conditionalFormatting sqref="U133:W133 U135:W135 U137:W137">
    <cfRule type="expression" dxfId="1360" priority="79">
      <formula>IF($AF$5=1,1,0)</formula>
    </cfRule>
  </conditionalFormatting>
  <conditionalFormatting sqref="U134:W134 U136:W136">
    <cfRule type="expression" dxfId="1359" priority="80">
      <formula>IF($AF$5=1,1,0)</formula>
    </cfRule>
  </conditionalFormatting>
  <conditionalFormatting sqref="U139:W140">
    <cfRule type="expression" dxfId="1358" priority="81">
      <formula>IF($AF$6=1,1,0)</formula>
    </cfRule>
  </conditionalFormatting>
  <conditionalFormatting sqref="U141:W141 U143:W143 U145:W145">
    <cfRule type="expression" dxfId="1357" priority="82">
      <formula>IF($AF$6=1,1,0)</formula>
    </cfRule>
  </conditionalFormatting>
  <conditionalFormatting sqref="U142:W142 U144:W144">
    <cfRule type="expression" dxfId="1356" priority="83">
      <formula>IF($AF$6=1,1,0)</formula>
    </cfRule>
  </conditionalFormatting>
  <conditionalFormatting sqref="U147:W148">
    <cfRule type="expression" dxfId="1355" priority="84">
      <formula>IF($AF$7=1,1,0)</formula>
    </cfRule>
  </conditionalFormatting>
  <conditionalFormatting sqref="U149:W149 U151:W151">
    <cfRule type="expression" dxfId="1354" priority="85">
      <formula>IF($AF$7=1,1,0)</formula>
    </cfRule>
  </conditionalFormatting>
  <conditionalFormatting sqref="U150:W150 U152:W152">
    <cfRule type="expression" dxfId="1353" priority="86">
      <formula>IF($AF$7=1,1,0)</formula>
    </cfRule>
  </conditionalFormatting>
  <conditionalFormatting sqref="I986:I988">
    <cfRule type="cellIs" dxfId="1352" priority="50" operator="equal">
      <formula>0</formula>
    </cfRule>
  </conditionalFormatting>
  <conditionalFormatting sqref="I984:I985">
    <cfRule type="cellIs" dxfId="1351" priority="51" operator="equal">
      <formula>0</formula>
    </cfRule>
  </conditionalFormatting>
  <conditionalFormatting sqref="W14:W15">
    <cfRule type="expression" dxfId="1350" priority="49">
      <formula>IF($W$16=" ",0,1)</formula>
    </cfRule>
  </conditionalFormatting>
  <conditionalFormatting sqref="I842">
    <cfRule type="cellIs" dxfId="1349" priority="48" operator="equal">
      <formula>0</formula>
    </cfRule>
  </conditionalFormatting>
  <conditionalFormatting sqref="AB73">
    <cfRule type="expression" dxfId="1348" priority="47">
      <formula>IF($V$3=$Y$3,1,0)</formula>
    </cfRule>
  </conditionalFormatting>
  <conditionalFormatting sqref="AB75">
    <cfRule type="expression" dxfId="1347" priority="46">
      <formula>IF($V$3=$Y$3,1,0)</formula>
    </cfRule>
  </conditionalFormatting>
  <conditionalFormatting sqref="G1008">
    <cfRule type="cellIs" dxfId="1346" priority="45" operator="equal">
      <formula>0</formula>
    </cfRule>
  </conditionalFormatting>
  <conditionalFormatting sqref="I62">
    <cfRule type="cellIs" dxfId="1345" priority="44" operator="equal">
      <formula>"  "</formula>
    </cfRule>
  </conditionalFormatting>
  <conditionalFormatting sqref="I1018:I1021">
    <cfRule type="cellIs" dxfId="1344" priority="43" operator="equal">
      <formula>0</formula>
    </cfRule>
  </conditionalFormatting>
  <conditionalFormatting sqref="F827">
    <cfRule type="cellIs" dxfId="1343" priority="42" operator="equal">
      <formula>0</formula>
    </cfRule>
  </conditionalFormatting>
  <conditionalFormatting sqref="F921">
    <cfRule type="cellIs" dxfId="1342" priority="41" operator="equal">
      <formula>0</formula>
    </cfRule>
  </conditionalFormatting>
  <conditionalFormatting sqref="F1038">
    <cfRule type="cellIs" dxfId="1341" priority="40" operator="equal">
      <formula>0</formula>
    </cfRule>
  </conditionalFormatting>
  <conditionalFormatting sqref="R3">
    <cfRule type="expression" dxfId="1340" priority="87">
      <formula>SUM($F$16:$F$21)=0</formula>
    </cfRule>
    <cfRule type="expression" dxfId="1339" priority="88">
      <formula>SUM($F$16:$F$21)&lt;&gt;$R$3</formula>
    </cfRule>
  </conditionalFormatting>
  <conditionalFormatting sqref="F917">
    <cfRule type="cellIs" dxfId="1338" priority="39" operator="equal">
      <formula>0</formula>
    </cfRule>
  </conditionalFormatting>
  <conditionalFormatting sqref="U91:V91">
    <cfRule type="expression" dxfId="1337" priority="38">
      <formula>IF($AE$6=1,1,0)</formula>
    </cfRule>
  </conditionalFormatting>
  <conditionalFormatting sqref="F843">
    <cfRule type="cellIs" dxfId="1336" priority="37" operator="equal">
      <formula>0</formula>
    </cfRule>
  </conditionalFormatting>
  <conditionalFormatting sqref="P4">
    <cfRule type="expression" dxfId="1335" priority="35">
      <formula>IF(AA4&lt;3%,1,0)</formula>
    </cfRule>
    <cfRule type="expression" dxfId="1334" priority="36">
      <formula>IF(AA4&gt;3%,1,0)</formula>
    </cfRule>
  </conditionalFormatting>
  <conditionalFormatting sqref="F841">
    <cfRule type="cellIs" dxfId="1333" priority="34" operator="equal">
      <formula>0</formula>
    </cfRule>
  </conditionalFormatting>
  <conditionalFormatting sqref="S6:S10 P8:Q10 P6:R7">
    <cfRule type="expression" dxfId="1332" priority="89">
      <formula>IF($T$3=$Y$13,0,1)</formula>
    </cfRule>
  </conditionalFormatting>
  <conditionalFormatting sqref="Q99:S101 Q93:T98 P103:U106 P79:T92">
    <cfRule type="expression" dxfId="1331" priority="90">
      <formula>IF($V$3=$Y$4,1,0)</formula>
    </cfRule>
  </conditionalFormatting>
  <conditionalFormatting sqref="P160:S163 T160:U161 P130:T145 Q146:T146 R153:T156 S147:T152 P147:Q152">
    <cfRule type="expression" dxfId="1330" priority="91">
      <formula>IF($V$3=$Y$3,1,0)</formula>
    </cfRule>
  </conditionalFormatting>
  <conditionalFormatting sqref="P6:P10 Q6:S7">
    <cfRule type="expression" dxfId="1329" priority="92">
      <formula>IF(OR($T$3=$Y$14,$T$3=$Y$15),1,0)</formula>
    </cfRule>
  </conditionalFormatting>
  <conditionalFormatting sqref="S14:W17">
    <cfRule type="expression" dxfId="1328" priority="93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1327" priority="95">
      <formula>IF($V$3=$Y$3,1,0)</formula>
    </cfRule>
  </conditionalFormatting>
  <conditionalFormatting sqref="P77:V77">
    <cfRule type="expression" dxfId="1326" priority="96">
      <formula>IF($S$77=0%,1,0)</formula>
    </cfRule>
    <cfRule type="expression" dxfId="1325" priority="97">
      <formula>IF(AND(OR($S$77&lt;105%,$S$77&gt;130%),$T$3&lt;&gt;$Y$13),1,0)</formula>
    </cfRule>
  </conditionalFormatting>
  <conditionalFormatting sqref="U5:V5">
    <cfRule type="expression" dxfId="1324" priority="98">
      <formula>IF($V$5=$AA$22,0,1)</formula>
    </cfRule>
    <cfRule type="expression" dxfId="1323" priority="99">
      <formula>IF(AND($T$3=$Y$13,$V$4=$Y$12),1,0)</formula>
    </cfRule>
  </conditionalFormatting>
  <conditionalFormatting sqref="P108:U113">
    <cfRule type="expression" dxfId="1322" priority="100">
      <formula>IF(OR($V$3=$Y$2,$V$3=$Y$3),1,0)</formula>
    </cfRule>
  </conditionalFormatting>
  <conditionalFormatting sqref="P165:U166">
    <cfRule type="expression" dxfId="1321" priority="101">
      <formula>IF(OR($V$3=$Y$2,$V$3=$Y$4),1,0)</formula>
    </cfRule>
  </conditionalFormatting>
  <conditionalFormatting sqref="R226">
    <cfRule type="expression" dxfId="1320" priority="33">
      <formula>IF($P$228="Средний расход",1,0)</formula>
    </cfRule>
  </conditionalFormatting>
  <conditionalFormatting sqref="S12:U13">
    <cfRule type="expression" dxfId="1319" priority="102">
      <formula>IF($V$4=$AA$11,1,0)</formula>
    </cfRule>
    <cfRule type="expression" dxfId="1318" priority="103">
      <formula>IF(OR($V$4=$Y$11,$V$4=$A$10),0,1)</formula>
    </cfRule>
    <cfRule type="expression" dxfId="1317" priority="104">
      <formula>IF(OR($V$4=$Y$11,$V$4=$A$10),0,1)</formula>
    </cfRule>
  </conditionalFormatting>
  <conditionalFormatting sqref="S14:U17">
    <cfRule type="expression" dxfId="1316" priority="105">
      <formula>IF(AND($T$3&lt;&gt;$Y$13,OR($V$4=$Y$12,$V$4=$AA$7)),1,0)</formula>
    </cfRule>
  </conditionalFormatting>
  <conditionalFormatting sqref="V14:W17">
    <cfRule type="expression" dxfId="1315" priority="106">
      <formula>IF(AND($T$3&lt;&gt;$Y$13,OR($V$4=$AA$7,$V$4=$Y$12)),1,0)</formula>
    </cfRule>
  </conditionalFormatting>
  <conditionalFormatting sqref="P228:W294">
    <cfRule type="expression" dxfId="1314" priority="107">
      <formula>IF(AND($T$3=$AA$5,$T$4=$AA$5),1,0)</formula>
    </cfRule>
  </conditionalFormatting>
  <conditionalFormatting sqref="P228:T230 P240:Q294 S240:T294 V240:W294">
    <cfRule type="expression" dxfId="1313" priority="108">
      <formula>IF(AND($T$3=$AA$5,$T$4&lt;&gt;$AA$5),1,0)</formula>
    </cfRule>
  </conditionalFormatting>
  <conditionalFormatting sqref="P232:Q237 S232:T237 V232:W237 P226:R226">
    <cfRule type="expression" dxfId="1312" priority="109">
      <formula>IF(AND($T$3&lt;&gt;$AA$5,$T$4&lt;&gt;$AA$5),1,0)</formula>
    </cfRule>
  </conditionalFormatting>
  <conditionalFormatting sqref="P12:Q60 S19:T52">
    <cfRule type="expression" dxfId="1311" priority="94">
      <formula>IF(AND(OR($V$4=$AA$10,$V$4=$AA$11),$AA$3=$AA$5),1,0)</formula>
    </cfRule>
  </conditionalFormatting>
  <conditionalFormatting sqref="X4">
    <cfRule type="expression" dxfId="1310" priority="110">
      <formula>IF($V$4=$AA$10,0,1)</formula>
    </cfRule>
  </conditionalFormatting>
  <conditionalFormatting sqref="W5">
    <cfRule type="expression" dxfId="1309" priority="111">
      <formula>IF(OR($V$4=$AA$10,$V$4=$AA$11),0,1)</formula>
    </cfRule>
  </conditionalFormatting>
  <conditionalFormatting sqref="U2:W2">
    <cfRule type="expression" dxfId="1308" priority="32">
      <formula>IF($R$4=$Y$6,1,0)</formula>
    </cfRule>
  </conditionalFormatting>
  <conditionalFormatting sqref="F835">
    <cfRule type="cellIs" dxfId="1307" priority="31" operator="equal">
      <formula>0</formula>
    </cfRule>
  </conditionalFormatting>
  <conditionalFormatting sqref="P170:V176">
    <cfRule type="expression" dxfId="1306" priority="22">
      <formula>IF($V$2=$AA$19,1,0)</formula>
    </cfRule>
  </conditionalFormatting>
  <conditionalFormatting sqref="F1041">
    <cfRule type="cellIs" dxfId="1305" priority="29" operator="equal">
      <formula>0</formula>
    </cfRule>
  </conditionalFormatting>
  <conditionalFormatting sqref="R173">
    <cfRule type="expression" dxfId="1304" priority="30">
      <formula>IF($R$173&gt;0,0,1)</formula>
    </cfRule>
  </conditionalFormatting>
  <conditionalFormatting sqref="R172">
    <cfRule type="expression" dxfId="1303" priority="28">
      <formula>IF($R$172&gt;0,0,1)</formula>
    </cfRule>
  </conditionalFormatting>
  <conditionalFormatting sqref="R176">
    <cfRule type="expression" dxfId="1302" priority="27">
      <formula>IF($R$176&gt;0,0,1)</formula>
    </cfRule>
  </conditionalFormatting>
  <conditionalFormatting sqref="L4">
    <cfRule type="expression" dxfId="1301" priority="24">
      <formula>IF($L$4&lt;&gt;0,1,0)</formula>
    </cfRule>
    <cfRule type="expression" dxfId="1300" priority="25">
      <formula>IF($J$4=$AJ$15,1,0)</formula>
    </cfRule>
  </conditionalFormatting>
  <conditionalFormatting sqref="P6:P10 Q6:S6">
    <cfRule type="expression" dxfId="1299" priority="112">
      <formula>IF(OR($T$3=$Y$16,$T$3=$Y$17),1,0)</formula>
    </cfRule>
  </conditionalFormatting>
  <conditionalFormatting sqref="R175">
    <cfRule type="expression" dxfId="1298" priority="26">
      <formula>IF($R$175&gt;0,0,1)</formula>
    </cfRule>
  </conditionalFormatting>
  <conditionalFormatting sqref="R174">
    <cfRule type="expression" dxfId="1297" priority="23">
      <formula>IF($R$174&gt;0,0,1)</formula>
    </cfRule>
  </conditionalFormatting>
  <conditionalFormatting sqref="V11 T11">
    <cfRule type="expression" dxfId="1296" priority="20">
      <formula>IF($T$2=$Z$12,1,0)</formula>
    </cfRule>
    <cfRule type="expression" dxfId="1295" priority="21">
      <formula>IF($T$2=$Z$11,1,0)</formula>
    </cfRule>
  </conditionalFormatting>
  <conditionalFormatting sqref="F854">
    <cfRule type="cellIs" dxfId="1294" priority="19" operator="equal">
      <formula>0</formula>
    </cfRule>
  </conditionalFormatting>
  <conditionalFormatting sqref="T6:U10 W6:W10">
    <cfRule type="expression" dxfId="1293" priority="113">
      <formula>IF($T$4=$Y$19,0,1)</formula>
    </cfRule>
  </conditionalFormatting>
  <conditionalFormatting sqref="P12:Q13 S19:T20">
    <cfRule type="expression" dxfId="1292" priority="114">
      <formula>IF(AND($V$4&lt;&gt;$Y$11,OR($T$4&lt;&gt;$Y$19,$T$3&lt;&gt;$Y$13)),1,0)</formula>
    </cfRule>
  </conditionalFormatting>
  <conditionalFormatting sqref="P78:V78">
    <cfRule type="expression" dxfId="1291" priority="115">
      <formula>IF(AND($S$78&gt;35%,$T$4&lt;&gt;$Y$19),1,0)</formula>
    </cfRule>
  </conditionalFormatting>
  <conditionalFormatting sqref="S21:T52 P14:Q60">
    <cfRule type="expression" dxfId="1290" priority="116">
      <formula>IF(AND($V$4&lt;&gt;$Y$11,OR($T$4&lt;&gt;$Y$19,$T$3&lt;&gt;$Y$13)),1,0)</formula>
    </cfRule>
  </conditionalFormatting>
  <conditionalFormatting sqref="V19:W23">
    <cfRule type="expression" dxfId="1289" priority="117">
      <formula>IF(OR($T$3&lt;&gt;$Y$19,$T$4&lt;&gt;$Y$19),0,1)</formula>
    </cfRule>
  </conditionalFormatting>
  <conditionalFormatting sqref="V19:W20">
    <cfRule type="expression" dxfId="1288" priority="118">
      <formula>IF(OR($T$3&lt;&gt;$Y$19,$T$4&lt;&gt;$Y$19),1,0)</formula>
    </cfRule>
  </conditionalFormatting>
  <conditionalFormatting sqref="V21:W23">
    <cfRule type="expression" dxfId="1287" priority="119">
      <formula>IF(OR($T$3&lt;&gt;$Y$19,$T$4&lt;&gt;$Y$19),1,0)</formula>
    </cfRule>
  </conditionalFormatting>
  <conditionalFormatting sqref="S3:T4">
    <cfRule type="expression" dxfId="1286" priority="120">
      <formula>IF(OR(AND($S$78&gt;35%,$T$4&lt;&gt;$Y$19),AND($S$77&gt;130%,$T$3&lt;&gt;$Y$13)),1,0)</formula>
    </cfRule>
  </conditionalFormatting>
  <conditionalFormatting sqref="S21:S52 P14:P60">
    <cfRule type="expression" dxfId="1285" priority="121">
      <formula>IF(AND($T$5=$AA$12,$V$4&lt;&gt;$Y$11,$P$15&gt;0,OR($T$4&lt;&gt;$Y$19,$T$3&lt;&gt;$Y$13),$P$14&lt;$R$3),1,0)</formula>
    </cfRule>
  </conditionalFormatting>
  <conditionalFormatting sqref="P6 P8:P10 Q6:S7">
    <cfRule type="expression" dxfId="1284" priority="122">
      <formula>IF($T$3=$Y$18,1,0)</formula>
    </cfRule>
  </conditionalFormatting>
  <conditionalFormatting sqref="S2:T2">
    <cfRule type="expression" dxfId="1283" priority="123">
      <formula>IF(AND($T$3=$Y$13,$T$4&lt;&gt;$Y$19),0,1)</formula>
    </cfRule>
  </conditionalFormatting>
  <conditionalFormatting sqref="U6:U7 W6:W7 T6:T10">
    <cfRule type="expression" dxfId="1282" priority="124">
      <formula>IF(OR($T$4=$Y$20,$T$4=$Y$21,$T$4=$Y$22),1,0)</formula>
    </cfRule>
  </conditionalFormatting>
  <conditionalFormatting sqref="T6:T10 U6:U7 W6:W7">
    <cfRule type="expression" dxfId="1281" priority="125">
      <formula>IF(OR($T$4=$Y$23,$T$4=$Y$24),1,0)</formula>
    </cfRule>
  </conditionalFormatting>
  <conditionalFormatting sqref="T6:T10 U6:U7 W6:W7">
    <cfRule type="expression" dxfId="1280" priority="126">
      <formula>IF(OR($T$4=$Y$25,$T$4=$Y$26),1,0)</formula>
    </cfRule>
  </conditionalFormatting>
  <conditionalFormatting sqref="T6:U9 W6:W9">
    <cfRule type="expression" dxfId="1279" priority="127">
      <formula>IF($T$4=$Y$27,1,0)</formula>
    </cfRule>
  </conditionalFormatting>
  <conditionalFormatting sqref="T10:U10 W10">
    <cfRule type="expression" dxfId="1278" priority="128">
      <formula>IF($T$4=$Y$27,1,0)</formula>
    </cfRule>
  </conditionalFormatting>
  <conditionalFormatting sqref="T6:T9 U6:U7 W6:W7">
    <cfRule type="expression" dxfId="1277" priority="129">
      <formula>IF($T$4=$Y$27,1,0)</formula>
    </cfRule>
  </conditionalFormatting>
  <conditionalFormatting sqref="F839">
    <cfRule type="cellIs" dxfId="1276" priority="18" operator="equal">
      <formula>0</formula>
    </cfRule>
  </conditionalFormatting>
  <conditionalFormatting sqref="V6:V10">
    <cfRule type="expression" dxfId="1275" priority="11">
      <formula>IF($T$4=$Y$19,0,1)</formula>
    </cfRule>
  </conditionalFormatting>
  <conditionalFormatting sqref="V6:V7">
    <cfRule type="expression" dxfId="1274" priority="12">
      <formula>IF(OR($T$4=$Y$20,$T$4=$Y$21,$T$4=$Y$22),1,0)</formula>
    </cfRule>
  </conditionalFormatting>
  <conditionalFormatting sqref="V6:V7">
    <cfRule type="expression" dxfId="1273" priority="13">
      <formula>IF(OR($T$4=$Y$23,$T$4=$Y$24),1,0)</formula>
    </cfRule>
  </conditionalFormatting>
  <conditionalFormatting sqref="V6:V7">
    <cfRule type="expression" dxfId="1272" priority="14">
      <formula>IF(OR($T$4=$Y$25,$T$4=$Y$26),1,0)</formula>
    </cfRule>
  </conditionalFormatting>
  <conditionalFormatting sqref="V6:V9">
    <cfRule type="expression" dxfId="1271" priority="15">
      <formula>IF($T$4=$Y$27,1,0)</formula>
    </cfRule>
  </conditionalFormatting>
  <conditionalFormatting sqref="V10">
    <cfRule type="expression" dxfId="1270" priority="16">
      <formula>IF($T$4=$Y$27,1,0)</formula>
    </cfRule>
  </conditionalFormatting>
  <conditionalFormatting sqref="V6:V7">
    <cfRule type="expression" dxfId="1269" priority="17">
      <formula>IF($T$4=$Y$27,1,0)</formula>
    </cfRule>
  </conditionalFormatting>
  <conditionalFormatting sqref="R8:R10">
    <cfRule type="expression" dxfId="1268" priority="10">
      <formula>IF($T$3=$Y$13,0,1)</formula>
    </cfRule>
  </conditionalFormatting>
  <conditionalFormatting sqref="R149:R152">
    <cfRule type="expression" dxfId="1267" priority="8">
      <formula>IF($V$3=$Y$3,1,0)</formula>
    </cfRule>
  </conditionalFormatting>
  <conditionalFormatting sqref="R151 R149">
    <cfRule type="expression" dxfId="1266" priority="9">
      <formula>IF($V$3=$Y$3,1,0)</formula>
    </cfRule>
  </conditionalFormatting>
  <conditionalFormatting sqref="R147:R148">
    <cfRule type="expression" dxfId="1265" priority="6">
      <formula>IF($V$3=$Y$3,1,0)</formula>
    </cfRule>
  </conditionalFormatting>
  <conditionalFormatting sqref="R147:R148">
    <cfRule type="expression" dxfId="1264" priority="7">
      <formula>IF($V$3=$Y$3,1,0)</formula>
    </cfRule>
  </conditionalFormatting>
  <conditionalFormatting sqref="F1039">
    <cfRule type="cellIs" dxfId="1263" priority="5" operator="equal">
      <formula>0</formula>
    </cfRule>
  </conditionalFormatting>
  <conditionalFormatting sqref="P167:U167">
    <cfRule type="expression" dxfId="1262" priority="4">
      <formula>IF(OR($V$3=$Y$2,$V$3=$Y$4),1,0)</formula>
    </cfRule>
  </conditionalFormatting>
  <conditionalFormatting sqref="F918">
    <cfRule type="cellIs" dxfId="1261" priority="3" operator="equal">
      <formula>0</formula>
    </cfRule>
  </conditionalFormatting>
  <conditionalFormatting sqref="F17">
    <cfRule type="cellIs" dxfId="1260" priority="2" operator="equal">
      <formula>0</formula>
    </cfRule>
  </conditionalFormatting>
  <conditionalFormatting sqref="F16">
    <cfRule type="cellIs" dxfId="1259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7" filterMode="1"/>
  <dimension ref="A1:BM1333"/>
  <sheetViews>
    <sheetView topLeftCell="A7"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hidden="1" customWidth="1" outlineLevel="1"/>
    <col min="16" max="16" width="11.6640625" style="1011" hidden="1" customWidth="1" outlineLevel="1"/>
    <col min="17" max="17" width="12.6640625" style="1011" hidden="1" customWidth="1" outlineLevel="1"/>
    <col min="18" max="18" width="11.6640625" style="1011" hidden="1" customWidth="1" outlineLevel="1"/>
    <col min="19" max="19" width="12" style="1011" hidden="1" customWidth="1" outlineLevel="1"/>
    <col min="20" max="20" width="11.6640625" style="1011" hidden="1" customWidth="1" outlineLevel="1"/>
    <col min="21" max="21" width="12.44140625" style="1011" hidden="1" customWidth="1" outlineLevel="1"/>
    <col min="22" max="23" width="11.6640625" style="1011" hidden="1" customWidth="1" outlineLevel="1"/>
    <col min="24" max="24" width="3.6640625" style="1011" customWidth="1" collapsed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1710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655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 ca="1"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>
        <v>1710</v>
      </c>
      <c r="Q3" s="598" t="s">
        <v>117</v>
      </c>
      <c r="R3" s="600">
        <v>220</v>
      </c>
      <c r="S3" s="601" t="s">
        <v>118</v>
      </c>
      <c r="T3" s="602" t="s">
        <v>114</v>
      </c>
      <c r="U3" s="598" t="s">
        <v>119</v>
      </c>
      <c r="V3" s="599" t="s">
        <v>125</v>
      </c>
      <c r="W3" s="1035"/>
      <c r="Y3" s="429" t="s">
        <v>120</v>
      </c>
      <c r="Z3" s="430">
        <f>IF(V3=Y3,1,IF(V3=Y4,0,"-"))</f>
        <v>0</v>
      </c>
      <c r="AA3" s="427" t="s">
        <v>114</v>
      </c>
      <c r="AB3" s="1011" t="str">
        <f>IF(R4&lt;&gt;Y8,"-",R5)</f>
        <v>Н75</v>
      </c>
      <c r="AV3" s="267" t="e">
        <f ca="1">INDEX(AV5:AV13,MATCH(1,AY5:AY13,0))</f>
        <v>#N/A</v>
      </c>
      <c r="AW3" s="204"/>
      <c r="AX3" s="204"/>
      <c r="AY3" s="204"/>
      <c r="AZ3" s="204"/>
      <c r="BA3" s="204"/>
      <c r="BB3" s="268" t="e">
        <f ca="1"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>
        <v>406</v>
      </c>
      <c r="Q4" s="598" t="s">
        <v>122</v>
      </c>
      <c r="R4" s="599" t="s">
        <v>136</v>
      </c>
      <c r="S4" s="601" t="s">
        <v>123</v>
      </c>
      <c r="T4" s="602" t="s">
        <v>114</v>
      </c>
      <c r="U4" s="603" t="s">
        <v>124</v>
      </c>
      <c r="V4" s="600" t="s">
        <v>137</v>
      </c>
      <c r="X4" s="279"/>
      <c r="Y4" s="429" t="s">
        <v>125</v>
      </c>
      <c r="Z4" s="430">
        <f>IF(V3=Y4,1,IF(V3=Y3,0,"-"))</f>
        <v>1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">
        <v>1534</v>
      </c>
      <c r="L5" s="1230"/>
      <c r="M5" s="1035"/>
      <c r="N5" s="245"/>
      <c r="O5" s="598" t="str">
        <f>IF(AND(ПР&lt;&gt;0,R4=Y8,V3&lt;&gt;Y2),"ГОФРЫ:"," ")</f>
        <v>ГОФРЫ:</v>
      </c>
      <c r="P5" s="604">
        <v>74</v>
      </c>
      <c r="Q5" s="603" t="str">
        <f>IF(AND(ПР&lt;&gt;0,R4=Y8,V3&lt;&gt;Y2),"ПРОФИЛЬ:"," ")</f>
        <v>ПРОФИЛЬ:</v>
      </c>
      <c r="R5" s="599" t="s">
        <v>244</v>
      </c>
      <c r="S5" s="601" t="s">
        <v>429</v>
      </c>
      <c r="T5" s="602" t="s">
        <v>431</v>
      </c>
      <c r="U5" s="598" t="s">
        <v>385</v>
      </c>
      <c r="V5" s="599" t="s">
        <v>53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ТИП2</v>
      </c>
      <c r="AC5" s="163" t="str">
        <f ca="1">HYPERLINK("#"&amp;AB5&amp;"!A1","1")</f>
        <v>1</v>
      </c>
      <c r="AD5" s="229">
        <f ca="1">_xlfn.SHEET()-2</f>
        <v>2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aca="1" ref="AY5" ca="1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aca="1" ref="BE5" ca="1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aca="1" ref="AY6" ca="1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aca="1" ref="BE6" ca="1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1.0332187499999999E-2</v>
      </c>
      <c r="AD7" s="1"/>
      <c r="AE7" s="234">
        <f t="array" ref="AE7">IF(OR(R95:R98=Z18,R95:R98=Z19,R95:R98=Z20,R95:R98=Z17),1,0)</f>
        <v>1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aca="1" ref="AY7" ca="1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aca="1" ref="BE7" ca="1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aca="1" ref="AY8" ca="1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aca="1" ref="BE8" ca="1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aca="1" ref="AY9" ca="1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aca="1" ref="BE9" ca="1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aca="1" ref="AY10" ca="1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aca="1" ref="BE10" ca="1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aca="1" ref="AY11" ca="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aca="1" ref="BE11" ca="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1</v>
      </c>
      <c r="P12" s="104" t="str">
        <f>IF(V4=AA5," ","ВЫГРУЗКА КРЕПЕЖА")</f>
        <v>ВЫГРУЗКА КРЕПЕЖА</v>
      </c>
      <c r="Q12" s="104"/>
      <c r="S12" s="1401" t="str">
        <f>IF(V4="НЕТ"," ","Количество крепежа по ветровому расчету, на м2")</f>
        <v>Количество крепежа по ветровому расчету, на м2</v>
      </c>
      <c r="T12" s="1401"/>
      <c r="U12" s="1402">
        <f>IF(OR(V4=AA6,V4=AA7,V4=AA9,V4=AA10),4,IF(V4=AA8,0," "))</f>
        <v>4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 ca="1">SUM($I$13:$I$14,$I$16:$I$21,$I$23:$I$35,$I$23:$I$62,$I$63:$I$69,$I$83:$I$97,$I$101:$I$113,$I$115)</f>
        <v>36846.546000000002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aca="1" ref="AY12" ca="1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1</v>
      </c>
      <c r="C13" s="710" t="s">
        <v>1430</v>
      </c>
      <c r="D13" s="632"/>
      <c r="E13" s="632"/>
      <c r="F13" s="632"/>
      <c r="G13" s="632"/>
      <c r="H13" s="608">
        <f>IF(AND($R$4=$Y$8,$R$5=$Z$7),1.18,IF(AND($R$4=$Y$8,$R$5=$Z$8),$AD$8,IF(AND($R$4=$Y$8,$R$5=$Z$9),$AD$9,IF(AND($R$4=$Y$8,$R$5=$Z$10),$AD$10,1.1))))</f>
        <v>1.18</v>
      </c>
      <c r="I13" s="609">
        <f t="shared" ref="I13" si="0">ROUNDUP(ПЛ*H13+ПР*(0.15+$R$3/1000+0.03),0)</f>
        <v>2181</v>
      </c>
      <c r="J13" s="1042" t="s">
        <v>112</v>
      </c>
      <c r="K13" s="609"/>
      <c r="L13" s="610">
        <f>IFERROR(I13*K13,0)</f>
        <v>0</v>
      </c>
      <c r="N13" s="1032">
        <f>IF(OR(I13=" ",I13=0),0,1)</f>
        <v>1</v>
      </c>
      <c r="P13" s="104" t="str">
        <f>IF(V4=AA5," ","ВЫСОТА")</f>
        <v>ВЫСОТА</v>
      </c>
      <c r="Q13" s="104" t="str">
        <f>IF(V4=AA5," ","КОЛ-ВО")</f>
        <v>КОЛ-ВО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hidden="1" customHeight="1" thickBot="1">
      <c r="B14" s="1037">
        <f>SUBTOTAL(3,$I$13:I14)</f>
        <v>1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1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2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2</v>
      </c>
      <c r="C16" s="626" t="s">
        <v>325</v>
      </c>
      <c r="D16" s="627"/>
      <c r="E16" s="627"/>
      <c r="F16" s="638">
        <v>50</v>
      </c>
      <c r="G16" s="628" t="s">
        <v>150</v>
      </c>
      <c r="H16" s="608">
        <v>1.03</v>
      </c>
      <c r="I16" s="711">
        <f>ПЛ*F16*H16*0.001</f>
        <v>88.064999999999998</v>
      </c>
      <c r="J16" s="1042" t="s">
        <v>178</v>
      </c>
      <c r="K16" s="609"/>
      <c r="L16" s="610">
        <f t="shared" ref="L16:L21" si="1">IFERROR(I16*K16,0)</f>
        <v>0</v>
      </c>
      <c r="N16" s="1032">
        <f t="shared" ref="N16:N21" si="2">IF(OR(I16=" ",I16=0),0,1)</f>
        <v>1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3</v>
      </c>
      <c r="C17" s="626" t="s">
        <v>321</v>
      </c>
      <c r="D17" s="627"/>
      <c r="E17" s="627"/>
      <c r="F17" s="638">
        <v>170</v>
      </c>
      <c r="G17" s="628" t="s">
        <v>150</v>
      </c>
      <c r="H17" s="608">
        <v>1.03</v>
      </c>
      <c r="I17" s="711">
        <f>ПЛ*F17*H17*0.001</f>
        <v>299.42099999999999</v>
      </c>
      <c r="J17" s="1042" t="s">
        <v>178</v>
      </c>
      <c r="K17" s="609"/>
      <c r="L17" s="610">
        <f t="shared" si="1"/>
        <v>0</v>
      </c>
      <c r="N17" s="1032">
        <f t="shared" si="2"/>
        <v>1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hidden="1" customHeight="1" thickBot="1">
      <c r="B18" s="1037">
        <f>SUBTOTAL(3,$I$13:I18)</f>
        <v>3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1"/>
        <v>0</v>
      </c>
      <c r="N18" s="1032">
        <f t="shared" si="2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hidden="1" customHeight="1" thickBot="1">
      <c r="B19" s="1037">
        <f>SUBTOTAL(3,$I$13:I19)</f>
        <v>3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1"/>
        <v>0</v>
      </c>
      <c r="N19" s="1032">
        <f t="shared" si="2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hidden="1" customHeight="1" thickBot="1">
      <c r="B20" s="1037">
        <f>SUBTOTAL(3,$I$13:I20)</f>
        <v>3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1"/>
        <v>0</v>
      </c>
      <c r="N20" s="1032">
        <f t="shared" si="2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1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hidden="1" customHeight="1" thickBot="1">
      <c r="B21" s="1037">
        <f>SUBTOTAL(3,$I$13:I21)</f>
        <v>3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1"/>
        <v>0</v>
      </c>
      <c r="N21" s="1032">
        <f t="shared" si="2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 ca="1">IF(SUM(I23:I35)&gt;0,1,0)</f>
        <v>1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 ca="1">SUBTOTAL(3,$I$13:I23)</f>
        <v>4</v>
      </c>
      <c r="C23" s="626" t="s">
        <v>1152</v>
      </c>
      <c r="D23" s="627"/>
      <c r="E23" s="627"/>
      <c r="F23" s="627"/>
      <c r="G23" s="628"/>
      <c r="H23" s="608">
        <v>1.1499999999999999</v>
      </c>
      <c r="I23" s="609">
        <f ca="1">ROUNDUP((ПЛ*0.006*H23+$AC$186+N("ГИ на ограждение")),0)</f>
        <v>64</v>
      </c>
      <c r="J23" s="1042" t="s">
        <v>112</v>
      </c>
      <c r="K23" s="609"/>
      <c r="L23" s="610">
        <f>IFERROR(#REF!*K23,0)</f>
        <v>0</v>
      </c>
      <c r="N23" s="1032">
        <f t="shared" ref="N23:N33" ca="1" si="3">IF(OR(I23=" ",I23=0),0,1)</f>
        <v>1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aca="1" ref="AY23" ca="1">IF(OR(AV23=$C$23:$C$61),1,0)</f>
        <v>1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 ca="1">SUBTOTAL(3,$I$13:I24)</f>
        <v>5</v>
      </c>
      <c r="C24" s="626" t="s">
        <v>442</v>
      </c>
      <c r="D24" s="627"/>
      <c r="E24" s="627"/>
      <c r="F24" s="627"/>
      <c r="G24" s="628"/>
      <c r="H24" s="608">
        <v>1</v>
      </c>
      <c r="I24" s="609">
        <f>ROUNDUP(ПЛ*0.0005/3+N("/3 - перевод в канистры"),0)</f>
        <v>1</v>
      </c>
      <c r="J24" s="1042" t="s">
        <v>151</v>
      </c>
      <c r="K24" s="609"/>
      <c r="L24" s="610">
        <f>IFERROR(#REF!*K24,0)</f>
        <v>0</v>
      </c>
      <c r="N24" s="1032">
        <f t="shared" si="3"/>
        <v>1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aca="1" ref="AY24" ca="1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 ca="1">SUBTOTAL(3,$I$13:I25)</f>
        <v>6</v>
      </c>
      <c r="C25" s="626" t="s">
        <v>742</v>
      </c>
      <c r="D25" s="627"/>
      <c r="E25" s="627"/>
      <c r="F25" s="627"/>
      <c r="G25" s="628"/>
      <c r="H25" s="608">
        <v>1</v>
      </c>
      <c r="I25" s="609">
        <f>ROUNDUP(ПЛ/235,0)</f>
        <v>8</v>
      </c>
      <c r="J25" s="1042" t="s">
        <v>151</v>
      </c>
      <c r="K25" s="609"/>
      <c r="L25" s="610">
        <f t="shared" ref="L25:L33" si="4">IFERROR(I25*K25,0)</f>
        <v>0</v>
      </c>
      <c r="N25" s="1032">
        <f t="shared" si="3"/>
        <v>1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aca="1" ref="AY25" ca="1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 ca="1">SUBTOTAL(3,$I$13:I26)</f>
        <v>7</v>
      </c>
      <c r="C26" s="626" t="s">
        <v>194</v>
      </c>
      <c r="D26" s="627"/>
      <c r="E26" s="627"/>
      <c r="F26" s="627"/>
      <c r="G26" s="628"/>
      <c r="H26" s="608">
        <v>1.1499999999999999</v>
      </c>
      <c r="I26" s="609">
        <f>ROUNDUP(ПЛ*H26,0)</f>
        <v>1967</v>
      </c>
      <c r="J26" s="1042" t="s">
        <v>112</v>
      </c>
      <c r="K26" s="609"/>
      <c r="L26" s="610">
        <f t="shared" si="4"/>
        <v>0</v>
      </c>
      <c r="N26" s="1032">
        <f t="shared" si="3"/>
        <v>1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IF(AK24&gt;0,ТИП2!ПЛ*7,0)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aca="1" ref="AY26" ca="1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 ca="1">SUBTOTAL(3,$I$13:I27)</f>
        <v>8</v>
      </c>
      <c r="C27" s="629" t="s">
        <v>529</v>
      </c>
      <c r="D27" s="630"/>
      <c r="E27" s="630"/>
      <c r="F27" s="630"/>
      <c r="G27" s="631"/>
      <c r="H27" s="680">
        <v>1</v>
      </c>
      <c r="I27" s="681">
        <f>ROUNDUP((0.004*ПЛ),0)</f>
        <v>7</v>
      </c>
      <c r="J27" s="682" t="s">
        <v>151</v>
      </c>
      <c r="K27" s="609"/>
      <c r="L27" s="610">
        <f t="shared" si="4"/>
        <v>0</v>
      </c>
      <c r="N27" s="1032">
        <f t="shared" si="3"/>
        <v>1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aca="1" ref="AY27" ca="1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hidden="1" customHeight="1">
      <c r="B28" s="1037">
        <f ca="1">SUBTOTAL(3,$I$13:I28)</f>
        <v>8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4"/>
        <v>0</v>
      </c>
      <c r="N28" s="1032">
        <f t="shared" si="3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aca="1" ref="AY28" ca="1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hidden="1" customHeight="1">
      <c r="B29" s="1037">
        <f ca="1">SUBTOTAL(3,$I$13:I29)</f>
        <v>8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4"/>
        <v>0</v>
      </c>
      <c r="N29" s="1032">
        <f t="shared" si="3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aca="1" ref="AY29" ca="1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hidden="1" customHeight="1">
      <c r="B30" s="1037">
        <f ca="1">SUBTOTAL(3,$I$13:I30)</f>
        <v>8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4"/>
        <v>0</v>
      </c>
      <c r="N30" s="1032">
        <f t="shared" si="3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aca="1" ref="AY30" ca="1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hidden="1" customHeight="1" thickBot="1">
      <c r="B31" s="1037">
        <f ca="1">SUBTOTAL(3,$I$13:I31)</f>
        <v>8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4"/>
        <v>0</v>
      </c>
      <c r="N31" s="1032">
        <f t="shared" si="3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aca="1" ref="AY31" ca="1">IF(OR(AV31=$C$23:$C$61),1,0)</f>
        <v>0</v>
      </c>
      <c r="AZ31" s="1024"/>
      <c r="BA31" s="159" t="str">
        <f ca="1">INDEX(AV23:AV43,MATCH(1,AY23:AY43,0))</f>
        <v>ПВХ мембрана LOGICROOF V-RP (1.2 мм)</v>
      </c>
      <c r="BB31" s="1024"/>
      <c r="BC31" s="1024"/>
      <c r="BD31" s="1024"/>
      <c r="BE31" s="206"/>
    </row>
    <row r="32" spans="1:57" ht="15" hidden="1" customHeight="1">
      <c r="B32" s="1037">
        <f ca="1">SUBTOTAL(3,$I$13:I32)</f>
        <v>8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4"/>
        <v>0</v>
      </c>
      <c r="N32" s="1032">
        <f t="shared" si="3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aca="1" ref="AY32" ca="1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hidden="1" customHeight="1">
      <c r="B33" s="1037">
        <f ca="1">SUBTOTAL(3,$I$13:I33)</f>
        <v>8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4"/>
        <v>0</v>
      </c>
      <c r="N33" s="1032">
        <f t="shared" si="3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aca="1" ref="AY33" ca="1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hidden="1" customHeight="1" thickBot="1">
      <c r="B34" s="1037">
        <f ca="1">SUBTOTAL(3,$I$13:I34)</f>
        <v>8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aca="1" ref="AY34" ca="1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hidden="1" customHeight="1">
      <c r="B35" s="1037">
        <f ca="1">SUBTOTAL(3,$I$13:I35)</f>
        <v>8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aca="1" ref="AY35" ca="1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 ca="1">SUM(L37:L61)</f>
        <v>0</v>
      </c>
      <c r="N36" s="1032">
        <f ca="1">IF(SUM(I23:I61)&gt;0,1,0)</f>
        <v>1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aca="1" ref="AY36" ca="1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 ca="1">SUBTOTAL(3,$I$13:I37)</f>
        <v>9</v>
      </c>
      <c r="C37" s="626" t="s">
        <v>477</v>
      </c>
      <c r="D37" s="627"/>
      <c r="E37" s="627"/>
      <c r="F37" s="627"/>
      <c r="G37" s="628"/>
      <c r="H37" s="608">
        <v>1</v>
      </c>
      <c r="I37" s="611">
        <f>IFERROR($T$112*H37,0)</f>
        <v>2</v>
      </c>
      <c r="J37" s="1042" t="s">
        <v>151</v>
      </c>
      <c r="K37" s="609"/>
      <c r="L37" s="610">
        <f ca="1">IFERROR(I23*K37,0)</f>
        <v>0</v>
      </c>
      <c r="N37" s="1032">
        <f ca="1">IF(OR(I23=" ",I23=0),0,1)</f>
        <v>1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aca="1" ref="AY37" ca="1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 ca="1">SUBTOTAL(3,$I$13:I38)</f>
        <v>10</v>
      </c>
      <c r="C38" s="626" t="s">
        <v>478</v>
      </c>
      <c r="D38" s="627"/>
      <c r="E38" s="627"/>
      <c r="F38" s="627"/>
      <c r="G38" s="628"/>
      <c r="H38" s="608">
        <v>1</v>
      </c>
      <c r="I38" s="611">
        <f>IFERROR($T$113*H38,0)</f>
        <v>22</v>
      </c>
      <c r="J38" s="1042" t="s">
        <v>151</v>
      </c>
      <c r="K38" s="609"/>
      <c r="L38" s="610">
        <f>IFERROR(I24*K38,0)</f>
        <v>0</v>
      </c>
      <c r="N38" s="1032">
        <f>IF(OR(I24=" ",I24=0),0,1)</f>
        <v>1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aca="1" ref="AY38" ca="1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 ca="1">SUBTOTAL(3,$I$13:I39)</f>
        <v>11</v>
      </c>
      <c r="C39" s="626" t="s">
        <v>1090</v>
      </c>
      <c r="D39" s="627"/>
      <c r="E39" s="627"/>
      <c r="F39" s="627"/>
      <c r="G39" s="628" t="str">
        <f t="shared" ref="G39:G46" si="5">" "</f>
        <v xml:space="preserve"> </v>
      </c>
      <c r="H39" s="608">
        <v>5</v>
      </c>
      <c r="I39" s="611">
        <f>IFERROR(ROUNDUP(ТЭ*H39*1.03,0),0)</f>
        <v>1566</v>
      </c>
      <c r="J39" s="1042" t="s">
        <v>151</v>
      </c>
      <c r="K39" s="609"/>
      <c r="L39" s="610">
        <f t="shared" ref="L39:L61" si="6">IFERROR(I39*K39,0)</f>
        <v>0</v>
      </c>
      <c r="N39" s="1032">
        <f t="shared" ref="N39:N60" si="7">IF(OR(I39=" ",I39=0),0,1)</f>
        <v>1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aca="1" ref="AY39" ca="1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 ca="1">SUBTOTAL(3,$I$13:I40)</f>
        <v>12</v>
      </c>
      <c r="C40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40" s="627"/>
      <c r="E40" s="627"/>
      <c r="F40" s="627"/>
      <c r="G40" s="628" t="str">
        <f t="shared" si="5"/>
        <v xml:space="preserve"> </v>
      </c>
      <c r="H40" s="608">
        <v>1.03</v>
      </c>
      <c r="I40" s="614">
        <f>IFERROR(ROUNDUP(ПКР*H40,2),0)</f>
        <v>105.06</v>
      </c>
      <c r="J40" s="1042" t="s">
        <v>264</v>
      </c>
      <c r="K40" s="609"/>
      <c r="L40" s="610">
        <f t="shared" si="6"/>
        <v>0</v>
      </c>
      <c r="N40" s="1032">
        <f t="shared" si="7"/>
        <v>1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aca="1" ref="AY40" ca="1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 ca="1">SUBTOTAL(3,$I$13:I41)</f>
        <v>13</v>
      </c>
      <c r="C41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1" s="627"/>
      <c r="E41" s="627"/>
      <c r="F41" s="627"/>
      <c r="G41" s="628" t="str">
        <f t="shared" si="5"/>
        <v xml:space="preserve"> </v>
      </c>
      <c r="H41" s="608">
        <v>1.03</v>
      </c>
      <c r="I41" s="614">
        <f>IFERROR(ROUNDUP(ППР*H41,2),0)</f>
        <v>105.06</v>
      </c>
      <c r="J41" s="1042" t="s">
        <v>264</v>
      </c>
      <c r="K41" s="609"/>
      <c r="L41" s="610">
        <f t="shared" si="6"/>
        <v>0</v>
      </c>
      <c r="N41" s="1032">
        <f t="shared" si="7"/>
        <v>1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aca="1" ref="AY41" ca="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 ca="1">SUBTOTAL(3,$I$13:I42)</f>
        <v>14</v>
      </c>
      <c r="C42" s="626" t="s">
        <v>559</v>
      </c>
      <c r="D42" s="627"/>
      <c r="E42" s="627"/>
      <c r="F42" s="627"/>
      <c r="G42" s="628" t="str">
        <f t="shared" si="5"/>
        <v xml:space="preserve"> </v>
      </c>
      <c r="H42" s="608">
        <v>5</v>
      </c>
      <c r="I42" s="611">
        <f>IFERROR(ROUNDUP(СМРЗ.МЕТ*H42*1.03,0),0)</f>
        <v>2406</v>
      </c>
      <c r="J42" s="1042" t="s">
        <v>151</v>
      </c>
      <c r="K42" s="609"/>
      <c r="L42" s="610">
        <f t="shared" si="6"/>
        <v>0</v>
      </c>
      <c r="N42" s="1032">
        <f t="shared" si="7"/>
        <v>1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aca="1" ref="AY42" ca="1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 ca="1">SUBTOTAL(3,$I$13:I43)</f>
        <v>15</v>
      </c>
      <c r="C43" s="626" t="s">
        <v>189</v>
      </c>
      <c r="D43" s="627"/>
      <c r="E43" s="627"/>
      <c r="F43" s="627"/>
      <c r="G43" s="628" t="str">
        <f t="shared" si="5"/>
        <v xml:space="preserve"> </v>
      </c>
      <c r="H43" s="608">
        <v>5</v>
      </c>
      <c r="I43" s="611">
        <f>IFERROR(ROUNDUP(АНКЕР,0),0)</f>
        <v>293</v>
      </c>
      <c r="J43" s="1042" t="s">
        <v>151</v>
      </c>
      <c r="K43" s="609"/>
      <c r="L43" s="610">
        <f t="shared" si="6"/>
        <v>0</v>
      </c>
      <c r="N43" s="1032">
        <f t="shared" si="7"/>
        <v>1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aca="1" ref="AY43" ca="1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 ca="1">SUBTOTAL(3,$I$13:I44)</f>
        <v>16</v>
      </c>
      <c r="C44" s="626" t="s">
        <v>1459</v>
      </c>
      <c r="D44" s="627"/>
      <c r="E44" s="627"/>
      <c r="F44" s="627"/>
      <c r="G44" s="628" t="str">
        <f t="shared" si="5"/>
        <v xml:space="preserve"> </v>
      </c>
      <c r="H44" s="608">
        <v>5</v>
      </c>
      <c r="I44" s="611">
        <f>IFERROR(ROUNDUP(СМРЗ.БЕТ*H44*1.03,0),0)+$I$1141</f>
        <v>217</v>
      </c>
      <c r="J44" s="1042" t="s">
        <v>151</v>
      </c>
      <c r="K44" s="609"/>
      <c r="L44" s="610">
        <f t="shared" si="6"/>
        <v>0</v>
      </c>
      <c r="N44" s="1032">
        <f t="shared" si="7"/>
        <v>1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 ca="1">SUBTOTAL(3,$I$13:I45)</f>
        <v>17</v>
      </c>
      <c r="C45" s="626" t="s">
        <v>192</v>
      </c>
      <c r="D45" s="627"/>
      <c r="E45" s="627"/>
      <c r="F45" s="627"/>
      <c r="G45" s="628" t="str">
        <f t="shared" si="5"/>
        <v xml:space="preserve"> </v>
      </c>
      <c r="H45" s="608">
        <v>1.1000000000000001</v>
      </c>
      <c r="I45" s="609">
        <f>IFERROR(ROUNDUP(ГнП*H45+IFERROR(IF($R$110=$AA$16,$T$110*1.9,0),0),0),0)</f>
        <v>3</v>
      </c>
      <c r="J45" s="1042" t="s">
        <v>112</v>
      </c>
      <c r="K45" s="609"/>
      <c r="L45" s="610">
        <f t="shared" si="6"/>
        <v>0</v>
      </c>
      <c r="N45" s="1032">
        <f t="shared" si="7"/>
        <v>1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 ca="1">SUBTOTAL(3,$I$13:I46)</f>
        <v>18</v>
      </c>
      <c r="C46" s="626" t="s">
        <v>936</v>
      </c>
      <c r="D46" s="627"/>
      <c r="E46" s="627"/>
      <c r="F46" s="627"/>
      <c r="G46" s="628" t="str">
        <f t="shared" si="5"/>
        <v xml:space="preserve"> </v>
      </c>
      <c r="H46" s="608">
        <v>0.15</v>
      </c>
      <c r="I46" s="611">
        <f ca="1">IFERROR(ROUNDUP((ПКР*H46+$F$1035*0.025)*1000/600+$T$108*300/600+$AD$186+N("герметик на ограждения"),0),0)</f>
        <v>48</v>
      </c>
      <c r="J46" s="1042" t="s">
        <v>151</v>
      </c>
      <c r="K46" s="609"/>
      <c r="L46" s="610">
        <f t="shared" ca="1" si="6"/>
        <v>0</v>
      </c>
      <c r="N46" s="1032">
        <f t="shared" ca="1" si="7"/>
        <v>1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 ca="1">SUBTOTAL(3,$I$13:I47)</f>
        <v>19</v>
      </c>
      <c r="C47" s="626" t="s">
        <v>408</v>
      </c>
      <c r="D47" s="627"/>
      <c r="E47" s="627"/>
      <c r="F47" s="721"/>
      <c r="G47" s="628" t="str">
        <f>CONCATENATE(($S$101+$U$106)," м")</f>
        <v>304 м</v>
      </c>
      <c r="H47" s="608">
        <v>1.05</v>
      </c>
      <c r="I47" s="614">
        <f>ROUNDUP(($S$101+$U$106)*H47*0.33+N("полоса шириной 2 метра поделенная на 6 частей по 33 см"),2)</f>
        <v>105.34</v>
      </c>
      <c r="J47" s="1042" t="s">
        <v>112</v>
      </c>
      <c r="K47" s="609"/>
      <c r="L47" s="610">
        <f t="shared" si="6"/>
        <v>0</v>
      </c>
      <c r="N47" s="1032">
        <f t="shared" si="7"/>
        <v>1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 ca="1">SUBTOTAL(3,$I$13:I48)</f>
        <v>20</v>
      </c>
      <c r="C48" s="626" t="s">
        <v>194</v>
      </c>
      <c r="D48" s="627"/>
      <c r="E48" s="627"/>
      <c r="F48" s="627"/>
      <c r="G48" s="628" t="str">
        <f>" "</f>
        <v xml:space="preserve"> </v>
      </c>
      <c r="H48" s="608">
        <v>1.1499999999999999</v>
      </c>
      <c r="I48" s="609">
        <f>IFERROR(ROUNDUP(парапетВ*H48+IFERROR(IF($R$110=$AA$16,($T$110*1.05*1.15),0),0),0),0)</f>
        <v>216</v>
      </c>
      <c r="J48" s="1042" t="s">
        <v>112</v>
      </c>
      <c r="K48" s="609"/>
      <c r="L48" s="610">
        <f t="shared" si="6"/>
        <v>0</v>
      </c>
      <c r="N48" s="1032">
        <f t="shared" si="7"/>
        <v>1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 ca="1">SUBTOTAL(3,$I$13:I49)</f>
        <v>21</v>
      </c>
      <c r="C49" s="626" t="s">
        <v>991</v>
      </c>
      <c r="D49" s="627"/>
      <c r="E49" s="627" t="s">
        <v>1437</v>
      </c>
      <c r="F49" s="638">
        <v>100</v>
      </c>
      <c r="G49" s="628" t="s">
        <v>150</v>
      </c>
      <c r="H49" s="608">
        <v>1.03</v>
      </c>
      <c r="I49" s="609">
        <f>ROUNDUP(($P$4+2*$P$5)*ГОФРЫ,1)</f>
        <v>5.8</v>
      </c>
      <c r="J49" s="1042" t="s">
        <v>178</v>
      </c>
      <c r="K49" s="609"/>
      <c r="L49" s="610">
        <f t="shared" si="6"/>
        <v>0</v>
      </c>
      <c r="N49" s="1032">
        <f t="shared" si="7"/>
        <v>1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 ca="1">SUBTOTAL(3,$I$13:I50)</f>
        <v>22</v>
      </c>
      <c r="C50" s="626" t="s">
        <v>531</v>
      </c>
      <c r="D50" s="627"/>
      <c r="E50" s="627"/>
      <c r="F50" s="656">
        <v>70</v>
      </c>
      <c r="G50" s="628" t="s">
        <v>150</v>
      </c>
      <c r="H50" s="608" t="s">
        <v>296</v>
      </c>
      <c r="I50" s="609">
        <v>166</v>
      </c>
      <c r="J50" s="1042" t="s">
        <v>190</v>
      </c>
      <c r="K50" s="609"/>
      <c r="L50" s="610">
        <f t="shared" si="6"/>
        <v>0</v>
      </c>
      <c r="N50" s="1032">
        <f>IF(OR(I50=" ",I50=0),0,1)</f>
        <v>1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 ca="1">SUBTOTAL(3,$I$13:I51)</f>
        <v>23</v>
      </c>
      <c r="C51" s="626" t="s">
        <v>531</v>
      </c>
      <c r="D51" s="627"/>
      <c r="E51" s="627"/>
      <c r="F51" s="656">
        <v>100</v>
      </c>
      <c r="G51" s="628" t="s">
        <v>150</v>
      </c>
      <c r="H51" s="608" t="s">
        <v>296</v>
      </c>
      <c r="I51" s="609">
        <v>76</v>
      </c>
      <c r="J51" s="1042" t="s">
        <v>190</v>
      </c>
      <c r="K51" s="609"/>
      <c r="L51" s="610">
        <f t="shared" si="6"/>
        <v>0</v>
      </c>
      <c r="N51" s="1032">
        <f t="shared" ref="N51:N56" si="8">IF(OR(I51=" ",I51=0),0,1)</f>
        <v>1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 ca="1">SUBTOTAL(3,$I$13:I52)</f>
        <v>24</v>
      </c>
      <c r="C52" s="626" t="s">
        <v>268</v>
      </c>
      <c r="D52" s="627"/>
      <c r="E52" s="627"/>
      <c r="F52" s="656">
        <v>20</v>
      </c>
      <c r="G52" s="628" t="s">
        <v>150</v>
      </c>
      <c r="H52" s="608" t="s">
        <v>296</v>
      </c>
      <c r="I52" s="609">
        <v>242</v>
      </c>
      <c r="J52" s="1042" t="s">
        <v>190</v>
      </c>
      <c r="K52" s="609"/>
      <c r="L52" s="610">
        <f t="shared" si="6"/>
        <v>0</v>
      </c>
      <c r="N52" s="1032">
        <f t="shared" si="8"/>
        <v>1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 ca="1">SUBTOTAL(3,$I$13:I53)</f>
        <v>25</v>
      </c>
      <c r="C53" s="626" t="s">
        <v>321</v>
      </c>
      <c r="D53" s="640"/>
      <c r="E53" s="640"/>
      <c r="F53" s="656">
        <v>50</v>
      </c>
      <c r="G53" s="628" t="s">
        <v>150</v>
      </c>
      <c r="H53" s="608">
        <v>1.03</v>
      </c>
      <c r="I53" s="711">
        <v>1.8000000000000003</v>
      </c>
      <c r="J53" s="1042" t="s">
        <v>178</v>
      </c>
      <c r="K53" s="609"/>
      <c r="L53" s="610">
        <f t="shared" si="6"/>
        <v>0</v>
      </c>
      <c r="N53" s="1032">
        <f t="shared" si="8"/>
        <v>1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 ca="1">SUBTOTAL(3,$I$13:I54)</f>
        <v>26</v>
      </c>
      <c r="C54" s="1043" t="s">
        <v>1535</v>
      </c>
      <c r="D54" s="627"/>
      <c r="E54" s="627"/>
      <c r="F54" s="638"/>
      <c r="G54" s="627"/>
      <c r="H54" s="608">
        <v>1</v>
      </c>
      <c r="I54" s="609">
        <f>IF(AND($V$3=$Y$4,OR($V$2=$AA$20,$V$2=$AA$21)),SUMIF($S$172:$S$176,C54,$V$172:$V$176),0)</f>
        <v>87</v>
      </c>
      <c r="J54" s="1042" t="s">
        <v>151</v>
      </c>
      <c r="K54" s="609"/>
      <c r="L54" s="610">
        <f t="shared" si="6"/>
        <v>0</v>
      </c>
      <c r="N54" s="1032">
        <f t="shared" si="8"/>
        <v>1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 ca="1">SUBTOTAL(3,$I$13:I55)</f>
        <v>27</v>
      </c>
      <c r="C55" s="629" t="s">
        <v>198</v>
      </c>
      <c r="D55" s="630"/>
      <c r="E55" s="630"/>
      <c r="F55" s="630"/>
      <c r="G55" s="631"/>
      <c r="H55" s="608">
        <v>1</v>
      </c>
      <c r="I55" s="611">
        <f>IFERROR(IF($R$110=$AA$15,ROUNDUP($T$110*1.05/0.6,0),0),0)</f>
        <v>513</v>
      </c>
      <c r="J55" s="1045" t="s">
        <v>151</v>
      </c>
      <c r="K55" s="609"/>
      <c r="L55" s="610">
        <f t="shared" si="6"/>
        <v>0</v>
      </c>
      <c r="N55" s="1032">
        <f t="shared" si="8"/>
        <v>1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hidden="1" customHeight="1">
      <c r="B56" s="1037">
        <f ca="1">SUBTOTAL(3,$I$13:I56)</f>
        <v>27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6"/>
        <v>0</v>
      </c>
      <c r="N56" s="1032">
        <f t="shared" si="8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hidden="1" customHeight="1">
      <c r="B57" s="1037">
        <f ca="1">SUBTOTAL(3,$I$13:I57)</f>
        <v>27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6"/>
        <v>0</v>
      </c>
      <c r="N57" s="1032">
        <f t="shared" si="7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hidden="1" customHeight="1">
      <c r="B58" s="1037">
        <f ca="1">SUBTOTAL(3,$I$13:I58)</f>
        <v>27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6"/>
        <v>0</v>
      </c>
      <c r="N58" s="1032">
        <f t="shared" si="7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hidden="1" customHeight="1">
      <c r="B59" s="1037">
        <f ca="1">SUBTOTAL(3,$I$13:I59)</f>
        <v>27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6"/>
        <v>0</v>
      </c>
      <c r="N59" s="1032">
        <f t="shared" si="7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hidden="1" customHeight="1">
      <c r="B60" s="1037">
        <f ca="1">SUBTOTAL(3,$I$13:I60)</f>
        <v>27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6"/>
        <v>0</v>
      </c>
      <c r="N60" s="1032">
        <f t="shared" si="7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hidden="1" customHeight="1">
      <c r="B61" s="1037">
        <f ca="1">SUBTOTAL(3,$I$13:I61)</f>
        <v>27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6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hidden="1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hidden="1" customHeight="1">
      <c r="B63" s="1037">
        <f ca="1">SUBTOTAL(3,$I$13:I63)</f>
        <v>27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9">IFERROR(I63*K63,0)</f>
        <v>0</v>
      </c>
      <c r="N63" s="1032">
        <f t="shared" ref="N63:N69" si="10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hidden="1" customHeight="1">
      <c r="B64" s="1037">
        <f ca="1">SUBTOTAL(3,$I$13:I64)</f>
        <v>27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9"/>
        <v>0</v>
      </c>
      <c r="N64" s="1032">
        <f t="shared" si="10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hidden="1" customHeight="1">
      <c r="B65" s="1037">
        <f ca="1">SUBTOTAL(3,$I$13:I65)</f>
        <v>27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9"/>
        <v>0</v>
      </c>
      <c r="N65" s="1032">
        <f t="shared" si="10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hidden="1" customHeight="1">
      <c r="B66" s="1037">
        <f ca="1">SUBTOTAL(3,$I$13:I66)</f>
        <v>27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9"/>
        <v>0</v>
      </c>
      <c r="N66" s="1032">
        <f t="shared" si="10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hidden="1" customHeight="1">
      <c r="B67" s="1037">
        <f ca="1">SUBTOTAL(3,$I$13:I67)</f>
        <v>27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9"/>
        <v>0</v>
      </c>
      <c r="N67" s="1032">
        <f t="shared" si="10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hidden="1" customHeight="1">
      <c r="B68" s="1037">
        <f ca="1">SUBTOTAL(3,$I$13:I68)</f>
        <v>27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9"/>
        <v>0</v>
      </c>
      <c r="N68" s="1032">
        <f t="shared" si="10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hidden="1" customHeight="1">
      <c r="B69" s="1037">
        <f ca="1">SUBTOTAL(3,$I$13:I69)</f>
        <v>27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9"/>
        <v>0</v>
      </c>
      <c r="N69" s="1032">
        <f t="shared" si="10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 ca="1">IF(SUM(I23:I35,I23:I62)&gt;0,"* Позиции носят рекомендательный характер","")</f>
        <v>* Позиции носят рекомендательный характер</v>
      </c>
      <c r="N70" s="1032">
        <f ca="1">IF(SUM(I23:I35,I23:I62)&gt;0,1,0)</f>
        <v>1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1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1</v>
      </c>
      <c r="P72" s="1392" t="str">
        <f>IF(V3="НЕТ"," ",IF(V3="ПВХ","ПВХ мембрана","Битумно- полимерная "))</f>
        <v>ПВХ мембрана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11">IF($V$4="НЕТ",0,1)</f>
        <v>1</v>
      </c>
      <c r="P73" s="1394" t="str">
        <f>IF(V3="НЕТ"," ","ТИПЫ")</f>
        <v>ТИПЫ</v>
      </c>
      <c r="Q73" s="1394" t="str">
        <f>IF(V3="НЕТ"," ","ПГ")</f>
        <v>ПГ</v>
      </c>
      <c r="R73" s="1394"/>
      <c r="S73" s="1394" t="str">
        <f>IF(V3="НЕТ"," ","ДКР")</f>
        <v>ДКР</v>
      </c>
      <c r="T73" s="1394" t="str">
        <f>IF(V3="НЕТ"," ","ДПР")</f>
        <v>ДПР</v>
      </c>
      <c r="U73" s="1394" t="str">
        <f>IF(V3="НЕТ"," ","ТЭ")</f>
        <v>ТЭ</v>
      </c>
      <c r="V73" s="1394" t="str">
        <f>IF(V3="НЕТ"," ","ГнП")</f>
        <v>ГнП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11"/>
        <v>1</v>
      </c>
      <c r="P74" s="1394"/>
      <c r="Q74" s="1032" t="str">
        <f>IF(V3="НЕТ"," ","ВЕРХ")</f>
        <v>ВЕРХ</v>
      </c>
      <c r="R74" s="1032" t="str">
        <f>IF(V3="НЕТ"," ","НИЗ")</f>
        <v>НИЗ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>IF(K5=0," ",K5)</f>
        <v>Кровля 
(без участков в осях 
7-9 / Ж-И и 12-14 / Ж-И)</v>
      </c>
      <c r="L75" s="1230"/>
      <c r="N75" s="1032">
        <f t="shared" si="11"/>
        <v>1</v>
      </c>
      <c r="P75" s="117" t="str">
        <f>IF(V3="НЕТ"," ","СУММА")</f>
        <v>СУММА</v>
      </c>
      <c r="Q75" s="1031">
        <f>IF(V3="ПВХ",SUM(Y81:Y85,Y88:Y92,Y95:Y98,Y101,Q104),IF(V3="нет"," ",SUM(Y133:Y137,Y141:Y145,Y149:Y152,Q161)))</f>
        <v>187.65</v>
      </c>
      <c r="R75" s="118">
        <f>IF(V3="Битумно- полимерная",SUM(Z133:Z137,Z141:Z145,Z149:Z152,Z156,Q162),IF(V3="НЕТ"," ",0))</f>
        <v>0</v>
      </c>
      <c r="S75" s="1031">
        <f>IF(V3="НЕТ"," ",IF(V3="ПВХ",SUM(AA95:AA98,Q105),SUM(AA149:AA152,S161)))</f>
        <v>102</v>
      </c>
      <c r="T75" s="1031">
        <f>IF(V3="нет"," ",IF(V3="ПВХ",SUM(Z81:Z85,Z88:Z92,Z95:Z98,Q106),SUM(AA133:AA137,S162)))</f>
        <v>102</v>
      </c>
      <c r="U75" s="1031">
        <f>IF(V3="ПВХ",SUM(AA81:AA85,AA88:AA92,Z101,S104),IF(V3="НЕТ"," ",0))</f>
        <v>304</v>
      </c>
      <c r="V75" s="118">
        <f>IF(V3="ПВХ",SUM(AB81:AB85,AB88:AB92,AB95:AB98,S105),IF(V3="НЕТ"," ",0))</f>
        <v>2.1</v>
      </c>
      <c r="W75" s="93"/>
      <c r="X75" s="93"/>
      <c r="Y75" s="160">
        <f>IF(V3=Y3,SUM(AB133:AB137,AB149:AB152,Q163),IF(V3=Y4,SUM(AC81:AC85,AC88:AC92,AC95:AC98,AA101,S106),0))</f>
        <v>467</v>
      </c>
      <c r="Z75" s="161">
        <f>IF(V3=Y3,SUM(AC133:AC137,AC149:AC152,S163),IF(V3=Y4,SUM(AD81:AD85,AD88:AD92,AD95:AD98,AB101,U105),0))</f>
        <v>42</v>
      </c>
      <c r="AA75" s="161">
        <f>IF(V3=Y3,SUM(AD133:AD137,AD149:AD152,U161),IF(V3=Y4,SUM(AE81:AE85,AE88:AE92,AE95:AE98,AC101,U104),0))</f>
        <v>293</v>
      </c>
      <c r="AB75" s="161">
        <f>IF(V3=Y3,SUM(AE133:AE137,AE149:AE152,AE141:AE145),0)</f>
        <v>0</v>
      </c>
      <c r="AC75" s="93"/>
      <c r="AD75" s="1011">
        <f>СМРЗ.МЕТ*5.15</f>
        <v>2405.0500000000002</v>
      </c>
      <c r="AF75" s="1011">
        <f>(AC81+AC82+AC83+AC84+AC85+AC88+AC90+AC89+AC91+AC92+AC95+AC96+AC97+AC98)*5.15</f>
        <v>839.45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11"/>
        <v>1</v>
      </c>
      <c r="O76" s="1051"/>
      <c r="P76" s="149">
        <f>IFERROR(IF($V$4=$Y$12,SUM($I$102:$I$113)/ПЛ," "),0)</f>
        <v>7.018713450292398</v>
      </c>
      <c r="Q76" s="119" t="str">
        <f>IF($V$4=$Y$12,"расход количества крепежа для всей кровли, шт/м2"," ")</f>
        <v>расход количества крепежа для всей кровли, шт/м2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11"/>
        <v>1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11"/>
        <v>1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11"/>
        <v>1</v>
      </c>
      <c r="O79" s="1051"/>
      <c r="P79" s="1292" t="str">
        <f>IF(V3=Y4,"Примыкание к парапету высотой более 500 мм"," ")</f>
        <v>Примыкание к парапету высотой более 500 мм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11"/>
        <v>1</v>
      </c>
      <c r="O80" s="1051"/>
      <c r="P80" s="1026" t="s">
        <v>302</v>
      </c>
      <c r="Q80" s="1026" t="str">
        <f>IF(V3=Y4,"ТИПЫ"," ")</f>
        <v>ТИПЫ</v>
      </c>
      <c r="R80" s="1025" t="str">
        <f>IF(V3=Y4,"ШИРИНА, мм"," ")</f>
        <v>ШИРИНА, мм</v>
      </c>
      <c r="S80" s="1025" t="str">
        <f>IF(V3=Y4,"ВЫСОТА, мм"," ")</f>
        <v>ВЫСОТА, мм</v>
      </c>
      <c r="T80" s="1025" t="str">
        <f>IF(V3=Y4,"ДЛИНА, м"," ")</f>
        <v>ДЛИНА, м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11"/>
        <v>1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1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2">IF(AK82=0,0,ROUNDUP(T82*5*1.03,0))</f>
        <v>0</v>
      </c>
      <c r="AN82" s="437">
        <f>IFERROR(MATCH(Q82,$Z$15:$Z$20,0),0)</f>
        <v>0</v>
      </c>
    </row>
    <row r="83" spans="2:40" ht="15" hidden="1" customHeight="1">
      <c r="B83" s="1037">
        <f>SUBTOTAL(3,$I$83:I83)</f>
        <v>0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3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2"/>
        <v>0</v>
      </c>
      <c r="AN83" s="437">
        <f>IFERROR(MATCH(Q83,$Z$15:$Z$20,0),0)</f>
        <v>0</v>
      </c>
    </row>
    <row r="84" spans="2:40" ht="15" hidden="1" customHeight="1">
      <c r="B84" s="1037">
        <f>SUBTOTAL(3,$I$83:I84)</f>
        <v>0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4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5">I84*K84</f>
        <v>0</v>
      </c>
      <c r="N84" s="1032">
        <f t="shared" si="13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2"/>
        <v>0</v>
      </c>
      <c r="AN84" s="437">
        <f>IFERROR(MATCH(Q84,$Z$15:$Z$20,0),0)</f>
        <v>0</v>
      </c>
    </row>
    <row r="85" spans="2:40" ht="15" hidden="1" customHeight="1">
      <c r="B85" s="1037">
        <f>SUBTOTAL(3,$I$83:I85)</f>
        <v>0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4"/>
        <v>0</v>
      </c>
      <c r="J85" s="1013" t="s">
        <v>151</v>
      </c>
      <c r="K85" s="661"/>
      <c r="L85" s="610">
        <f>I85*K85</f>
        <v>0</v>
      </c>
      <c r="N85" s="1032">
        <f t="shared" si="13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2"/>
        <v>0</v>
      </c>
      <c r="AN85" s="437">
        <f>IFERROR(MATCH(Q85,$Z$15:$Z$20,0),0)</f>
        <v>0</v>
      </c>
    </row>
    <row r="86" spans="2:40" ht="15" hidden="1" customHeight="1">
      <c r="B86" s="1037">
        <f>SUBTOTAL(3,$I$83:I86)</f>
        <v>0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4"/>
        <v>0</v>
      </c>
      <c r="J86" s="1013" t="s">
        <v>151</v>
      </c>
      <c r="K86" s="661"/>
      <c r="L86" s="610">
        <f t="shared" si="15"/>
        <v>0</v>
      </c>
      <c r="N86" s="1032">
        <f t="shared" si="13"/>
        <v>0</v>
      </c>
      <c r="O86" s="1051"/>
      <c r="P86" s="1292" t="str">
        <f>IF(V3=Y4,"Примыкание к парапету высотой менее 500 мм"," ")</f>
        <v>Примыкание к парапету высотой менее 500 мм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hidden="1" customHeight="1">
      <c r="B87" s="1037">
        <f>SUBTOTAL(3,$I$83:I87)</f>
        <v>0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4"/>
        <v>0</v>
      </c>
      <c r="J87" s="1013" t="s">
        <v>151</v>
      </c>
      <c r="K87" s="661"/>
      <c r="L87" s="610">
        <f t="shared" si="15"/>
        <v>0</v>
      </c>
      <c r="N87" s="1032">
        <f t="shared" si="13"/>
        <v>0</v>
      </c>
      <c r="O87" s="1051"/>
      <c r="P87" s="1026" t="s">
        <v>302</v>
      </c>
      <c r="Q87" s="1026" t="str">
        <f>IF(V3=Y4,"ТИПЫ"," ")</f>
        <v>ТИПЫ</v>
      </c>
      <c r="R87" s="1025" t="str">
        <f>IF(V3=Y4,"ШИРИНА, мм"," ")</f>
        <v>ШИРИНА, мм</v>
      </c>
      <c r="S87" s="1025" t="str">
        <f>IF(V3=Y4,"ВЫСОТА, мм"," ")</f>
        <v>ВЫСОТА, мм</v>
      </c>
      <c r="T87" s="1025" t="str">
        <f>IF(V3=Y4,"ДЛИНА, м"," ")</f>
        <v>ДЛИНА, м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hidden="1" customHeight="1">
      <c r="B88" s="1037">
        <f>SUBTOTAL(3,$I$83:I88)</f>
        <v>0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4"/>
        <v>0</v>
      </c>
      <c r="J88" s="1013" t="s">
        <v>151</v>
      </c>
      <c r="K88" s="661"/>
      <c r="L88" s="610">
        <f t="shared" si="15"/>
        <v>0</v>
      </c>
      <c r="N88" s="1032">
        <f t="shared" si="13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hidden="1" customHeight="1">
      <c r="B89" s="1037">
        <f>SUBTOTAL(3,$I$83:I89)</f>
        <v>0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4"/>
        <v>0</v>
      </c>
      <c r="J89" s="1013" t="s">
        <v>151</v>
      </c>
      <c r="K89" s="661"/>
      <c r="L89" s="610">
        <f t="shared" si="15"/>
        <v>0</v>
      </c>
      <c r="N89" s="1032">
        <f t="shared" si="13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hidden="1" customHeight="1">
      <c r="B90" s="1037">
        <f>SUBTOTAL(3,$I$83:I90)</f>
        <v>0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4"/>
        <v>0</v>
      </c>
      <c r="J90" s="1013" t="s">
        <v>151</v>
      </c>
      <c r="K90" s="661"/>
      <c r="L90" s="610">
        <f t="shared" si="15"/>
        <v>0</v>
      </c>
      <c r="N90" s="1032">
        <f t="shared" si="13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hidden="1" customHeight="1">
      <c r="B91" s="1037">
        <f>SUBTOTAL(3,$I$83:I91)</f>
        <v>0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4"/>
        <v>0</v>
      </c>
      <c r="J91" s="1013" t="s">
        <v>151</v>
      </c>
      <c r="K91" s="661"/>
      <c r="L91" s="610">
        <f t="shared" si="15"/>
        <v>0</v>
      </c>
      <c r="N91" s="1032">
        <f t="shared" si="13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hidden="1" customHeight="1">
      <c r="B92" s="1037">
        <f>SUBTOTAL(3,$I$83:I92)</f>
        <v>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4"/>
        <v>0</v>
      </c>
      <c r="J92" s="1013" t="s">
        <v>151</v>
      </c>
      <c r="K92" s="661"/>
      <c r="L92" s="610">
        <f t="shared" si="15"/>
        <v>0</v>
      </c>
      <c r="N92" s="1032">
        <f t="shared" si="13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4"/>
        <v>12002</v>
      </c>
      <c r="J93" s="1013" t="s">
        <v>151</v>
      </c>
      <c r="K93" s="661"/>
      <c r="L93" s="610">
        <f t="shared" si="15"/>
        <v>0</v>
      </c>
      <c r="N93" s="1032">
        <f t="shared" si="13"/>
        <v>1</v>
      </c>
      <c r="O93" s="1051"/>
      <c r="P93" s="1051"/>
      <c r="Q93" s="1369" t="str">
        <f>IF(V3=Y4,"Примыкания к вертикальным стенам"," ")</f>
        <v>Примыкания к вертикальным стенам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hidden="1" customHeight="1">
      <c r="B94" s="1037">
        <f>SUBTOTAL(3,$I$83:I94)</f>
        <v>1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4"/>
        <v>0</v>
      </c>
      <c r="J94" s="1013" t="s">
        <v>151</v>
      </c>
      <c r="K94" s="661"/>
      <c r="L94" s="610">
        <f t="shared" si="15"/>
        <v>0</v>
      </c>
      <c r="N94" s="1032">
        <f t="shared" si="13"/>
        <v>0</v>
      </c>
      <c r="O94" s="1051"/>
      <c r="P94" s="1051"/>
      <c r="Q94" s="1026" t="s">
        <v>302</v>
      </c>
      <c r="R94" s="1026" t="str">
        <f>IF(V3=Y4,"ТИПЫ"," ")</f>
        <v>ТИПЫ</v>
      </c>
      <c r="S94" s="1025" t="str">
        <f>IF(V3=Y4,"ВЫСОТА, мм"," ")</f>
        <v>ВЫСОТА, мм</v>
      </c>
      <c r="T94" s="1025" t="str">
        <f>IF(V3=Y4,"ДЛИНА, м"," ")</f>
        <v>ДЛИНА, м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hidden="1" customHeight="1">
      <c r="B95" s="1037">
        <f>SUBTOTAL(3,$I$83:I95)</f>
        <v>1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4"/>
        <v>0</v>
      </c>
      <c r="J95" s="1013" t="s">
        <v>151</v>
      </c>
      <c r="K95" s="661"/>
      <c r="L95" s="610">
        <f t="shared" si="15"/>
        <v>0</v>
      </c>
      <c r="N95" s="1032">
        <f t="shared" si="13"/>
        <v>0</v>
      </c>
      <c r="O95" s="1051"/>
      <c r="P95" s="1051"/>
      <c r="Q95" s="225">
        <v>1</v>
      </c>
      <c r="R95" s="123" t="s">
        <v>252</v>
      </c>
      <c r="S95" s="124">
        <v>600</v>
      </c>
      <c r="T95" s="191">
        <v>21</v>
      </c>
      <c r="U95" s="124">
        <v>500</v>
      </c>
      <c r="V95" s="124">
        <v>50</v>
      </c>
      <c r="W95" s="162" t="s">
        <v>321</v>
      </c>
      <c r="X95" s="93"/>
      <c r="Y95" s="125">
        <f>(380+S95)/1000*T95</f>
        <v>20.58</v>
      </c>
      <c r="Z95" s="125">
        <f>T95</f>
        <v>21</v>
      </c>
      <c r="AA95" s="125">
        <f>T95</f>
        <v>21</v>
      </c>
      <c r="AB95" s="125">
        <f>IF(S95&gt;=U95,IF(R95=$Z$16,S95/1000*T95,IF(R95=$Z$18,(S95-U95)/1000*T95,IF(R95=$Z$19,(U95+V95)/1000*T95,IF(R95=$Z$20,(S95+V95)/1000*T95,0)))),0)</f>
        <v>2.1</v>
      </c>
      <c r="AC95" s="839">
        <f>ROUNDUP(IF(OR(R95=$Z$15,R95=$Z$17,R95=$Z$19),SUM(Z95:AA95),0),0)</f>
        <v>0</v>
      </c>
      <c r="AD95" s="125">
        <f>ROUNDUP(IF(OR(R95=$Z$16,R95=$Z$18,R95=$Z$20),SUM(Z95:AA95),0),0)</f>
        <v>42</v>
      </c>
      <c r="AE95" s="125">
        <f>ROUNDUP(IF(OR(R95=$Z$20,R95=$Z$16),SUM(Z95:AA95)*5*1.03,IF(R95=$Z$18,((AA95+Z95)*5*1.03+AH95),0)),0)</f>
        <v>293</v>
      </c>
      <c r="AF95" s="223">
        <f>ROUNDUP(IF($AE$7=1,U95/1000*V95/1000*T95*1.03,0),1)</f>
        <v>0.6</v>
      </c>
      <c r="AG95" s="125">
        <f>IF(R95=$Z$18,INDEX($AH$307:$AI$339,MATCH(V95,$AG$307:$AG$339,0),2),IF(R95=$Z$17,INDEX($AK$307:$AL$341,MATCH(V95,$AJ$307:$AJ$341,0),2),0))</f>
        <v>100</v>
      </c>
      <c r="AH95" s="125">
        <f>IF($W95=$Y$39,0,IF(AG95=0,0,ROUNDUP(7*T95*U95/1000*1.03,0)))</f>
        <v>76</v>
      </c>
      <c r="AI95" s="125">
        <f>IF(R95=$Z$18,INDEX($AH$307:$AI$339,MATCH(V95,$AG$307:$AG$339,0),1),IF(R95=$Z$17,INDEX($AK$307:$AL$341,MATCH(V95,$AJ$307:$AJ$341,0),1),0))</f>
        <v>20</v>
      </c>
      <c r="AJ95" s="125">
        <f>AH95</f>
        <v>76</v>
      </c>
      <c r="AK95" s="125">
        <f>IF(R95=$Z$18,INDEX($AO$306:$AP$323,MATCH(V95,$AN$306:$AN$323,0),2),IF(R95=$Z$17,INDEX($AR$306:$AS$323,MATCH(V95,$AQ$306:$AQ$323,0),2),0))</f>
        <v>100</v>
      </c>
      <c r="AL95" s="125">
        <v>0</v>
      </c>
      <c r="AN95" s="437">
        <f>IFERROR(MATCH(R95,$Z$15:$Z$20,0),0)</f>
        <v>4</v>
      </c>
    </row>
    <row r="96" spans="2:40" ht="15" hidden="1" customHeight="1">
      <c r="B96" s="1037">
        <f>SUBTOTAL(3,$I$83:I96)</f>
        <v>1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4"/>
        <v>0</v>
      </c>
      <c r="J96" s="1013" t="s">
        <v>151</v>
      </c>
      <c r="K96" s="661"/>
      <c r="L96" s="610">
        <f t="shared" si="15"/>
        <v>0</v>
      </c>
      <c r="N96" s="1032">
        <f t="shared" si="13"/>
        <v>0</v>
      </c>
      <c r="O96" s="1051"/>
      <c r="P96" s="1051"/>
      <c r="Q96" s="225">
        <v>2</v>
      </c>
      <c r="R96" s="123" t="s">
        <v>241</v>
      </c>
      <c r="S96" s="124">
        <v>600</v>
      </c>
      <c r="T96" s="124">
        <f>ПР-T95-S101-T97</f>
        <v>45.9</v>
      </c>
      <c r="U96" s="124">
        <v>500</v>
      </c>
      <c r="V96" s="124">
        <v>50</v>
      </c>
      <c r="W96" s="127" t="s">
        <v>321</v>
      </c>
      <c r="X96" s="93"/>
      <c r="Y96" s="103">
        <f>(380+S96)/1000*T96</f>
        <v>44.981999999999999</v>
      </c>
      <c r="Z96" s="103">
        <f>T96</f>
        <v>45.9</v>
      </c>
      <c r="AA96" s="103">
        <f>T96</f>
        <v>45.9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92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1.2000000000000002</v>
      </c>
      <c r="AG96" s="121">
        <f>IF(R96=$Z$18,INDEX($AH$307:$AI$339,MATCH(V96,$AG$307:$AG$339,0),2),IF(R96=$Z$17,INDEX($AK$307:$AL$341,MATCH(V96,$AJ$307:$AJ$341,0),2),0))</f>
        <v>70</v>
      </c>
      <c r="AH96" s="121">
        <f>IF($W96=$Y$39,0,IF(AG96=0,0,ROUNDUP(7*T96*U96/1000*1.03,0)))</f>
        <v>166</v>
      </c>
      <c r="AI96" s="121">
        <f>IF(R96=$Z$18,INDEX($AH$307:$AI$339,MATCH(V96,$AG$307:$AG$339,0),1),IF(R96=$Z$17,INDEX($AK$307:$AL$341,MATCH(V96,$AJ$307:$AJ$341,0),1),0))</f>
        <v>20</v>
      </c>
      <c r="AJ96" s="121">
        <f>AH96</f>
        <v>166</v>
      </c>
      <c r="AK96" s="121">
        <f>IF(R96=$Z$18,INDEX($AO$306:$AP$323,MATCH(V96,$AN$306:$AN$323,0),2),IF(R96=$Z$17,INDEX($AR$306:$AS$323,MATCH(V96,$AQ$306:$AQ$323,0),2),0))</f>
        <v>80</v>
      </c>
      <c r="AL96" s="121">
        <v>0</v>
      </c>
      <c r="AN96" s="437">
        <f>IFERROR(MATCH(R96,$Z$15:$Z$20,0),0)</f>
        <v>3</v>
      </c>
    </row>
    <row r="97" spans="2:40" ht="15" hidden="1" customHeight="1">
      <c r="B97" s="1037">
        <f>SUBTOTAL(3,$I$83:I97)</f>
        <v>1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4"/>
        <v>0</v>
      </c>
      <c r="J97" s="1013" t="s">
        <v>151</v>
      </c>
      <c r="K97" s="661"/>
      <c r="L97" s="610">
        <f t="shared" si="15"/>
        <v>0</v>
      </c>
      <c r="N97" s="1032">
        <f t="shared" si="13"/>
        <v>0</v>
      </c>
      <c r="O97" s="1051"/>
      <c r="P97" s="1051"/>
      <c r="Q97" s="225">
        <v>3</v>
      </c>
      <c r="R97" s="123" t="s">
        <v>251</v>
      </c>
      <c r="S97" s="124">
        <v>500</v>
      </c>
      <c r="T97" s="124">
        <v>35.1</v>
      </c>
      <c r="U97" s="124"/>
      <c r="V97" s="124"/>
      <c r="W97" s="127"/>
      <c r="X97" s="93"/>
      <c r="Y97" s="125">
        <f>(380+S97)/1000*T97</f>
        <v>30.888000000000002</v>
      </c>
      <c r="Z97" s="125">
        <f>T97</f>
        <v>35.1</v>
      </c>
      <c r="AA97" s="125">
        <f>T97</f>
        <v>35.1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71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1</v>
      </c>
    </row>
    <row r="98" spans="2:40" ht="15" hidden="1" customHeight="1">
      <c r="B98" s="1037">
        <f>SUBTOTAL(3,$I$83:I98)</f>
        <v>1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4"/>
        <v>0</v>
      </c>
      <c r="J98" s="1013" t="s">
        <v>151</v>
      </c>
      <c r="K98" s="661"/>
      <c r="L98" s="610">
        <f t="shared" si="15"/>
        <v>0</v>
      </c>
      <c r="N98" s="1032">
        <f t="shared" si="13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hidden="1" customHeight="1">
      <c r="B99" s="1037">
        <f>SUBTOTAL(3,$I$83:I99)</f>
        <v>1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4"/>
        <v>0</v>
      </c>
      <c r="J99" s="1013" t="s">
        <v>151</v>
      </c>
      <c r="K99" s="661"/>
      <c r="L99" s="610">
        <f t="shared" si="15"/>
        <v>0</v>
      </c>
      <c r="N99" s="1032">
        <f t="shared" si="13"/>
        <v>0</v>
      </c>
      <c r="O99" s="1051"/>
      <c r="P99" s="1051"/>
      <c r="Q99" s="1292" t="str">
        <f>IF(V3=Y4,"Открытый водосток"," ")</f>
        <v>Открытый водосток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hidden="1" customHeight="1">
      <c r="B100" s="1037">
        <f>SUBTOTAL(3,$I$83:I100)</f>
        <v>1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3"/>
        <v>0</v>
      </c>
      <c r="O100" s="1051"/>
      <c r="P100" s="1051"/>
      <c r="Q100" s="1026" t="s">
        <v>302</v>
      </c>
      <c r="R100" s="1026" t="str">
        <f>IF(V3=Y4,"ТИПЫ"," ")</f>
        <v>ТИПЫ</v>
      </c>
      <c r="S100" s="1025" t="str">
        <f>IF(V3=Y4,"ДЛИНА, м"," ")</f>
        <v>ДЛИНА, м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1</v>
      </c>
      <c r="O101" s="1051"/>
      <c r="P101" s="1051"/>
      <c r="Q101" s="225">
        <v>1</v>
      </c>
      <c r="R101" s="123" t="s">
        <v>251</v>
      </c>
      <c r="S101" s="124">
        <v>304</v>
      </c>
      <c r="X101" s="93"/>
      <c r="Y101" s="125">
        <f>S101*300/1000</f>
        <v>91.2</v>
      </c>
      <c r="Z101" s="125">
        <f>S101</f>
        <v>304</v>
      </c>
      <c r="AA101" s="125">
        <f>ROUNDUP(IF(R101=$Z$15,SUM(Z101),0),0)</f>
        <v>304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1</v>
      </c>
    </row>
    <row r="102" spans="2:40" ht="15" hidden="1" customHeight="1">
      <c r="B102" s="1037">
        <f>SUBTOTAL(3,$I$83:I102)</f>
        <v>1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6">I102*K102</f>
        <v>0</v>
      </c>
      <c r="N102" s="1032">
        <f t="shared" ref="N102:N113" si="17">IF(I102&gt;0,1,0)</f>
        <v>0</v>
      </c>
      <c r="X102" s="93"/>
    </row>
    <row r="103" spans="2:40" ht="15" hidden="1" customHeight="1">
      <c r="B103" s="1037">
        <f>SUBTOTAL(3,$I$83:I103)</f>
        <v>1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6"/>
        <v>0</v>
      </c>
      <c r="N103" s="1032">
        <f t="shared" si="17"/>
        <v>0</v>
      </c>
      <c r="P103" s="1289" t="str">
        <f>IF(V3=Y4,"НАЗВАНИЕ ПАРАПЕТА"," ")</f>
        <v>НАЗВАНИЕ ПАРАПЕТА</v>
      </c>
      <c r="Q103" s="1289"/>
      <c r="R103" s="1289"/>
      <c r="S103" s="1289"/>
      <c r="T103" s="1289"/>
      <c r="U103" s="1289"/>
      <c r="X103" s="93"/>
    </row>
    <row r="104" spans="2:40" ht="15" hidden="1" customHeight="1">
      <c r="B104" s="1037">
        <f>SUBTOTAL(3,$I$83:I104)</f>
        <v>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6"/>
        <v>0</v>
      </c>
      <c r="N104" s="1032">
        <f t="shared" si="17"/>
        <v>0</v>
      </c>
      <c r="P104" s="1024" t="str">
        <f>IF(V3=Y4,"ПГ_ВЕРХ"," ")</f>
        <v>ПГ_ВЕРХ</v>
      </c>
      <c r="Q104" s="1024"/>
      <c r="R104" s="1024" t="str">
        <f>IF(V3=Y4,"ТЭ"," ")</f>
        <v>ТЭ</v>
      </c>
      <c r="S104" s="1024"/>
      <c r="T104" s="1024" t="str">
        <f>IF(V3=Y4,"АНКЕР"," ")</f>
        <v>АНКЕР</v>
      </c>
      <c r="U104" s="1024"/>
      <c r="X104" s="93"/>
    </row>
    <row r="105" spans="2:40" ht="15" customHeight="1">
      <c r="B105" s="1037">
        <f>SUBTOTAL(3,$I$83:I105)</f>
        <v>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12002</v>
      </c>
      <c r="J105" s="1037" t="s">
        <v>151</v>
      </c>
      <c r="K105" s="610"/>
      <c r="L105" s="610">
        <f t="shared" si="16"/>
        <v>0</v>
      </c>
      <c r="N105" s="1032">
        <f t="shared" si="17"/>
        <v>1</v>
      </c>
      <c r="P105" s="1024" t="str">
        <f>IF(V3=Y4,"ДКР"," ")</f>
        <v>ДКР</v>
      </c>
      <c r="Q105" s="1024"/>
      <c r="R105" s="1024" t="str">
        <f>IF(V3=Y4,"ГнП"," ")</f>
        <v>ГнП</v>
      </c>
      <c r="S105" s="1024"/>
      <c r="T105" s="1024" t="str">
        <f>IF(V3=Y4,"СМРЗ. БЕТ"," ")</f>
        <v>СМРЗ. БЕТ</v>
      </c>
      <c r="U105" s="1024"/>
      <c r="X105" s="93"/>
    </row>
    <row r="106" spans="2:40" ht="15" hidden="1" customHeight="1">
      <c r="B106" s="1037">
        <f>SUBTOTAL(3,$I$83:I106)</f>
        <v>2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6"/>
        <v>0</v>
      </c>
      <c r="N106" s="1032">
        <f t="shared" si="17"/>
        <v>0</v>
      </c>
      <c r="P106" s="1024" t="str">
        <f>IF(V3=Y4,"ДПР"," ")</f>
        <v>ДПР</v>
      </c>
      <c r="Q106" s="1024"/>
      <c r="R106" s="1024" t="str">
        <f>IF(V3=Y4,"СМРЗ. МЕТ"," ")</f>
        <v>СМРЗ. МЕТ</v>
      </c>
      <c r="S106" s="1024"/>
      <c r="T106" s="1024" t="str">
        <f>IF(V3=Y4,"ПВХ МЕТ."," ")</f>
        <v>ПВХ МЕТ.</v>
      </c>
      <c r="U106" s="1024"/>
      <c r="X106" s="93"/>
    </row>
    <row r="107" spans="2:40" ht="15" hidden="1" customHeight="1">
      <c r="B107" s="1037">
        <f>SUBTOTAL(3,$I$83:I107)</f>
        <v>2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6"/>
        <v>0</v>
      </c>
      <c r="N107" s="1032">
        <f t="shared" si="17"/>
        <v>0</v>
      </c>
      <c r="X107" s="93"/>
    </row>
    <row r="108" spans="2:40" ht="15" hidden="1" customHeight="1">
      <c r="B108" s="1037">
        <f>SUBTOTAL(3,$I$83:I108)</f>
        <v>2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6"/>
        <v>0</v>
      </c>
      <c r="N108" s="1032">
        <f t="shared" si="17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hidden="1" customHeight="1">
      <c r="B109" s="1037">
        <f>SUBTOTAL(3,$I$83:I109)</f>
        <v>2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8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6"/>
        <v>0</v>
      </c>
      <c r="N109" s="1032">
        <f t="shared" si="17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hidden="1" customHeight="1">
      <c r="B110" s="1037">
        <f>SUBTOTAL(3,$I$83:I110)</f>
        <v>2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8"/>
        <v>0</v>
      </c>
      <c r="J110" s="1013" t="s">
        <v>151</v>
      </c>
      <c r="K110" s="661"/>
      <c r="L110" s="610">
        <f t="shared" si="16"/>
        <v>0</v>
      </c>
      <c r="N110" s="1032">
        <f t="shared" si="17"/>
        <v>0</v>
      </c>
      <c r="P110" s="1350" t="s">
        <v>471</v>
      </c>
      <c r="Q110" s="1351"/>
      <c r="R110" s="1352" t="s">
        <v>470</v>
      </c>
      <c r="S110" s="1353"/>
      <c r="T110" s="382">
        <v>293</v>
      </c>
      <c r="U110" s="382" t="str">
        <f>IF(R110=AA14,"-","м.п")</f>
        <v>м.п</v>
      </c>
      <c r="X110" s="93"/>
    </row>
    <row r="111" spans="2:40" ht="15" hidden="1" customHeight="1">
      <c r="B111" s="1037">
        <f>SUBTOTAL(3,$I$83:I111)</f>
        <v>2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8"/>
        <v>0</v>
      </c>
      <c r="J111" s="1013" t="s">
        <v>151</v>
      </c>
      <c r="K111" s="661"/>
      <c r="L111" s="610">
        <f t="shared" si="16"/>
        <v>0</v>
      </c>
      <c r="N111" s="1032">
        <f t="shared" si="17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hidden="1" customHeight="1">
      <c r="B112" s="1037">
        <f>SUBTOTAL(3,$I$83:I112)</f>
        <v>2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8"/>
        <v>0</v>
      </c>
      <c r="J112" s="1013" t="s">
        <v>151</v>
      </c>
      <c r="K112" s="661"/>
      <c r="L112" s="610">
        <f t="shared" si="16"/>
        <v>0</v>
      </c>
      <c r="N112" s="1032">
        <f t="shared" si="17"/>
        <v>0</v>
      </c>
      <c r="P112" s="1350" t="s">
        <v>475</v>
      </c>
      <c r="Q112" s="1351"/>
      <c r="R112" s="1352" t="s">
        <v>525</v>
      </c>
      <c r="S112" s="1353"/>
      <c r="T112" s="382">
        <v>2</v>
      </c>
      <c r="U112" s="382" t="s">
        <v>468</v>
      </c>
      <c r="X112" s="93"/>
    </row>
    <row r="113" spans="2:37" ht="15" hidden="1" customHeight="1">
      <c r="B113" s="1037">
        <f>SUBTOTAL(3,$I$83:I113)</f>
        <v>2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8"/>
        <v>0</v>
      </c>
      <c r="J113" s="1013" t="s">
        <v>151</v>
      </c>
      <c r="K113" s="661"/>
      <c r="L113" s="610">
        <f t="shared" si="16"/>
        <v>0</v>
      </c>
      <c r="N113" s="1032">
        <f t="shared" si="17"/>
        <v>0</v>
      </c>
      <c r="P113" s="1022" t="s">
        <v>476</v>
      </c>
      <c r="Q113" s="1023"/>
      <c r="R113" s="1354" t="s">
        <v>473</v>
      </c>
      <c r="S113" s="1355"/>
      <c r="T113" s="380">
        <v>22</v>
      </c>
      <c r="U113" s="380" t="s">
        <v>468</v>
      </c>
      <c r="X113" s="93"/>
    </row>
    <row r="114" spans="2:37" ht="15" hidden="1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hidden="1" customHeight="1">
      <c r="B115" s="1037">
        <f>SUBTOTAL(3,$I$83:I115)</f>
        <v>2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>Толщина основного слоя утеплителя</v>
      </c>
      <c r="D116" s="358"/>
      <c r="E116" s="358"/>
      <c r="F116" s="359">
        <f>IF(R3=0," ",R3)</f>
        <v>220</v>
      </c>
      <c r="G116" s="359" t="str">
        <f>IF(F116=" "," ","мм")</f>
        <v>мм</v>
      </c>
      <c r="H116" s="358"/>
      <c r="N116" s="1032">
        <f>IF($V$4="НЕТ",0,1)</f>
        <v>1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1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1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1</v>
      </c>
      <c r="S119" s="1024"/>
      <c r="X119" s="93"/>
    </row>
    <row r="120" spans="2:37" ht="15" hidden="1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hidden="1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hidden="1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hidden="1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hidden="1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hidden="1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hidden="1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hidden="1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hidden="1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1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>IF(K5=0," ",K5)</f>
        <v>Кровля 
(без участков в осях 
7-9 / Ж-И и 12-14 / Ж-И)</v>
      </c>
      <c r="L130" s="1342"/>
      <c r="N130" s="1032">
        <f>IF($V$4="НЕТ",0,1)</f>
        <v>1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9">IF($V$4="НЕТ",0,1)</f>
        <v>1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9"/>
        <v>1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9"/>
        <v>1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9"/>
        <v>1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9"/>
        <v>1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9"/>
        <v>1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220</v>
      </c>
      <c r="D137" s="676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>180</v>
      </c>
      <c r="E137" s="676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>80</v>
      </c>
      <c r="F137" s="1323" t="str">
        <f t="shared" ref="F137:F200" si="20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5130</v>
      </c>
      <c r="J137" s="1324">
        <f>ROUND(IF(AND(T3=Y13,OR(V4=AA7,V4=Y12),$V$5=$AD$22),I137*U12/3.06,IF(AND(T3=Y13,OR(V4=Y12,V4=AA7),$V$5=$AC$22),I137*U12/3,IF(AND(T3=Y13,OR(V4=Y12,V4=AA7),$V$5=$AB$22),I137*U12/3,0))),0)</f>
        <v>6840</v>
      </c>
      <c r="K137" s="1324"/>
      <c r="L137" s="1028">
        <f>I137+J137+IF(AND($V$3=$Y$3,$T$3=$Y$6,$V$4&lt;&gt;$Y$13),($I$862*8+$I$864*4),IF(AND($V$3=$Y$4,$T$3=$Y$6,$V$4&lt;&gt;$Y$13),($I$971*8+$I$976*4),0))</f>
        <v>12002</v>
      </c>
      <c r="N137" s="1032">
        <f t="shared" ref="N137:N200" si="21">IF(I137&gt;0,1,0)</f>
        <v>1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hidden="1" customHeight="1">
      <c r="B138" s="1037">
        <f>SUBTOTAL(3,$I$137:I138)</f>
        <v>1</v>
      </c>
      <c r="C138" s="1037">
        <f t="shared" ref="C138:C184" si="22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>ТЭ</v>
      </c>
      <c r="E138" s="1013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>70</v>
      </c>
      <c r="F138" s="1250" t="str">
        <f t="shared" si="20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21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hidden="1" customHeight="1">
      <c r="B139" s="1037">
        <f>SUBTOTAL(3,$I$137:I139)</f>
        <v>1</v>
      </c>
      <c r="C139" s="1037">
        <f t="shared" si="22"/>
        <v>0</v>
      </c>
      <c r="D139" s="1013" t="str">
        <f t="shared" ref="D139:D202" si="23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>ТЭ</v>
      </c>
      <c r="E139" s="1013">
        <f t="shared" ref="E139:E202" si="24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>70</v>
      </c>
      <c r="F139" s="1250" t="str">
        <f t="shared" si="20"/>
        <v>не требуется</v>
      </c>
      <c r="G139" s="1250"/>
      <c r="H139" s="1250"/>
      <c r="I139" s="1013">
        <f t="shared" ref="I139:I184" si="25">ROUND(Q15,0)</f>
        <v>0</v>
      </c>
      <c r="J139" s="1262">
        <f t="shared" ref="J139:J184" si="26">ROUND(IFERROR(IF($V$4=$Y$11,0,IF($T$3=$Y$13,Q15/$AE$12*$U$12,Q15/$U$14*$U$12)),0),0)</f>
        <v>0</v>
      </c>
      <c r="K139" s="1262"/>
      <c r="L139" s="675">
        <f t="shared" ref="L139:L202" si="27">I139+J139</f>
        <v>0</v>
      </c>
      <c r="N139" s="1032">
        <f t="shared" si="21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hidden="1" customHeight="1">
      <c r="B140" s="1037">
        <f>SUBTOTAL(3,$I$137:I140)</f>
        <v>1</v>
      </c>
      <c r="C140" s="1037">
        <f t="shared" si="22"/>
        <v>0</v>
      </c>
      <c r="D140" s="1013" t="str">
        <f t="shared" si="23"/>
        <v>ТЭ</v>
      </c>
      <c r="E140" s="1013">
        <f t="shared" si="24"/>
        <v>70</v>
      </c>
      <c r="F140" s="1250" t="str">
        <f t="shared" si="20"/>
        <v>не требуется</v>
      </c>
      <c r="G140" s="1250"/>
      <c r="H140" s="1250"/>
      <c r="I140" s="1013">
        <f t="shared" si="25"/>
        <v>0</v>
      </c>
      <c r="J140" s="1262">
        <f t="shared" si="26"/>
        <v>0</v>
      </c>
      <c r="K140" s="1262"/>
      <c r="L140" s="675">
        <f t="shared" si="27"/>
        <v>0</v>
      </c>
      <c r="N140" s="1032">
        <f t="shared" si="21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hidden="1" customHeight="1">
      <c r="B141" s="1037">
        <f>SUBTOTAL(3,$I$137:I141)</f>
        <v>1</v>
      </c>
      <c r="C141" s="1037">
        <f t="shared" si="22"/>
        <v>0</v>
      </c>
      <c r="D141" s="1013" t="str">
        <f t="shared" si="23"/>
        <v>ТЭ</v>
      </c>
      <c r="E141" s="1013">
        <f t="shared" si="24"/>
        <v>70</v>
      </c>
      <c r="F141" s="1250" t="str">
        <f t="shared" si="20"/>
        <v>не требуется</v>
      </c>
      <c r="G141" s="1250"/>
      <c r="H141" s="1250"/>
      <c r="I141" s="1013">
        <f t="shared" si="25"/>
        <v>0</v>
      </c>
      <c r="J141" s="1262">
        <f t="shared" si="26"/>
        <v>0</v>
      </c>
      <c r="K141" s="1262"/>
      <c r="L141" s="675">
        <f t="shared" si="27"/>
        <v>0</v>
      </c>
      <c r="N141" s="1032">
        <f t="shared" si="21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hidden="1" customHeight="1">
      <c r="B142" s="1037">
        <f>SUBTOTAL(3,$I$137:I142)</f>
        <v>1</v>
      </c>
      <c r="C142" s="1037">
        <f t="shared" si="22"/>
        <v>0</v>
      </c>
      <c r="D142" s="1013" t="str">
        <f t="shared" si="23"/>
        <v>ТЭ</v>
      </c>
      <c r="E142" s="1013">
        <f t="shared" si="24"/>
        <v>70</v>
      </c>
      <c r="F142" s="1250" t="str">
        <f t="shared" si="20"/>
        <v>не требуется</v>
      </c>
      <c r="G142" s="1250"/>
      <c r="H142" s="1250"/>
      <c r="I142" s="1013">
        <f t="shared" si="25"/>
        <v>0</v>
      </c>
      <c r="J142" s="1262">
        <f t="shared" si="26"/>
        <v>0</v>
      </c>
      <c r="K142" s="1262"/>
      <c r="L142" s="675">
        <f t="shared" si="27"/>
        <v>0</v>
      </c>
      <c r="N142" s="1032">
        <f t="shared" si="21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hidden="1" customHeight="1">
      <c r="B143" s="1037">
        <f>SUBTOTAL(3,$I$137:I143)</f>
        <v>1</v>
      </c>
      <c r="C143" s="1037">
        <f t="shared" si="22"/>
        <v>0</v>
      </c>
      <c r="D143" s="1013" t="str">
        <f t="shared" si="23"/>
        <v>ТЭ</v>
      </c>
      <c r="E143" s="1013">
        <f t="shared" si="24"/>
        <v>70</v>
      </c>
      <c r="F143" s="1250" t="str">
        <f t="shared" si="20"/>
        <v>не требуется</v>
      </c>
      <c r="G143" s="1250"/>
      <c r="H143" s="1250"/>
      <c r="I143" s="1013">
        <f t="shared" si="25"/>
        <v>0</v>
      </c>
      <c r="J143" s="1262">
        <f t="shared" si="26"/>
        <v>0</v>
      </c>
      <c r="K143" s="1262"/>
      <c r="L143" s="675">
        <f t="shared" si="27"/>
        <v>0</v>
      </c>
      <c r="N143" s="1032">
        <f t="shared" si="21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hidden="1" customHeight="1">
      <c r="B144" s="1037">
        <f>SUBTOTAL(3,$I$137:I144)</f>
        <v>1</v>
      </c>
      <c r="C144" s="1037">
        <f t="shared" si="22"/>
        <v>0</v>
      </c>
      <c r="D144" s="1013" t="str">
        <f t="shared" si="23"/>
        <v>ТЭ</v>
      </c>
      <c r="E144" s="1013">
        <f t="shared" si="24"/>
        <v>70</v>
      </c>
      <c r="F144" s="1250" t="str">
        <f t="shared" si="20"/>
        <v>не требуется</v>
      </c>
      <c r="G144" s="1250"/>
      <c r="H144" s="1250"/>
      <c r="I144" s="1013">
        <f t="shared" si="25"/>
        <v>0</v>
      </c>
      <c r="J144" s="1262">
        <f t="shared" si="26"/>
        <v>0</v>
      </c>
      <c r="K144" s="1262"/>
      <c r="L144" s="675">
        <f t="shared" si="27"/>
        <v>0</v>
      </c>
      <c r="N144" s="1032">
        <f t="shared" si="21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hidden="1" customHeight="1">
      <c r="B145" s="1037">
        <f>SUBTOTAL(3,$I$137:I145)</f>
        <v>1</v>
      </c>
      <c r="C145" s="1037">
        <f t="shared" si="22"/>
        <v>0</v>
      </c>
      <c r="D145" s="1013" t="str">
        <f t="shared" si="23"/>
        <v>ТЭ</v>
      </c>
      <c r="E145" s="1013">
        <f t="shared" si="24"/>
        <v>70</v>
      </c>
      <c r="F145" s="1250" t="str">
        <f t="shared" si="20"/>
        <v>не требуется</v>
      </c>
      <c r="G145" s="1250"/>
      <c r="H145" s="1250"/>
      <c r="I145" s="1013">
        <f t="shared" si="25"/>
        <v>0</v>
      </c>
      <c r="J145" s="1262">
        <f t="shared" si="26"/>
        <v>0</v>
      </c>
      <c r="K145" s="1262"/>
      <c r="L145" s="675">
        <f t="shared" si="27"/>
        <v>0</v>
      </c>
      <c r="N145" s="1032">
        <f t="shared" si="21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hidden="1" customHeight="1">
      <c r="B146" s="1037">
        <f>SUBTOTAL(3,$I$137:I146)</f>
        <v>1</v>
      </c>
      <c r="C146" s="1037">
        <f t="shared" si="22"/>
        <v>0</v>
      </c>
      <c r="D146" s="1013" t="str">
        <f t="shared" si="23"/>
        <v>ТЭ</v>
      </c>
      <c r="E146" s="1013">
        <f t="shared" si="24"/>
        <v>70</v>
      </c>
      <c r="F146" s="1250" t="str">
        <f t="shared" si="20"/>
        <v>не требуется</v>
      </c>
      <c r="G146" s="1250"/>
      <c r="H146" s="1250"/>
      <c r="I146" s="1013">
        <f t="shared" si="25"/>
        <v>0</v>
      </c>
      <c r="J146" s="1262">
        <f t="shared" si="26"/>
        <v>0</v>
      </c>
      <c r="K146" s="1262"/>
      <c r="L146" s="675">
        <f t="shared" si="27"/>
        <v>0</v>
      </c>
      <c r="N146" s="1032">
        <f t="shared" si="21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hidden="1" customHeight="1">
      <c r="B147" s="1037">
        <f>SUBTOTAL(3,$I$137:I147)</f>
        <v>1</v>
      </c>
      <c r="C147" s="1037">
        <f t="shared" si="22"/>
        <v>0</v>
      </c>
      <c r="D147" s="1013" t="str">
        <f t="shared" si="23"/>
        <v>ТЭ</v>
      </c>
      <c r="E147" s="1013">
        <f t="shared" si="24"/>
        <v>70</v>
      </c>
      <c r="F147" s="1250" t="str">
        <f t="shared" si="20"/>
        <v>не требуется</v>
      </c>
      <c r="G147" s="1250"/>
      <c r="H147" s="1250"/>
      <c r="I147" s="1013">
        <f t="shared" si="25"/>
        <v>0</v>
      </c>
      <c r="J147" s="1262">
        <f t="shared" si="26"/>
        <v>0</v>
      </c>
      <c r="K147" s="1262"/>
      <c r="L147" s="675">
        <f t="shared" si="27"/>
        <v>0</v>
      </c>
      <c r="N147" s="1032">
        <f t="shared" si="21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hidden="1" customHeight="1">
      <c r="B148" s="1037">
        <f>SUBTOTAL(3,$I$137:I148)</f>
        <v>1</v>
      </c>
      <c r="C148" s="1037">
        <f t="shared" si="22"/>
        <v>0</v>
      </c>
      <c r="D148" s="1013" t="str">
        <f t="shared" si="23"/>
        <v>ТЭ</v>
      </c>
      <c r="E148" s="1013">
        <f t="shared" si="24"/>
        <v>70</v>
      </c>
      <c r="F148" s="1250" t="str">
        <f t="shared" si="20"/>
        <v>не требуется</v>
      </c>
      <c r="G148" s="1250"/>
      <c r="H148" s="1250"/>
      <c r="I148" s="1013">
        <f t="shared" si="25"/>
        <v>0</v>
      </c>
      <c r="J148" s="1262">
        <f t="shared" si="26"/>
        <v>0</v>
      </c>
      <c r="K148" s="1262"/>
      <c r="L148" s="675">
        <f t="shared" si="27"/>
        <v>0</v>
      </c>
      <c r="N148" s="1032">
        <f t="shared" si="21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hidden="1" customHeight="1">
      <c r="B149" s="1037">
        <f>SUBTOTAL(3,$I$137:I149)</f>
        <v>1</v>
      </c>
      <c r="C149" s="1037">
        <f t="shared" si="22"/>
        <v>0</v>
      </c>
      <c r="D149" s="1013" t="str">
        <f t="shared" si="23"/>
        <v>ТЭ</v>
      </c>
      <c r="E149" s="1013">
        <f t="shared" si="24"/>
        <v>70</v>
      </c>
      <c r="F149" s="1250" t="str">
        <f t="shared" si="20"/>
        <v>не требуется</v>
      </c>
      <c r="G149" s="1250"/>
      <c r="H149" s="1250"/>
      <c r="I149" s="1013">
        <f t="shared" si="25"/>
        <v>0</v>
      </c>
      <c r="J149" s="1262">
        <f t="shared" si="26"/>
        <v>0</v>
      </c>
      <c r="K149" s="1262"/>
      <c r="L149" s="675">
        <f t="shared" si="27"/>
        <v>0</v>
      </c>
      <c r="N149" s="1032">
        <f t="shared" si="21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hidden="1" customHeight="1">
      <c r="B150" s="1037">
        <f>SUBTOTAL(3,$I$137:I150)</f>
        <v>1</v>
      </c>
      <c r="C150" s="1037">
        <f t="shared" si="22"/>
        <v>0</v>
      </c>
      <c r="D150" s="1013" t="str">
        <f t="shared" si="23"/>
        <v>ТЭ</v>
      </c>
      <c r="E150" s="1013">
        <f t="shared" si="24"/>
        <v>70</v>
      </c>
      <c r="F150" s="1250" t="str">
        <f t="shared" si="20"/>
        <v>не требуется</v>
      </c>
      <c r="G150" s="1250"/>
      <c r="H150" s="1250"/>
      <c r="I150" s="1013">
        <f t="shared" si="25"/>
        <v>0</v>
      </c>
      <c r="J150" s="1262">
        <f t="shared" si="26"/>
        <v>0</v>
      </c>
      <c r="K150" s="1262"/>
      <c r="L150" s="675">
        <f t="shared" si="27"/>
        <v>0</v>
      </c>
      <c r="N150" s="1032">
        <f t="shared" si="21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hidden="1" customHeight="1">
      <c r="B151" s="1037">
        <f>SUBTOTAL(3,$I$137:I151)</f>
        <v>1</v>
      </c>
      <c r="C151" s="1037">
        <f t="shared" si="22"/>
        <v>0</v>
      </c>
      <c r="D151" s="1013" t="str">
        <f t="shared" si="23"/>
        <v>ТЭ</v>
      </c>
      <c r="E151" s="1013">
        <f t="shared" si="24"/>
        <v>70</v>
      </c>
      <c r="F151" s="1250" t="str">
        <f t="shared" si="20"/>
        <v>не требуется</v>
      </c>
      <c r="G151" s="1250"/>
      <c r="H151" s="1250"/>
      <c r="I151" s="1013">
        <f t="shared" si="25"/>
        <v>0</v>
      </c>
      <c r="J151" s="1262">
        <f t="shared" si="26"/>
        <v>0</v>
      </c>
      <c r="K151" s="1262"/>
      <c r="L151" s="675">
        <f t="shared" si="27"/>
        <v>0</v>
      </c>
      <c r="N151" s="1032">
        <f t="shared" si="21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hidden="1" customHeight="1" thickBot="1">
      <c r="B152" s="1037">
        <f>SUBTOTAL(3,$I$137:I152)</f>
        <v>1</v>
      </c>
      <c r="C152" s="1037">
        <f t="shared" si="22"/>
        <v>0</v>
      </c>
      <c r="D152" s="1013" t="str">
        <f t="shared" si="23"/>
        <v>ТЭ</v>
      </c>
      <c r="E152" s="1013">
        <f t="shared" si="24"/>
        <v>70</v>
      </c>
      <c r="F152" s="1250" t="str">
        <f t="shared" si="20"/>
        <v>не требуется</v>
      </c>
      <c r="G152" s="1250"/>
      <c r="H152" s="1250"/>
      <c r="I152" s="1013">
        <f t="shared" si="25"/>
        <v>0</v>
      </c>
      <c r="J152" s="1262">
        <f t="shared" si="26"/>
        <v>0</v>
      </c>
      <c r="K152" s="1262"/>
      <c r="L152" s="675">
        <f t="shared" si="27"/>
        <v>0</v>
      </c>
      <c r="N152" s="1032">
        <f t="shared" si="21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hidden="1" customHeight="1">
      <c r="B153" s="1037">
        <f>SUBTOTAL(3,$I$137:I153)</f>
        <v>1</v>
      </c>
      <c r="C153" s="1037">
        <f t="shared" si="22"/>
        <v>0</v>
      </c>
      <c r="D153" s="1013" t="str">
        <f t="shared" si="23"/>
        <v>ТЭ</v>
      </c>
      <c r="E153" s="1013">
        <f t="shared" si="24"/>
        <v>70</v>
      </c>
      <c r="F153" s="1250" t="str">
        <f t="shared" si="20"/>
        <v>не требуется</v>
      </c>
      <c r="G153" s="1250"/>
      <c r="H153" s="1250"/>
      <c r="I153" s="1013">
        <f t="shared" si="25"/>
        <v>0</v>
      </c>
      <c r="J153" s="1262">
        <f t="shared" si="26"/>
        <v>0</v>
      </c>
      <c r="K153" s="1262"/>
      <c r="L153" s="675">
        <f t="shared" si="27"/>
        <v>0</v>
      </c>
      <c r="N153" s="1032">
        <f t="shared" si="21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hidden="1" customHeight="1">
      <c r="B154" s="1037">
        <f>SUBTOTAL(3,$I$137:I154)</f>
        <v>1</v>
      </c>
      <c r="C154" s="1037">
        <f t="shared" si="22"/>
        <v>0</v>
      </c>
      <c r="D154" s="1013" t="str">
        <f t="shared" si="23"/>
        <v>ТЭ</v>
      </c>
      <c r="E154" s="1013">
        <f t="shared" si="24"/>
        <v>70</v>
      </c>
      <c r="F154" s="1250" t="str">
        <f t="shared" si="20"/>
        <v>не требуется</v>
      </c>
      <c r="G154" s="1250"/>
      <c r="H154" s="1250"/>
      <c r="I154" s="1013">
        <f t="shared" si="25"/>
        <v>0</v>
      </c>
      <c r="J154" s="1262">
        <f t="shared" si="26"/>
        <v>0</v>
      </c>
      <c r="K154" s="1262"/>
      <c r="L154" s="675">
        <f t="shared" si="27"/>
        <v>0</v>
      </c>
      <c r="N154" s="1032">
        <f t="shared" si="21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hidden="1" customHeight="1">
      <c r="B155" s="1037">
        <f>SUBTOTAL(3,$I$137:I155)</f>
        <v>1</v>
      </c>
      <c r="C155" s="1037">
        <f t="shared" si="22"/>
        <v>0</v>
      </c>
      <c r="D155" s="1013" t="str">
        <f t="shared" si="23"/>
        <v>ТЭ</v>
      </c>
      <c r="E155" s="1013">
        <f t="shared" si="24"/>
        <v>70</v>
      </c>
      <c r="F155" s="1250" t="str">
        <f t="shared" si="20"/>
        <v>не требуется</v>
      </c>
      <c r="G155" s="1250"/>
      <c r="H155" s="1250"/>
      <c r="I155" s="1013">
        <f t="shared" si="25"/>
        <v>0</v>
      </c>
      <c r="J155" s="1262">
        <f t="shared" si="26"/>
        <v>0</v>
      </c>
      <c r="K155" s="1262"/>
      <c r="L155" s="675">
        <f t="shared" si="27"/>
        <v>0</v>
      </c>
      <c r="N155" s="1032">
        <f t="shared" si="21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hidden="1" customHeight="1">
      <c r="B156" s="1037">
        <f>SUBTOTAL(3,$I$137:I156)</f>
        <v>1</v>
      </c>
      <c r="C156" s="1037">
        <f t="shared" si="22"/>
        <v>0</v>
      </c>
      <c r="D156" s="1013" t="str">
        <f t="shared" si="23"/>
        <v>ТЭ</v>
      </c>
      <c r="E156" s="1013">
        <f t="shared" si="24"/>
        <v>70</v>
      </c>
      <c r="F156" s="1250" t="str">
        <f t="shared" si="20"/>
        <v>не требуется</v>
      </c>
      <c r="G156" s="1250"/>
      <c r="H156" s="1250"/>
      <c r="I156" s="1013">
        <f t="shared" si="25"/>
        <v>0</v>
      </c>
      <c r="J156" s="1262">
        <f t="shared" si="26"/>
        <v>0</v>
      </c>
      <c r="K156" s="1262"/>
      <c r="L156" s="675">
        <f t="shared" si="27"/>
        <v>0</v>
      </c>
      <c r="N156" s="1032">
        <f t="shared" si="21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hidden="1" customHeight="1">
      <c r="B157" s="1037">
        <f>SUBTOTAL(3,$I$137:I157)</f>
        <v>1</v>
      </c>
      <c r="C157" s="1037">
        <f t="shared" si="22"/>
        <v>0</v>
      </c>
      <c r="D157" s="1013" t="str">
        <f t="shared" si="23"/>
        <v>ТЭ</v>
      </c>
      <c r="E157" s="1013">
        <f t="shared" si="24"/>
        <v>70</v>
      </c>
      <c r="F157" s="1250" t="str">
        <f t="shared" si="20"/>
        <v>не требуется</v>
      </c>
      <c r="G157" s="1250"/>
      <c r="H157" s="1250"/>
      <c r="I157" s="1013">
        <f t="shared" si="25"/>
        <v>0</v>
      </c>
      <c r="J157" s="1262">
        <f t="shared" si="26"/>
        <v>0</v>
      </c>
      <c r="K157" s="1262"/>
      <c r="L157" s="675">
        <f t="shared" si="27"/>
        <v>0</v>
      </c>
      <c r="N157" s="1032">
        <f t="shared" si="21"/>
        <v>0</v>
      </c>
    </row>
    <row r="158" spans="2:40" ht="15" hidden="1" customHeight="1">
      <c r="B158" s="1037">
        <f>SUBTOTAL(3,$I$137:I158)</f>
        <v>1</v>
      </c>
      <c r="C158" s="1037">
        <f t="shared" si="22"/>
        <v>0</v>
      </c>
      <c r="D158" s="1013" t="str">
        <f t="shared" si="23"/>
        <v>ТЭ</v>
      </c>
      <c r="E158" s="1013">
        <f t="shared" si="24"/>
        <v>70</v>
      </c>
      <c r="F158" s="1250" t="str">
        <f t="shared" si="20"/>
        <v>не требуется</v>
      </c>
      <c r="G158" s="1250"/>
      <c r="H158" s="1250"/>
      <c r="I158" s="1013">
        <f t="shared" si="25"/>
        <v>0</v>
      </c>
      <c r="J158" s="1262">
        <f t="shared" si="26"/>
        <v>0</v>
      </c>
      <c r="K158" s="1262"/>
      <c r="L158" s="675">
        <f t="shared" si="27"/>
        <v>0</v>
      </c>
      <c r="N158" s="1032">
        <f t="shared" si="21"/>
        <v>0</v>
      </c>
      <c r="R158" s="218"/>
      <c r="S158" s="218"/>
      <c r="T158" s="218"/>
    </row>
    <row r="159" spans="2:40" ht="15" hidden="1" customHeight="1">
      <c r="B159" s="1037">
        <f>SUBTOTAL(3,$I$137:I159)</f>
        <v>1</v>
      </c>
      <c r="C159" s="1037">
        <f t="shared" si="22"/>
        <v>0</v>
      </c>
      <c r="D159" s="1013" t="str">
        <f t="shared" si="23"/>
        <v>ТЭ</v>
      </c>
      <c r="E159" s="1013">
        <f t="shared" si="24"/>
        <v>70</v>
      </c>
      <c r="F159" s="1250" t="str">
        <f t="shared" si="20"/>
        <v>не требуется</v>
      </c>
      <c r="G159" s="1250"/>
      <c r="H159" s="1250"/>
      <c r="I159" s="1013">
        <f t="shared" si="25"/>
        <v>0</v>
      </c>
      <c r="J159" s="1262">
        <f t="shared" si="26"/>
        <v>0</v>
      </c>
      <c r="K159" s="1262"/>
      <c r="L159" s="675">
        <f t="shared" si="27"/>
        <v>0</v>
      </c>
      <c r="N159" s="1032">
        <f t="shared" si="21"/>
        <v>0</v>
      </c>
    </row>
    <row r="160" spans="2:40" ht="15" hidden="1" customHeight="1">
      <c r="B160" s="1037">
        <f>SUBTOTAL(3,$I$137:I160)</f>
        <v>1</v>
      </c>
      <c r="C160" s="1037">
        <f t="shared" si="22"/>
        <v>0</v>
      </c>
      <c r="D160" s="1013" t="str">
        <f t="shared" si="23"/>
        <v>ТЭ</v>
      </c>
      <c r="E160" s="1013">
        <f t="shared" si="24"/>
        <v>70</v>
      </c>
      <c r="F160" s="1250" t="str">
        <f t="shared" si="20"/>
        <v>не требуется</v>
      </c>
      <c r="G160" s="1250"/>
      <c r="H160" s="1250"/>
      <c r="I160" s="1013">
        <f t="shared" si="25"/>
        <v>0</v>
      </c>
      <c r="J160" s="1262">
        <f t="shared" si="26"/>
        <v>0</v>
      </c>
      <c r="K160" s="1262"/>
      <c r="L160" s="675">
        <f t="shared" si="27"/>
        <v>0</v>
      </c>
      <c r="N160" s="1032">
        <f t="shared" si="21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hidden="1" customHeight="1">
      <c r="B161" s="1037">
        <f>SUBTOTAL(3,$I$137:I161)</f>
        <v>1</v>
      </c>
      <c r="C161" s="1037">
        <f t="shared" si="22"/>
        <v>0</v>
      </c>
      <c r="D161" s="1013" t="str">
        <f t="shared" si="23"/>
        <v>ТЭ</v>
      </c>
      <c r="E161" s="1013">
        <f t="shared" si="24"/>
        <v>70</v>
      </c>
      <c r="F161" s="1250" t="str">
        <f t="shared" si="20"/>
        <v>не требуется</v>
      </c>
      <c r="G161" s="1250"/>
      <c r="H161" s="1250"/>
      <c r="I161" s="1013">
        <f t="shared" si="25"/>
        <v>0</v>
      </c>
      <c r="J161" s="1262">
        <f t="shared" si="26"/>
        <v>0</v>
      </c>
      <c r="K161" s="1262"/>
      <c r="L161" s="675">
        <f t="shared" si="27"/>
        <v>0</v>
      </c>
      <c r="N161" s="1032">
        <f t="shared" si="21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hidden="1" customHeight="1">
      <c r="B162" s="1037">
        <f>SUBTOTAL(3,$I$137:I162)</f>
        <v>1</v>
      </c>
      <c r="C162" s="1037">
        <f t="shared" si="22"/>
        <v>0</v>
      </c>
      <c r="D162" s="1013" t="str">
        <f t="shared" si="23"/>
        <v>ТЭ</v>
      </c>
      <c r="E162" s="1013">
        <f t="shared" si="24"/>
        <v>70</v>
      </c>
      <c r="F162" s="1250" t="str">
        <f t="shared" si="20"/>
        <v>не требуется</v>
      </c>
      <c r="G162" s="1250"/>
      <c r="H162" s="1250"/>
      <c r="I162" s="1013">
        <f t="shared" si="25"/>
        <v>0</v>
      </c>
      <c r="J162" s="1262">
        <f t="shared" si="26"/>
        <v>0</v>
      </c>
      <c r="K162" s="1262"/>
      <c r="L162" s="675">
        <f t="shared" si="27"/>
        <v>0</v>
      </c>
      <c r="N162" s="1032">
        <f t="shared" si="21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hidden="1" customHeight="1">
      <c r="B163" s="1037">
        <f>SUBTOTAL(3,$I$137:I163)</f>
        <v>1</v>
      </c>
      <c r="C163" s="1037">
        <f t="shared" si="22"/>
        <v>0</v>
      </c>
      <c r="D163" s="1013" t="str">
        <f t="shared" si="23"/>
        <v>ТЭ</v>
      </c>
      <c r="E163" s="1013">
        <f t="shared" si="24"/>
        <v>70</v>
      </c>
      <c r="F163" s="1250" t="str">
        <f t="shared" si="20"/>
        <v>не требуется</v>
      </c>
      <c r="G163" s="1250"/>
      <c r="H163" s="1250"/>
      <c r="I163" s="1013">
        <f t="shared" si="25"/>
        <v>0</v>
      </c>
      <c r="J163" s="1262">
        <f t="shared" si="26"/>
        <v>0</v>
      </c>
      <c r="K163" s="1262"/>
      <c r="L163" s="675">
        <f t="shared" si="27"/>
        <v>0</v>
      </c>
      <c r="N163" s="1032">
        <f t="shared" si="21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hidden="1" customHeight="1">
      <c r="B164" s="1037">
        <f>SUBTOTAL(3,$I$137:I164)</f>
        <v>1</v>
      </c>
      <c r="C164" s="1013">
        <f t="shared" si="22"/>
        <v>0</v>
      </c>
      <c r="D164" s="1013" t="str">
        <f t="shared" si="23"/>
        <v>ТЭ</v>
      </c>
      <c r="E164" s="1013">
        <f t="shared" si="24"/>
        <v>70</v>
      </c>
      <c r="F164" s="1250" t="str">
        <f t="shared" si="20"/>
        <v>не требуется</v>
      </c>
      <c r="G164" s="1250"/>
      <c r="H164" s="1250"/>
      <c r="I164" s="1013">
        <f t="shared" si="25"/>
        <v>0</v>
      </c>
      <c r="J164" s="1262">
        <f t="shared" si="26"/>
        <v>0</v>
      </c>
      <c r="K164" s="1262"/>
      <c r="L164" s="675">
        <f t="shared" si="27"/>
        <v>0</v>
      </c>
      <c r="N164" s="1032">
        <f t="shared" si="21"/>
        <v>0</v>
      </c>
    </row>
    <row r="165" spans="2:30" ht="15" hidden="1" customHeight="1">
      <c r="B165" s="1037">
        <f>SUBTOTAL(3,$I$137:I165)</f>
        <v>1</v>
      </c>
      <c r="C165" s="1037">
        <f t="shared" si="22"/>
        <v>0</v>
      </c>
      <c r="D165" s="1013" t="str">
        <f t="shared" si="23"/>
        <v>ТЭ</v>
      </c>
      <c r="E165" s="1013">
        <f t="shared" si="24"/>
        <v>70</v>
      </c>
      <c r="F165" s="1250" t="str">
        <f t="shared" si="20"/>
        <v>не требуется</v>
      </c>
      <c r="G165" s="1250"/>
      <c r="H165" s="1250"/>
      <c r="I165" s="1013">
        <f t="shared" si="25"/>
        <v>0</v>
      </c>
      <c r="J165" s="1262">
        <f t="shared" si="26"/>
        <v>0</v>
      </c>
      <c r="K165" s="1262"/>
      <c r="L165" s="675">
        <f t="shared" si="27"/>
        <v>0</v>
      </c>
      <c r="N165" s="1032">
        <f t="shared" si="21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hidden="1" customHeight="1">
      <c r="B166" s="1037">
        <f>SUBTOTAL(3,$I$137:I166)</f>
        <v>1</v>
      </c>
      <c r="C166" s="1037">
        <f t="shared" si="22"/>
        <v>0</v>
      </c>
      <c r="D166" s="1013" t="str">
        <f t="shared" si="23"/>
        <v>ТЭ</v>
      </c>
      <c r="E166" s="1013">
        <f t="shared" si="24"/>
        <v>70</v>
      </c>
      <c r="F166" s="1250" t="str">
        <f t="shared" si="20"/>
        <v>не требуется</v>
      </c>
      <c r="G166" s="1250"/>
      <c r="H166" s="1250"/>
      <c r="I166" s="1013">
        <f t="shared" si="25"/>
        <v>0</v>
      </c>
      <c r="J166" s="1262">
        <f t="shared" si="26"/>
        <v>0</v>
      </c>
      <c r="K166" s="1262"/>
      <c r="L166" s="675">
        <f t="shared" si="27"/>
        <v>0</v>
      </c>
      <c r="N166" s="1032">
        <f t="shared" si="21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hidden="1" customHeight="1">
      <c r="B167" s="1037">
        <f>SUBTOTAL(3,$I$137:I167)</f>
        <v>1</v>
      </c>
      <c r="C167" s="1037">
        <f t="shared" si="22"/>
        <v>0</v>
      </c>
      <c r="D167" s="1013" t="str">
        <f t="shared" si="23"/>
        <v>ТЭ</v>
      </c>
      <c r="E167" s="1013">
        <f t="shared" si="24"/>
        <v>70</v>
      </c>
      <c r="F167" s="1250" t="str">
        <f t="shared" si="20"/>
        <v>не требуется</v>
      </c>
      <c r="G167" s="1250"/>
      <c r="H167" s="1250"/>
      <c r="I167" s="1013">
        <f t="shared" si="25"/>
        <v>0</v>
      </c>
      <c r="J167" s="1262">
        <f t="shared" si="26"/>
        <v>0</v>
      </c>
      <c r="K167" s="1262"/>
      <c r="L167" s="675">
        <f t="shared" si="27"/>
        <v>0</v>
      </c>
      <c r="N167" s="1032">
        <f t="shared" si="21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hidden="1" customHeight="1">
      <c r="B168" s="1037">
        <f>SUBTOTAL(3,$I$137:I168)</f>
        <v>1</v>
      </c>
      <c r="C168" s="1037">
        <f t="shared" si="22"/>
        <v>0</v>
      </c>
      <c r="D168" s="1013" t="str">
        <f t="shared" si="23"/>
        <v>ТЭ</v>
      </c>
      <c r="E168" s="1013">
        <f t="shared" si="24"/>
        <v>70</v>
      </c>
      <c r="F168" s="1250" t="str">
        <f t="shared" si="20"/>
        <v>не требуется</v>
      </c>
      <c r="G168" s="1250"/>
      <c r="H168" s="1250"/>
      <c r="I168" s="1013">
        <f t="shared" si="25"/>
        <v>0</v>
      </c>
      <c r="J168" s="1262">
        <f t="shared" si="26"/>
        <v>0</v>
      </c>
      <c r="K168" s="1262"/>
      <c r="L168" s="675">
        <f t="shared" si="27"/>
        <v>0</v>
      </c>
      <c r="N168" s="1032">
        <f t="shared" si="21"/>
        <v>0</v>
      </c>
    </row>
    <row r="169" spans="2:30" ht="15" hidden="1" customHeight="1">
      <c r="B169" s="1037">
        <f>SUBTOTAL(3,$I$137:I169)</f>
        <v>1</v>
      </c>
      <c r="C169" s="1037">
        <f t="shared" si="22"/>
        <v>0</v>
      </c>
      <c r="D169" s="1013" t="str">
        <f t="shared" si="23"/>
        <v>ТЭ</v>
      </c>
      <c r="E169" s="1013">
        <f t="shared" si="24"/>
        <v>70</v>
      </c>
      <c r="F169" s="1250" t="str">
        <f t="shared" si="20"/>
        <v>не требуется</v>
      </c>
      <c r="G169" s="1250"/>
      <c r="H169" s="1250"/>
      <c r="I169" s="1013">
        <f t="shared" si="25"/>
        <v>0</v>
      </c>
      <c r="J169" s="1262">
        <f t="shared" si="26"/>
        <v>0</v>
      </c>
      <c r="K169" s="1262"/>
      <c r="L169" s="675">
        <f t="shared" si="27"/>
        <v>0</v>
      </c>
      <c r="N169" s="1032">
        <f t="shared" si="21"/>
        <v>0</v>
      </c>
    </row>
    <row r="170" spans="2:30" ht="15" hidden="1" customHeight="1">
      <c r="B170" s="1037">
        <f>SUBTOTAL(3,$I$137:I170)</f>
        <v>1</v>
      </c>
      <c r="C170" s="1037">
        <f t="shared" si="22"/>
        <v>0</v>
      </c>
      <c r="D170" s="1013" t="str">
        <f t="shared" si="23"/>
        <v>ТЭ</v>
      </c>
      <c r="E170" s="1013">
        <f t="shared" si="24"/>
        <v>70</v>
      </c>
      <c r="F170" s="1250" t="str">
        <f t="shared" si="20"/>
        <v>не требуется</v>
      </c>
      <c r="G170" s="1250"/>
      <c r="H170" s="1250"/>
      <c r="I170" s="1013">
        <f t="shared" si="25"/>
        <v>0</v>
      </c>
      <c r="J170" s="1262">
        <f t="shared" si="26"/>
        <v>0</v>
      </c>
      <c r="K170" s="1262"/>
      <c r="L170" s="675">
        <f t="shared" si="27"/>
        <v>0</v>
      </c>
      <c r="N170" s="1032">
        <f t="shared" si="21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Объекты ФЗ-44</v>
      </c>
      <c r="S170" s="1281"/>
      <c r="T170" s="502" t="str">
        <f>IF($R$170=$Z$171,$AD$171,IF($R$170=$AA$171,$AD$172,"-"))</f>
        <v>Нормируемая высота ограждения = 600 мм.</v>
      </c>
    </row>
    <row r="171" spans="2:30" ht="15" hidden="1" customHeight="1">
      <c r="B171" s="1037">
        <f>SUBTOTAL(3,$I$137:I171)</f>
        <v>1</v>
      </c>
      <c r="C171" s="1037">
        <f t="shared" si="22"/>
        <v>0</v>
      </c>
      <c r="D171" s="1013" t="str">
        <f t="shared" si="23"/>
        <v>ТЭ</v>
      </c>
      <c r="E171" s="1013">
        <f t="shared" si="24"/>
        <v>70</v>
      </c>
      <c r="F171" s="1250" t="str">
        <f t="shared" si="20"/>
        <v>не требуется</v>
      </c>
      <c r="G171" s="1250"/>
      <c r="H171" s="1250"/>
      <c r="I171" s="1013">
        <f t="shared" si="25"/>
        <v>0</v>
      </c>
      <c r="J171" s="1262">
        <f t="shared" si="26"/>
        <v>0</v>
      </c>
      <c r="K171" s="1262"/>
      <c r="L171" s="675">
        <f t="shared" si="27"/>
        <v>0</v>
      </c>
      <c r="N171" s="1032">
        <f t="shared" si="21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hidden="1" customHeight="1">
      <c r="B172" s="1037">
        <f>SUBTOTAL(3,$I$137:I172)</f>
        <v>1</v>
      </c>
      <c r="C172" s="1037">
        <f t="shared" si="22"/>
        <v>0</v>
      </c>
      <c r="D172" s="1013" t="str">
        <f t="shared" si="23"/>
        <v>ТЭ</v>
      </c>
      <c r="E172" s="1013">
        <f t="shared" si="24"/>
        <v>70</v>
      </c>
      <c r="F172" s="1250" t="str">
        <f t="shared" si="20"/>
        <v>не требуется</v>
      </c>
      <c r="G172" s="1250"/>
      <c r="H172" s="1250"/>
      <c r="I172" s="1013">
        <f t="shared" si="25"/>
        <v>0</v>
      </c>
      <c r="J172" s="1262">
        <f t="shared" si="26"/>
        <v>0</v>
      </c>
      <c r="K172" s="1262"/>
      <c r="L172" s="675">
        <f t="shared" si="27"/>
        <v>0</v>
      </c>
      <c r="N172" s="1032">
        <f t="shared" si="21"/>
        <v>0</v>
      </c>
      <c r="Q172" s="524" t="s">
        <v>663</v>
      </c>
      <c r="R172" s="524">
        <v>258.39999999999998</v>
      </c>
      <c r="S172" s="1279" t="str">
        <f>IFERROR(IF(R172&gt;0,INDEX($Z$172:$AA$176,MATCH(Q172,$Y$172:$Y$176,0),MATCH($R$170,$Z$171:$AA$171,0)),"-"),"-")</f>
        <v>Кровельное ограждение ТехноНИКОЛЬ ККО/СК/600-2</v>
      </c>
      <c r="T172" s="1279"/>
      <c r="U172" s="1279"/>
      <c r="V172" s="507">
        <f>IFERROR(IF(R172:R172&gt;0,ROUNDUP(R172/3,0),"-"),"-")</f>
        <v>87</v>
      </c>
      <c r="Y172" s="465" t="s">
        <v>663</v>
      </c>
      <c r="Z172" s="106" t="s">
        <v>1535</v>
      </c>
      <c r="AA172" s="106" t="s">
        <v>678</v>
      </c>
      <c r="AD172" s="106" t="s">
        <v>659</v>
      </c>
    </row>
    <row r="173" spans="2:30" ht="15" hidden="1" customHeight="1">
      <c r="B173" s="1037">
        <f>SUBTOTAL(3,$I$137:I173)</f>
        <v>1</v>
      </c>
      <c r="C173" s="1037">
        <f t="shared" si="22"/>
        <v>0</v>
      </c>
      <c r="D173" s="1013" t="str">
        <f t="shared" si="23"/>
        <v>ТЭ</v>
      </c>
      <c r="E173" s="1013">
        <f t="shared" si="24"/>
        <v>70</v>
      </c>
      <c r="F173" s="1250" t="str">
        <f t="shared" si="20"/>
        <v>не требуется</v>
      </c>
      <c r="G173" s="1250"/>
      <c r="H173" s="1250"/>
      <c r="I173" s="1013">
        <f t="shared" si="25"/>
        <v>0</v>
      </c>
      <c r="J173" s="1262">
        <f t="shared" si="26"/>
        <v>0</v>
      </c>
      <c r="K173" s="1262"/>
      <c r="L173" s="675">
        <f t="shared" si="27"/>
        <v>0</v>
      </c>
      <c r="N173" s="1032">
        <f t="shared" si="21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hidden="1" customHeight="1">
      <c r="B174" s="1037">
        <f>SUBTOTAL(3,$I$137:I174)</f>
        <v>1</v>
      </c>
      <c r="C174" s="1037">
        <f t="shared" si="22"/>
        <v>0</v>
      </c>
      <c r="D174" s="1013" t="str">
        <f t="shared" si="23"/>
        <v>ТЭ</v>
      </c>
      <c r="E174" s="1013">
        <f t="shared" si="24"/>
        <v>70</v>
      </c>
      <c r="F174" s="1250" t="str">
        <f t="shared" si="20"/>
        <v>не требуется</v>
      </c>
      <c r="G174" s="1250"/>
      <c r="H174" s="1250"/>
      <c r="I174" s="1013">
        <f t="shared" si="25"/>
        <v>0</v>
      </c>
      <c r="J174" s="1262">
        <f t="shared" si="26"/>
        <v>0</v>
      </c>
      <c r="K174" s="1262"/>
      <c r="L174" s="675">
        <f t="shared" si="27"/>
        <v>0</v>
      </c>
      <c r="N174" s="1032">
        <f t="shared" si="21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hidden="1" customHeight="1">
      <c r="B175" s="1037">
        <f>SUBTOTAL(3,$I$137:I175)</f>
        <v>1</v>
      </c>
      <c r="C175" s="1037">
        <f t="shared" si="22"/>
        <v>0</v>
      </c>
      <c r="D175" s="1013" t="str">
        <f t="shared" si="23"/>
        <v>ТЭ</v>
      </c>
      <c r="E175" s="1013">
        <f t="shared" si="24"/>
        <v>70</v>
      </c>
      <c r="F175" s="1250" t="str">
        <f t="shared" si="20"/>
        <v>не требуется</v>
      </c>
      <c r="G175" s="1250"/>
      <c r="H175" s="1250"/>
      <c r="I175" s="1013">
        <f t="shared" si="25"/>
        <v>0</v>
      </c>
      <c r="J175" s="1262">
        <f t="shared" si="26"/>
        <v>0</v>
      </c>
      <c r="K175" s="1262"/>
      <c r="L175" s="675">
        <f t="shared" si="27"/>
        <v>0</v>
      </c>
      <c r="N175" s="1032">
        <f t="shared" si="21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hidden="1" customHeight="1">
      <c r="B176" s="1037">
        <f>SUBTOTAL(3,$I$137:I176)</f>
        <v>1</v>
      </c>
      <c r="C176" s="1037">
        <f t="shared" si="22"/>
        <v>0</v>
      </c>
      <c r="D176" s="1013" t="str">
        <f t="shared" si="23"/>
        <v>ТЭ</v>
      </c>
      <c r="E176" s="1013">
        <f t="shared" si="24"/>
        <v>70</v>
      </c>
      <c r="F176" s="1250" t="str">
        <f t="shared" si="20"/>
        <v>не требуется</v>
      </c>
      <c r="G176" s="1250"/>
      <c r="H176" s="1250"/>
      <c r="I176" s="1013">
        <f t="shared" si="25"/>
        <v>0</v>
      </c>
      <c r="J176" s="1262">
        <f t="shared" si="26"/>
        <v>0</v>
      </c>
      <c r="K176" s="1262"/>
      <c r="L176" s="675">
        <f t="shared" si="27"/>
        <v>0</v>
      </c>
      <c r="N176" s="1032">
        <f t="shared" si="21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hidden="1" customHeight="1">
      <c r="B177" s="1013">
        <f>SUBTOTAL(3,$I$137:I177)</f>
        <v>1</v>
      </c>
      <c r="C177" s="1037">
        <f t="shared" si="22"/>
        <v>0</v>
      </c>
      <c r="D177" s="1013" t="str">
        <f t="shared" si="23"/>
        <v>ТЭ</v>
      </c>
      <c r="E177" s="1013">
        <f t="shared" si="24"/>
        <v>70</v>
      </c>
      <c r="F177" s="1250" t="str">
        <f t="shared" si="20"/>
        <v>не требуется</v>
      </c>
      <c r="G177" s="1250"/>
      <c r="H177" s="1250"/>
      <c r="I177" s="1013">
        <f t="shared" si="25"/>
        <v>0</v>
      </c>
      <c r="J177" s="1262">
        <f t="shared" si="26"/>
        <v>0</v>
      </c>
      <c r="K177" s="1262"/>
      <c r="L177" s="1019">
        <f t="shared" si="27"/>
        <v>0</v>
      </c>
      <c r="N177" s="1032">
        <f t="shared" si="21"/>
        <v>0</v>
      </c>
      <c r="AA177" s="106"/>
    </row>
    <row r="178" spans="2:30" ht="15" hidden="1" customHeight="1">
      <c r="B178" s="1037">
        <f>SUBTOTAL(3,$I$137:I178)</f>
        <v>1</v>
      </c>
      <c r="C178" s="1037">
        <f t="shared" si="22"/>
        <v>0</v>
      </c>
      <c r="D178" s="1013" t="str">
        <f t="shared" si="23"/>
        <v>ТЭ</v>
      </c>
      <c r="E178" s="1013">
        <f t="shared" si="24"/>
        <v>70</v>
      </c>
      <c r="F178" s="1250" t="str">
        <f t="shared" si="20"/>
        <v>не требуется</v>
      </c>
      <c r="G178" s="1250"/>
      <c r="H178" s="1250"/>
      <c r="I178" s="1013">
        <f t="shared" si="25"/>
        <v>0</v>
      </c>
      <c r="J178" s="1262">
        <f t="shared" si="26"/>
        <v>0</v>
      </c>
      <c r="K178" s="1262"/>
      <c r="L178" s="675">
        <f t="shared" si="27"/>
        <v>0</v>
      </c>
      <c r="N178" s="1032">
        <f t="shared" si="21"/>
        <v>0</v>
      </c>
      <c r="AA178" s="106"/>
    </row>
    <row r="179" spans="2:30" ht="15" hidden="1" customHeight="1">
      <c r="B179" s="1037">
        <f>SUBTOTAL(3,$I$137:I179)</f>
        <v>1</v>
      </c>
      <c r="C179" s="1037">
        <f t="shared" si="22"/>
        <v>0</v>
      </c>
      <c r="D179" s="1013" t="str">
        <f t="shared" si="23"/>
        <v>ТЭ</v>
      </c>
      <c r="E179" s="1013">
        <f t="shared" si="24"/>
        <v>70</v>
      </c>
      <c r="F179" s="1250" t="str">
        <f t="shared" si="20"/>
        <v>не требуется</v>
      </c>
      <c r="G179" s="1250"/>
      <c r="H179" s="1250"/>
      <c r="I179" s="1013">
        <f t="shared" si="25"/>
        <v>0</v>
      </c>
      <c r="J179" s="1262">
        <f t="shared" si="26"/>
        <v>0</v>
      </c>
      <c r="K179" s="1262"/>
      <c r="L179" s="675">
        <f t="shared" si="27"/>
        <v>0</v>
      </c>
      <c r="N179" s="1032">
        <f t="shared" si="21"/>
        <v>0</v>
      </c>
      <c r="AA179" s="106"/>
    </row>
    <row r="180" spans="2:30" ht="15" hidden="1" customHeight="1" thickBot="1">
      <c r="B180" s="1037">
        <f>SUBTOTAL(3,$I$137:I180)</f>
        <v>1</v>
      </c>
      <c r="C180" s="1037">
        <f t="shared" si="22"/>
        <v>0</v>
      </c>
      <c r="D180" s="1013" t="str">
        <f t="shared" si="23"/>
        <v>ТЭ</v>
      </c>
      <c r="E180" s="1013">
        <f t="shared" si="24"/>
        <v>70</v>
      </c>
      <c r="F180" s="1250" t="str">
        <f t="shared" si="20"/>
        <v>не требуется</v>
      </c>
      <c r="G180" s="1250"/>
      <c r="H180" s="1250"/>
      <c r="I180" s="1013">
        <f t="shared" si="25"/>
        <v>0</v>
      </c>
      <c r="J180" s="1262">
        <f t="shared" si="26"/>
        <v>0</v>
      </c>
      <c r="K180" s="1262"/>
      <c r="L180" s="675">
        <f t="shared" si="27"/>
        <v>0</v>
      </c>
      <c r="N180" s="1032">
        <f t="shared" si="21"/>
        <v>0</v>
      </c>
    </row>
    <row r="181" spans="2:30" ht="15" hidden="1" customHeight="1" thickBot="1">
      <c r="B181" s="1037">
        <f>SUBTOTAL(3,$I$137:I181)</f>
        <v>1</v>
      </c>
      <c r="C181" s="1037">
        <f t="shared" si="22"/>
        <v>0</v>
      </c>
      <c r="D181" s="1013" t="str">
        <f t="shared" si="23"/>
        <v>ТЭ</v>
      </c>
      <c r="E181" s="1013">
        <f t="shared" si="24"/>
        <v>70</v>
      </c>
      <c r="F181" s="1250" t="str">
        <f t="shared" si="20"/>
        <v>не требуется</v>
      </c>
      <c r="G181" s="1250"/>
      <c r="H181" s="1250"/>
      <c r="I181" s="1013">
        <f t="shared" si="25"/>
        <v>0</v>
      </c>
      <c r="J181" s="1262">
        <f t="shared" si="26"/>
        <v>0</v>
      </c>
      <c r="K181" s="1262"/>
      <c r="L181" s="675">
        <f t="shared" si="27"/>
        <v>0</v>
      </c>
      <c r="N181" s="1032">
        <f t="shared" si="21"/>
        <v>0</v>
      </c>
      <c r="AA181" s="904"/>
      <c r="AB181" s="204"/>
      <c r="AC181" s="268" t="s">
        <v>1152</v>
      </c>
      <c r="AD181" s="905" t="s">
        <v>936</v>
      </c>
    </row>
    <row r="182" spans="2:30" ht="15" hidden="1" customHeight="1">
      <c r="B182" s="1037">
        <f>SUBTOTAL(3,$I$137:I182)</f>
        <v>1</v>
      </c>
      <c r="C182" s="1037">
        <f t="shared" si="22"/>
        <v>0</v>
      </c>
      <c r="D182" s="1013" t="str">
        <f t="shared" si="23"/>
        <v>ТЭ</v>
      </c>
      <c r="E182" s="1013">
        <f t="shared" si="24"/>
        <v>70</v>
      </c>
      <c r="F182" s="1250" t="str">
        <f t="shared" si="20"/>
        <v>не требуется</v>
      </c>
      <c r="G182" s="1250"/>
      <c r="H182" s="1250"/>
      <c r="I182" s="1013">
        <f t="shared" si="25"/>
        <v>0</v>
      </c>
      <c r="J182" s="1262">
        <f t="shared" si="26"/>
        <v>0</v>
      </c>
      <c r="K182" s="1262"/>
      <c r="L182" s="675">
        <f t="shared" si="27"/>
        <v>0</v>
      </c>
      <c r="N182" s="1032">
        <f t="shared" si="21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hidden="1" customHeight="1">
      <c r="B183" s="1037">
        <f>SUBTOTAL(3,$I$137:I183)</f>
        <v>1</v>
      </c>
      <c r="C183" s="1037">
        <f t="shared" si="22"/>
        <v>0</v>
      </c>
      <c r="D183" s="1013" t="str">
        <f t="shared" si="23"/>
        <v>ТЭ</v>
      </c>
      <c r="E183" s="1013">
        <f t="shared" si="24"/>
        <v>70</v>
      </c>
      <c r="F183" s="1250" t="str">
        <f t="shared" si="20"/>
        <v>не требуется</v>
      </c>
      <c r="G183" s="1250"/>
      <c r="H183" s="1250"/>
      <c r="I183" s="1013">
        <f t="shared" si="25"/>
        <v>0</v>
      </c>
      <c r="J183" s="1262">
        <f t="shared" si="26"/>
        <v>0</v>
      </c>
      <c r="K183" s="1262"/>
      <c r="L183" s="675">
        <f t="shared" si="27"/>
        <v>0</v>
      </c>
      <c r="N183" s="1032">
        <f t="shared" si="21"/>
        <v>0</v>
      </c>
      <c r="AA183" s="906" t="s">
        <v>1535</v>
      </c>
      <c r="AB183" s="1024">
        <f ca="1">SUMIF($S$172:$U$176,AA183,$V$172:$V$176)</f>
        <v>87</v>
      </c>
      <c r="AC183" s="1024">
        <f ca="1">IF(AB183&gt;0,(0.6*AB183),0)</f>
        <v>52.199999999999996</v>
      </c>
      <c r="AD183" s="206">
        <f ca="1">IF(AB183&gt;0,(0.25*AB183),0)</f>
        <v>21.75</v>
      </c>
    </row>
    <row r="184" spans="2:30" ht="15" hidden="1" customHeight="1">
      <c r="B184" s="1037">
        <f>SUBTOTAL(3,$I$137:I184)</f>
        <v>1</v>
      </c>
      <c r="C184" s="1037">
        <f t="shared" si="22"/>
        <v>0</v>
      </c>
      <c r="D184" s="1013" t="str">
        <f t="shared" si="23"/>
        <v>ТЭ</v>
      </c>
      <c r="E184" s="1013">
        <f t="shared" si="24"/>
        <v>70</v>
      </c>
      <c r="F184" s="1250" t="str">
        <f t="shared" si="20"/>
        <v>не требуется</v>
      </c>
      <c r="G184" s="1250"/>
      <c r="H184" s="1250"/>
      <c r="I184" s="1013">
        <f t="shared" si="25"/>
        <v>0</v>
      </c>
      <c r="J184" s="1262">
        <f t="shared" si="26"/>
        <v>0</v>
      </c>
      <c r="K184" s="1262"/>
      <c r="L184" s="675">
        <f t="shared" si="27"/>
        <v>0</v>
      </c>
      <c r="N184" s="1032">
        <f t="shared" si="21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hidden="1" customHeight="1" thickBot="1">
      <c r="B185" s="1037">
        <f>SUBTOTAL(3,$I$137:I185)</f>
        <v>1</v>
      </c>
      <c r="C185" s="1037">
        <f t="shared" ref="C185:C216" si="28">IF($T$5=$AA$12,S21,S21+$R$3)</f>
        <v>0</v>
      </c>
      <c r="D185" s="1013" t="str">
        <f t="shared" si="23"/>
        <v>ТЭ</v>
      </c>
      <c r="E185" s="1013">
        <f t="shared" si="24"/>
        <v>70</v>
      </c>
      <c r="F185" s="1250" t="str">
        <f t="shared" si="20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7"/>
        <v>0</v>
      </c>
      <c r="N185" s="1032">
        <f t="shared" si="21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hidden="1" customHeight="1" thickBot="1">
      <c r="B186" s="1037">
        <f>SUBTOTAL(3,$I$137:I186)</f>
        <v>1</v>
      </c>
      <c r="C186" s="1037">
        <f t="shared" si="28"/>
        <v>0</v>
      </c>
      <c r="D186" s="1013" t="str">
        <f t="shared" si="23"/>
        <v>ТЭ</v>
      </c>
      <c r="E186" s="1013">
        <f t="shared" si="24"/>
        <v>70</v>
      </c>
      <c r="F186" s="1250" t="str">
        <f t="shared" si="20"/>
        <v>не требуется</v>
      </c>
      <c r="G186" s="1250"/>
      <c r="H186" s="1250"/>
      <c r="I186" s="1013">
        <f t="shared" ref="I186:I216" si="29">ROUND(T22,0)</f>
        <v>0</v>
      </c>
      <c r="J186" s="1262">
        <f t="shared" ref="J186:J216" si="30">ROUND(IFERROR(IF($V$4=$Y$11,0,IF($T$3=$Y$13,T22/$AE$12*$U$12,T22/$U$14*$U$12)),0),0)</f>
        <v>0</v>
      </c>
      <c r="K186" s="1262"/>
      <c r="L186" s="675">
        <f t="shared" si="27"/>
        <v>0</v>
      </c>
      <c r="N186" s="1032">
        <f t="shared" si="21"/>
        <v>0</v>
      </c>
      <c r="AA186" s="848"/>
      <c r="AB186" s="274"/>
      <c r="AC186" s="274">
        <f ca="1">IF(V3=Y4,SUM(AC182:AC185),0)</f>
        <v>52.199999999999996</v>
      </c>
      <c r="AD186" s="207">
        <f ca="1">IF(V3=Y4,SUM(AD182:AD185),0)</f>
        <v>21.75</v>
      </c>
    </row>
    <row r="187" spans="2:30" ht="15" hidden="1" customHeight="1">
      <c r="B187" s="1037">
        <f>SUBTOTAL(3,$I$137:I187)</f>
        <v>1</v>
      </c>
      <c r="C187" s="1037">
        <f t="shared" si="28"/>
        <v>0</v>
      </c>
      <c r="D187" s="1013" t="str">
        <f t="shared" si="23"/>
        <v>ТЭ</v>
      </c>
      <c r="E187" s="1013">
        <f t="shared" si="24"/>
        <v>70</v>
      </c>
      <c r="F187" s="1250" t="str">
        <f t="shared" si="20"/>
        <v>не требуется</v>
      </c>
      <c r="G187" s="1250"/>
      <c r="H187" s="1250"/>
      <c r="I187" s="1013">
        <f t="shared" si="29"/>
        <v>0</v>
      </c>
      <c r="J187" s="1262">
        <f t="shared" si="30"/>
        <v>0</v>
      </c>
      <c r="K187" s="1262"/>
      <c r="L187" s="675">
        <f t="shared" si="27"/>
        <v>0</v>
      </c>
      <c r="N187" s="1032">
        <f t="shared" si="21"/>
        <v>0</v>
      </c>
      <c r="AA187" s="1"/>
    </row>
    <row r="188" spans="2:30" ht="15" hidden="1" customHeight="1">
      <c r="B188" s="1037">
        <f>SUBTOTAL(3,$I$137:I188)</f>
        <v>1</v>
      </c>
      <c r="C188" s="1037">
        <f t="shared" si="28"/>
        <v>0</v>
      </c>
      <c r="D188" s="1013" t="str">
        <f t="shared" si="23"/>
        <v>ТЭ</v>
      </c>
      <c r="E188" s="1013">
        <f t="shared" si="24"/>
        <v>70</v>
      </c>
      <c r="F188" s="1250" t="str">
        <f t="shared" si="20"/>
        <v>не требуется</v>
      </c>
      <c r="G188" s="1250"/>
      <c r="H188" s="1250"/>
      <c r="I188" s="1013">
        <f t="shared" si="29"/>
        <v>0</v>
      </c>
      <c r="J188" s="1262">
        <f t="shared" si="30"/>
        <v>0</v>
      </c>
      <c r="K188" s="1262"/>
      <c r="L188" s="675">
        <f t="shared" si="27"/>
        <v>0</v>
      </c>
      <c r="N188" s="1032">
        <f t="shared" si="21"/>
        <v>0</v>
      </c>
      <c r="AA188" s="1"/>
    </row>
    <row r="189" spans="2:30" ht="15" hidden="1" customHeight="1">
      <c r="B189" s="1037">
        <f>SUBTOTAL(3,$I$137:I189)</f>
        <v>1</v>
      </c>
      <c r="C189" s="1037">
        <f t="shared" si="28"/>
        <v>0</v>
      </c>
      <c r="D189" s="1013" t="str">
        <f t="shared" si="23"/>
        <v>ТЭ</v>
      </c>
      <c r="E189" s="1013">
        <f t="shared" si="24"/>
        <v>70</v>
      </c>
      <c r="F189" s="1250" t="str">
        <f t="shared" si="20"/>
        <v>не требуется</v>
      </c>
      <c r="G189" s="1250"/>
      <c r="H189" s="1250"/>
      <c r="I189" s="1013">
        <f t="shared" si="29"/>
        <v>0</v>
      </c>
      <c r="J189" s="1262">
        <f t="shared" si="30"/>
        <v>0</v>
      </c>
      <c r="K189" s="1262"/>
      <c r="L189" s="675">
        <f t="shared" si="27"/>
        <v>0</v>
      </c>
      <c r="N189" s="1032">
        <f t="shared" si="21"/>
        <v>0</v>
      </c>
      <c r="AA189" s="1"/>
    </row>
    <row r="190" spans="2:30" ht="15" hidden="1" customHeight="1">
      <c r="B190" s="1037">
        <f>SUBTOTAL(3,$I$137:I190)</f>
        <v>1</v>
      </c>
      <c r="C190" s="1037">
        <f t="shared" si="28"/>
        <v>0</v>
      </c>
      <c r="D190" s="1013" t="str">
        <f t="shared" si="23"/>
        <v>ТЭ</v>
      </c>
      <c r="E190" s="1013">
        <f t="shared" si="24"/>
        <v>70</v>
      </c>
      <c r="F190" s="1250" t="str">
        <f t="shared" si="20"/>
        <v>не требуется</v>
      </c>
      <c r="G190" s="1250"/>
      <c r="H190" s="1250"/>
      <c r="I190" s="1013">
        <f t="shared" si="29"/>
        <v>0</v>
      </c>
      <c r="J190" s="1262">
        <f t="shared" si="30"/>
        <v>0</v>
      </c>
      <c r="K190" s="1262"/>
      <c r="L190" s="675">
        <f t="shared" si="27"/>
        <v>0</v>
      </c>
      <c r="N190" s="1032">
        <f t="shared" si="21"/>
        <v>0</v>
      </c>
      <c r="Z190" s="106"/>
      <c r="AA190" s="106"/>
    </row>
    <row r="191" spans="2:30" ht="15" hidden="1" customHeight="1">
      <c r="B191" s="1037">
        <f>SUBTOTAL(3,$I$137:I191)</f>
        <v>1</v>
      </c>
      <c r="C191" s="1037">
        <f t="shared" si="28"/>
        <v>0</v>
      </c>
      <c r="D191" s="1013" t="str">
        <f t="shared" si="23"/>
        <v>ТЭ</v>
      </c>
      <c r="E191" s="1013">
        <f t="shared" si="24"/>
        <v>70</v>
      </c>
      <c r="F191" s="1250" t="str">
        <f t="shared" si="20"/>
        <v>не требуется</v>
      </c>
      <c r="G191" s="1250"/>
      <c r="H191" s="1250"/>
      <c r="I191" s="1013">
        <f t="shared" si="29"/>
        <v>0</v>
      </c>
      <c r="J191" s="1262">
        <f t="shared" si="30"/>
        <v>0</v>
      </c>
      <c r="K191" s="1262"/>
      <c r="L191" s="675">
        <f t="shared" si="27"/>
        <v>0</v>
      </c>
      <c r="N191" s="1032">
        <f t="shared" si="21"/>
        <v>0</v>
      </c>
      <c r="Z191" s="106"/>
      <c r="AA191" s="106"/>
    </row>
    <row r="192" spans="2:30" ht="15" hidden="1" customHeight="1">
      <c r="B192" s="1037">
        <f>SUBTOTAL(3,$I$137:I192)</f>
        <v>1</v>
      </c>
      <c r="C192" s="1037">
        <f t="shared" si="28"/>
        <v>0</v>
      </c>
      <c r="D192" s="1013" t="str">
        <f t="shared" si="23"/>
        <v>ТЭ</v>
      </c>
      <c r="E192" s="1013">
        <f t="shared" si="24"/>
        <v>70</v>
      </c>
      <c r="F192" s="1250" t="str">
        <f t="shared" si="20"/>
        <v>не требуется</v>
      </c>
      <c r="G192" s="1250"/>
      <c r="H192" s="1250"/>
      <c r="I192" s="1013">
        <f t="shared" si="29"/>
        <v>0</v>
      </c>
      <c r="J192" s="1262">
        <f t="shared" si="30"/>
        <v>0</v>
      </c>
      <c r="K192" s="1262"/>
      <c r="L192" s="675">
        <f t="shared" si="27"/>
        <v>0</v>
      </c>
      <c r="N192" s="1032">
        <f t="shared" si="21"/>
        <v>0</v>
      </c>
      <c r="Z192" s="106"/>
      <c r="AA192" s="106"/>
    </row>
    <row r="193" spans="2:27" ht="15" hidden="1" customHeight="1">
      <c r="B193" s="1037">
        <f>SUBTOTAL(3,$I$137:I193)</f>
        <v>1</v>
      </c>
      <c r="C193" s="1037">
        <f t="shared" si="28"/>
        <v>0</v>
      </c>
      <c r="D193" s="1013" t="str">
        <f t="shared" si="23"/>
        <v>ТЭ</v>
      </c>
      <c r="E193" s="1013">
        <f t="shared" si="24"/>
        <v>70</v>
      </c>
      <c r="F193" s="1250" t="str">
        <f t="shared" si="20"/>
        <v>не требуется</v>
      </c>
      <c r="G193" s="1250"/>
      <c r="H193" s="1250"/>
      <c r="I193" s="1013">
        <f t="shared" si="29"/>
        <v>0</v>
      </c>
      <c r="J193" s="1262">
        <f t="shared" si="30"/>
        <v>0</v>
      </c>
      <c r="K193" s="1262"/>
      <c r="L193" s="675">
        <f t="shared" si="27"/>
        <v>0</v>
      </c>
      <c r="N193" s="1032">
        <f t="shared" si="21"/>
        <v>0</v>
      </c>
      <c r="Z193" s="106"/>
      <c r="AA193" s="106"/>
    </row>
    <row r="194" spans="2:27" ht="15" hidden="1" customHeight="1">
      <c r="B194" s="1037">
        <f>SUBTOTAL(3,$I$137:I194)</f>
        <v>1</v>
      </c>
      <c r="C194" s="1037">
        <f t="shared" si="28"/>
        <v>0</v>
      </c>
      <c r="D194" s="1013" t="str">
        <f t="shared" si="23"/>
        <v>ТЭ</v>
      </c>
      <c r="E194" s="1013">
        <f t="shared" si="24"/>
        <v>70</v>
      </c>
      <c r="F194" s="1250" t="str">
        <f t="shared" si="20"/>
        <v>не требуется</v>
      </c>
      <c r="G194" s="1250"/>
      <c r="H194" s="1250"/>
      <c r="I194" s="1013">
        <f t="shared" si="29"/>
        <v>0</v>
      </c>
      <c r="J194" s="1262">
        <f t="shared" si="30"/>
        <v>0</v>
      </c>
      <c r="K194" s="1262"/>
      <c r="L194" s="675">
        <f t="shared" si="27"/>
        <v>0</v>
      </c>
      <c r="N194" s="1032">
        <f t="shared" si="21"/>
        <v>0</v>
      </c>
      <c r="Z194" s="106"/>
      <c r="AA194" s="1"/>
    </row>
    <row r="195" spans="2:27" ht="15" hidden="1" customHeight="1">
      <c r="B195" s="1037">
        <f>SUBTOTAL(3,$I$137:I195)</f>
        <v>1</v>
      </c>
      <c r="C195" s="1037">
        <f t="shared" si="28"/>
        <v>0</v>
      </c>
      <c r="D195" s="1013" t="str">
        <f t="shared" si="23"/>
        <v>ТЭ</v>
      </c>
      <c r="E195" s="1013">
        <f t="shared" si="24"/>
        <v>70</v>
      </c>
      <c r="F195" s="1250" t="str">
        <f t="shared" si="20"/>
        <v>не требуется</v>
      </c>
      <c r="G195" s="1250"/>
      <c r="H195" s="1250"/>
      <c r="I195" s="1013">
        <f t="shared" si="29"/>
        <v>0</v>
      </c>
      <c r="J195" s="1262">
        <f t="shared" si="30"/>
        <v>0</v>
      </c>
      <c r="K195" s="1262"/>
      <c r="L195" s="675">
        <f t="shared" si="27"/>
        <v>0</v>
      </c>
      <c r="N195" s="1032">
        <f t="shared" si="21"/>
        <v>0</v>
      </c>
      <c r="Z195" s="1"/>
      <c r="AA195" s="1"/>
    </row>
    <row r="196" spans="2:27" ht="15" hidden="1" customHeight="1">
      <c r="B196" s="1037">
        <f>SUBTOTAL(3,$I$137:I196)</f>
        <v>1</v>
      </c>
      <c r="C196" s="1037">
        <f t="shared" si="28"/>
        <v>0</v>
      </c>
      <c r="D196" s="1013" t="str">
        <f t="shared" si="23"/>
        <v>ТЭ</v>
      </c>
      <c r="E196" s="1013">
        <f t="shared" si="24"/>
        <v>70</v>
      </c>
      <c r="F196" s="1250" t="str">
        <f t="shared" si="20"/>
        <v>не требуется</v>
      </c>
      <c r="G196" s="1250"/>
      <c r="H196" s="1250"/>
      <c r="I196" s="1013">
        <f t="shared" si="29"/>
        <v>0</v>
      </c>
      <c r="J196" s="1262">
        <f t="shared" si="30"/>
        <v>0</v>
      </c>
      <c r="K196" s="1262"/>
      <c r="L196" s="675">
        <f t="shared" si="27"/>
        <v>0</v>
      </c>
      <c r="N196" s="1032">
        <f t="shared" si="21"/>
        <v>0</v>
      </c>
      <c r="Z196" s="1"/>
      <c r="AA196" s="1"/>
    </row>
    <row r="197" spans="2:27" ht="15" hidden="1" customHeight="1">
      <c r="B197" s="1037">
        <f>SUBTOTAL(3,$I$137:I197)</f>
        <v>1</v>
      </c>
      <c r="C197" s="1037">
        <f t="shared" si="28"/>
        <v>0</v>
      </c>
      <c r="D197" s="1013" t="str">
        <f t="shared" si="23"/>
        <v>ТЭ</v>
      </c>
      <c r="E197" s="1013">
        <f t="shared" si="24"/>
        <v>70</v>
      </c>
      <c r="F197" s="1250" t="str">
        <f t="shared" si="20"/>
        <v>не требуется</v>
      </c>
      <c r="G197" s="1250"/>
      <c r="H197" s="1250"/>
      <c r="I197" s="1013">
        <f t="shared" si="29"/>
        <v>0</v>
      </c>
      <c r="J197" s="1262">
        <f t="shared" si="30"/>
        <v>0</v>
      </c>
      <c r="K197" s="1262"/>
      <c r="L197" s="675">
        <f t="shared" si="27"/>
        <v>0</v>
      </c>
      <c r="N197" s="1032">
        <f t="shared" si="21"/>
        <v>0</v>
      </c>
      <c r="Z197" s="1"/>
      <c r="AA197" s="1"/>
    </row>
    <row r="198" spans="2:27" ht="15" hidden="1" customHeight="1">
      <c r="B198" s="1037">
        <f>SUBTOTAL(3,$I$137:I198)</f>
        <v>1</v>
      </c>
      <c r="C198" s="1037">
        <f t="shared" si="28"/>
        <v>0</v>
      </c>
      <c r="D198" s="1013" t="str">
        <f t="shared" si="23"/>
        <v>ТЭ</v>
      </c>
      <c r="E198" s="1013">
        <f t="shared" si="24"/>
        <v>70</v>
      </c>
      <c r="F198" s="1250" t="str">
        <f t="shared" si="20"/>
        <v>не требуется</v>
      </c>
      <c r="G198" s="1250"/>
      <c r="H198" s="1250"/>
      <c r="I198" s="1013">
        <f t="shared" si="29"/>
        <v>0</v>
      </c>
      <c r="J198" s="1262">
        <f t="shared" si="30"/>
        <v>0</v>
      </c>
      <c r="K198" s="1262"/>
      <c r="L198" s="675">
        <f t="shared" si="27"/>
        <v>0</v>
      </c>
      <c r="N198" s="1032">
        <f t="shared" si="21"/>
        <v>0</v>
      </c>
    </row>
    <row r="199" spans="2:27" ht="15" hidden="1" customHeight="1">
      <c r="B199" s="1037">
        <f>SUBTOTAL(3,$I$137:I199)</f>
        <v>1</v>
      </c>
      <c r="C199" s="1037">
        <f t="shared" si="28"/>
        <v>0</v>
      </c>
      <c r="D199" s="1013" t="str">
        <f t="shared" si="23"/>
        <v>ТЭ</v>
      </c>
      <c r="E199" s="1013">
        <f t="shared" si="24"/>
        <v>70</v>
      </c>
      <c r="F199" s="1250" t="str">
        <f t="shared" si="20"/>
        <v>не требуется</v>
      </c>
      <c r="G199" s="1250"/>
      <c r="H199" s="1250"/>
      <c r="I199" s="1013">
        <f t="shared" si="29"/>
        <v>0</v>
      </c>
      <c r="J199" s="1262">
        <f t="shared" si="30"/>
        <v>0</v>
      </c>
      <c r="K199" s="1262"/>
      <c r="L199" s="675">
        <f t="shared" si="27"/>
        <v>0</v>
      </c>
      <c r="N199" s="1032">
        <f t="shared" si="21"/>
        <v>0</v>
      </c>
    </row>
    <row r="200" spans="2:27" ht="15" hidden="1" customHeight="1">
      <c r="B200" s="1037">
        <f>SUBTOTAL(3,$I$137:I200)</f>
        <v>1</v>
      </c>
      <c r="C200" s="1037">
        <f t="shared" si="28"/>
        <v>0</v>
      </c>
      <c r="D200" s="1013" t="str">
        <f t="shared" si="23"/>
        <v>ТЭ</v>
      </c>
      <c r="E200" s="1013">
        <f t="shared" si="24"/>
        <v>70</v>
      </c>
      <c r="F200" s="1250" t="str">
        <f t="shared" si="20"/>
        <v>не требуется</v>
      </c>
      <c r="G200" s="1250"/>
      <c r="H200" s="1250"/>
      <c r="I200" s="1013">
        <f t="shared" si="29"/>
        <v>0</v>
      </c>
      <c r="J200" s="1262">
        <f t="shared" si="30"/>
        <v>0</v>
      </c>
      <c r="K200" s="1262"/>
      <c r="L200" s="675">
        <f t="shared" si="27"/>
        <v>0</v>
      </c>
      <c r="N200" s="1032">
        <f t="shared" si="21"/>
        <v>0</v>
      </c>
    </row>
    <row r="201" spans="2:27" ht="15" hidden="1" customHeight="1">
      <c r="B201" s="1037">
        <f>SUBTOTAL(3,$I$137:I201)</f>
        <v>1</v>
      </c>
      <c r="C201" s="1037">
        <f t="shared" si="28"/>
        <v>0</v>
      </c>
      <c r="D201" s="1013" t="str">
        <f t="shared" si="23"/>
        <v>ТЭ</v>
      </c>
      <c r="E201" s="1013">
        <f t="shared" si="24"/>
        <v>70</v>
      </c>
      <c r="F201" s="1250" t="str">
        <f t="shared" ref="F201:F216" si="31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9"/>
        <v>0</v>
      </c>
      <c r="J201" s="1262">
        <f t="shared" si="30"/>
        <v>0</v>
      </c>
      <c r="K201" s="1262"/>
      <c r="L201" s="675">
        <f t="shared" si="27"/>
        <v>0</v>
      </c>
      <c r="N201" s="1032">
        <f t="shared" ref="N201:N267" si="32">IF(I201&gt;0,1,0)</f>
        <v>0</v>
      </c>
    </row>
    <row r="202" spans="2:27" ht="15" hidden="1" customHeight="1">
      <c r="B202" s="1037">
        <f>SUBTOTAL(3,$I$137:I202)</f>
        <v>1</v>
      </c>
      <c r="C202" s="1037">
        <f t="shared" si="28"/>
        <v>0</v>
      </c>
      <c r="D202" s="1013" t="str">
        <f t="shared" si="23"/>
        <v>ТЭ</v>
      </c>
      <c r="E202" s="1013">
        <f t="shared" si="24"/>
        <v>70</v>
      </c>
      <c r="F202" s="1250" t="str">
        <f t="shared" si="31"/>
        <v>не требуется</v>
      </c>
      <c r="G202" s="1250"/>
      <c r="H202" s="1250"/>
      <c r="I202" s="1013">
        <f t="shared" si="29"/>
        <v>0</v>
      </c>
      <c r="J202" s="1262">
        <f t="shared" si="30"/>
        <v>0</v>
      </c>
      <c r="K202" s="1262"/>
      <c r="L202" s="675">
        <f t="shared" si="27"/>
        <v>0</v>
      </c>
      <c r="N202" s="1032">
        <f t="shared" si="32"/>
        <v>0</v>
      </c>
    </row>
    <row r="203" spans="2:27" ht="15" hidden="1" customHeight="1">
      <c r="B203" s="1037">
        <f>SUBTOTAL(3,$I$137:I203)</f>
        <v>1</v>
      </c>
      <c r="C203" s="1037">
        <f t="shared" si="28"/>
        <v>0</v>
      </c>
      <c r="D203" s="1013" t="str">
        <f t="shared" ref="D203:D216" si="33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>ТЭ</v>
      </c>
      <c r="E203" s="1013">
        <f t="shared" ref="E203:E216" si="34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>70</v>
      </c>
      <c r="F203" s="1250" t="str">
        <f t="shared" si="31"/>
        <v>не требуется</v>
      </c>
      <c r="G203" s="1250"/>
      <c r="H203" s="1250"/>
      <c r="I203" s="1013">
        <f t="shared" si="29"/>
        <v>0</v>
      </c>
      <c r="J203" s="1262">
        <f t="shared" si="30"/>
        <v>0</v>
      </c>
      <c r="K203" s="1262"/>
      <c r="L203" s="675">
        <f t="shared" ref="L203:L212" si="35">I203+J203</f>
        <v>0</v>
      </c>
      <c r="N203" s="1032">
        <f t="shared" si="32"/>
        <v>0</v>
      </c>
    </row>
    <row r="204" spans="2:27" ht="15" hidden="1" customHeight="1">
      <c r="B204" s="1037">
        <f>SUBTOTAL(3,$I$137:I204)</f>
        <v>1</v>
      </c>
      <c r="C204" s="1037">
        <f t="shared" si="28"/>
        <v>0</v>
      </c>
      <c r="D204" s="1013" t="str">
        <f t="shared" si="33"/>
        <v>ТЭ</v>
      </c>
      <c r="E204" s="1013">
        <f t="shared" si="34"/>
        <v>70</v>
      </c>
      <c r="F204" s="1250" t="str">
        <f t="shared" si="31"/>
        <v>не требуется</v>
      </c>
      <c r="G204" s="1250"/>
      <c r="H204" s="1250"/>
      <c r="I204" s="1013">
        <f t="shared" si="29"/>
        <v>0</v>
      </c>
      <c r="J204" s="1262">
        <f t="shared" si="30"/>
        <v>0</v>
      </c>
      <c r="K204" s="1262"/>
      <c r="L204" s="675">
        <f t="shared" si="35"/>
        <v>0</v>
      </c>
      <c r="N204" s="1032">
        <f t="shared" si="32"/>
        <v>0</v>
      </c>
    </row>
    <row r="205" spans="2:27" ht="15" hidden="1" customHeight="1">
      <c r="B205" s="1037">
        <f>SUBTOTAL(3,$I$137:I205)</f>
        <v>1</v>
      </c>
      <c r="C205" s="1037">
        <f t="shared" si="28"/>
        <v>0</v>
      </c>
      <c r="D205" s="1013" t="str">
        <f t="shared" si="33"/>
        <v>ТЭ</v>
      </c>
      <c r="E205" s="1013">
        <f t="shared" si="34"/>
        <v>70</v>
      </c>
      <c r="F205" s="1250" t="str">
        <f t="shared" si="31"/>
        <v>не требуется</v>
      </c>
      <c r="G205" s="1250"/>
      <c r="H205" s="1250"/>
      <c r="I205" s="1013">
        <f t="shared" si="29"/>
        <v>0</v>
      </c>
      <c r="J205" s="1262">
        <f t="shared" si="30"/>
        <v>0</v>
      </c>
      <c r="K205" s="1262"/>
      <c r="L205" s="675">
        <f t="shared" si="35"/>
        <v>0</v>
      </c>
      <c r="N205" s="1032">
        <f t="shared" si="32"/>
        <v>0</v>
      </c>
    </row>
    <row r="206" spans="2:27" ht="15" hidden="1" customHeight="1">
      <c r="B206" s="1037">
        <f>SUBTOTAL(3,$I$137:I206)</f>
        <v>1</v>
      </c>
      <c r="C206" s="1037">
        <f t="shared" si="28"/>
        <v>0</v>
      </c>
      <c r="D206" s="1013" t="str">
        <f t="shared" si="33"/>
        <v>ТЭ</v>
      </c>
      <c r="E206" s="1013">
        <f t="shared" si="34"/>
        <v>70</v>
      </c>
      <c r="F206" s="1250" t="str">
        <f t="shared" si="31"/>
        <v>не требуется</v>
      </c>
      <c r="G206" s="1250"/>
      <c r="H206" s="1250"/>
      <c r="I206" s="1013">
        <f t="shared" si="29"/>
        <v>0</v>
      </c>
      <c r="J206" s="1262">
        <f t="shared" si="30"/>
        <v>0</v>
      </c>
      <c r="K206" s="1262"/>
      <c r="L206" s="675">
        <f t="shared" si="35"/>
        <v>0</v>
      </c>
      <c r="N206" s="1032">
        <f t="shared" si="32"/>
        <v>0</v>
      </c>
    </row>
    <row r="207" spans="2:27" ht="15" hidden="1" customHeight="1">
      <c r="B207" s="1037">
        <f>SUBTOTAL(3,$I$137:I207)</f>
        <v>1</v>
      </c>
      <c r="C207" s="1037">
        <f t="shared" si="28"/>
        <v>0</v>
      </c>
      <c r="D207" s="1013" t="str">
        <f t="shared" si="33"/>
        <v>ТЭ</v>
      </c>
      <c r="E207" s="1013">
        <f t="shared" si="34"/>
        <v>70</v>
      </c>
      <c r="F207" s="1250" t="str">
        <f t="shared" si="31"/>
        <v>не требуется</v>
      </c>
      <c r="G207" s="1250"/>
      <c r="H207" s="1250"/>
      <c r="I207" s="1013">
        <f t="shared" si="29"/>
        <v>0</v>
      </c>
      <c r="J207" s="1262">
        <f t="shared" si="30"/>
        <v>0</v>
      </c>
      <c r="K207" s="1262"/>
      <c r="L207" s="675">
        <f t="shared" si="35"/>
        <v>0</v>
      </c>
      <c r="N207" s="1032">
        <f t="shared" si="32"/>
        <v>0</v>
      </c>
    </row>
    <row r="208" spans="2:27" ht="15" hidden="1" customHeight="1">
      <c r="B208" s="1037">
        <f>SUBTOTAL(3,$I$137:I208)</f>
        <v>1</v>
      </c>
      <c r="C208" s="1037">
        <f t="shared" si="28"/>
        <v>0</v>
      </c>
      <c r="D208" s="1013" t="str">
        <f t="shared" si="33"/>
        <v>ТЭ</v>
      </c>
      <c r="E208" s="1013">
        <f t="shared" si="34"/>
        <v>70</v>
      </c>
      <c r="F208" s="1250" t="str">
        <f t="shared" si="31"/>
        <v>не требуется</v>
      </c>
      <c r="G208" s="1250"/>
      <c r="H208" s="1250"/>
      <c r="I208" s="1013">
        <f t="shared" si="29"/>
        <v>0</v>
      </c>
      <c r="J208" s="1262">
        <f t="shared" si="30"/>
        <v>0</v>
      </c>
      <c r="K208" s="1262"/>
      <c r="L208" s="675">
        <f t="shared" si="35"/>
        <v>0</v>
      </c>
      <c r="N208" s="1032">
        <f t="shared" si="32"/>
        <v>0</v>
      </c>
    </row>
    <row r="209" spans="2:36" ht="15" hidden="1" customHeight="1">
      <c r="B209" s="1037">
        <f>SUBTOTAL(3,$I$137:I209)</f>
        <v>1</v>
      </c>
      <c r="C209" s="1037">
        <f t="shared" si="28"/>
        <v>0</v>
      </c>
      <c r="D209" s="1013" t="str">
        <f t="shared" si="33"/>
        <v>ТЭ</v>
      </c>
      <c r="E209" s="1013">
        <f t="shared" si="34"/>
        <v>70</v>
      </c>
      <c r="F209" s="1250" t="str">
        <f t="shared" si="31"/>
        <v>не требуется</v>
      </c>
      <c r="G209" s="1250"/>
      <c r="H209" s="1250"/>
      <c r="I209" s="1013">
        <f t="shared" si="29"/>
        <v>0</v>
      </c>
      <c r="J209" s="1262">
        <f t="shared" si="30"/>
        <v>0</v>
      </c>
      <c r="K209" s="1262"/>
      <c r="L209" s="675">
        <f t="shared" si="35"/>
        <v>0</v>
      </c>
      <c r="N209" s="1032">
        <f t="shared" si="32"/>
        <v>0</v>
      </c>
      <c r="P209" s="477"/>
    </row>
    <row r="210" spans="2:36" ht="15" hidden="1" customHeight="1">
      <c r="B210" s="1037">
        <f>SUBTOTAL(3,$I$137:I210)</f>
        <v>1</v>
      </c>
      <c r="C210" s="1037">
        <f t="shared" si="28"/>
        <v>0</v>
      </c>
      <c r="D210" s="1013" t="str">
        <f t="shared" si="33"/>
        <v>ТЭ</v>
      </c>
      <c r="E210" s="1013">
        <f t="shared" si="34"/>
        <v>70</v>
      </c>
      <c r="F210" s="1250" t="str">
        <f t="shared" si="31"/>
        <v>не требуется</v>
      </c>
      <c r="G210" s="1250"/>
      <c r="H210" s="1250"/>
      <c r="I210" s="1013">
        <f t="shared" si="29"/>
        <v>0</v>
      </c>
      <c r="J210" s="1262">
        <f t="shared" si="30"/>
        <v>0</v>
      </c>
      <c r="K210" s="1262"/>
      <c r="L210" s="675">
        <f t="shared" si="35"/>
        <v>0</v>
      </c>
      <c r="N210" s="1032">
        <f t="shared" si="32"/>
        <v>0</v>
      </c>
    </row>
    <row r="211" spans="2:36" ht="15" hidden="1" customHeight="1">
      <c r="B211" s="1037">
        <f>SUBTOTAL(3,$I$137:I211)</f>
        <v>1</v>
      </c>
      <c r="C211" s="1037">
        <f t="shared" si="28"/>
        <v>0</v>
      </c>
      <c r="D211" s="1013" t="str">
        <f t="shared" si="33"/>
        <v>ТЭ</v>
      </c>
      <c r="E211" s="1013">
        <f t="shared" si="34"/>
        <v>70</v>
      </c>
      <c r="F211" s="1250" t="str">
        <f t="shared" si="31"/>
        <v>не требуется</v>
      </c>
      <c r="G211" s="1250"/>
      <c r="H211" s="1250"/>
      <c r="I211" s="1013">
        <f t="shared" si="29"/>
        <v>0</v>
      </c>
      <c r="J211" s="1262">
        <f t="shared" si="30"/>
        <v>0</v>
      </c>
      <c r="K211" s="1262"/>
      <c r="L211" s="675">
        <f t="shared" si="35"/>
        <v>0</v>
      </c>
      <c r="N211" s="1032">
        <f t="shared" si="32"/>
        <v>0</v>
      </c>
    </row>
    <row r="212" spans="2:36" ht="15" hidden="1" customHeight="1">
      <c r="B212" s="1037">
        <f>SUBTOTAL(3,$I$137:I212)</f>
        <v>1</v>
      </c>
      <c r="C212" s="1037">
        <f t="shared" si="28"/>
        <v>0</v>
      </c>
      <c r="D212" s="1013" t="str">
        <f t="shared" si="33"/>
        <v>ТЭ</v>
      </c>
      <c r="E212" s="1013">
        <f t="shared" si="34"/>
        <v>70</v>
      </c>
      <c r="F212" s="1250" t="str">
        <f t="shared" si="31"/>
        <v>не требуется</v>
      </c>
      <c r="G212" s="1250"/>
      <c r="H212" s="1250"/>
      <c r="I212" s="1013">
        <f t="shared" si="29"/>
        <v>0</v>
      </c>
      <c r="J212" s="1262">
        <f t="shared" si="30"/>
        <v>0</v>
      </c>
      <c r="K212" s="1262"/>
      <c r="L212" s="675">
        <f t="shared" si="35"/>
        <v>0</v>
      </c>
      <c r="N212" s="1032">
        <f t="shared" si="32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hidden="1" customHeight="1">
      <c r="B213" s="1037">
        <f>SUBTOTAL(3,$I$137:I213)</f>
        <v>1</v>
      </c>
      <c r="C213" s="1037">
        <f t="shared" si="28"/>
        <v>0</v>
      </c>
      <c r="D213" s="1013" t="str">
        <f t="shared" si="33"/>
        <v>ТЭ</v>
      </c>
      <c r="E213" s="1013">
        <f t="shared" si="34"/>
        <v>70</v>
      </c>
      <c r="F213" s="1250" t="str">
        <f t="shared" si="31"/>
        <v>не требуется</v>
      </c>
      <c r="G213" s="1250"/>
      <c r="H213" s="1250"/>
      <c r="I213" s="1013">
        <f t="shared" si="29"/>
        <v>0</v>
      </c>
      <c r="J213" s="1262">
        <f t="shared" si="30"/>
        <v>0</v>
      </c>
      <c r="K213" s="1262"/>
      <c r="L213" s="675">
        <f>I213+J213</f>
        <v>0</v>
      </c>
      <c r="N213" s="1032">
        <f t="shared" si="32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hidden="1" customHeight="1">
      <c r="B214" s="1037">
        <f>SUBTOTAL(3,$I$137:I214)</f>
        <v>1</v>
      </c>
      <c r="C214" s="1037">
        <f t="shared" si="28"/>
        <v>0</v>
      </c>
      <c r="D214" s="1013" t="str">
        <f t="shared" si="33"/>
        <v>ТЭ</v>
      </c>
      <c r="E214" s="1013">
        <f t="shared" si="34"/>
        <v>70</v>
      </c>
      <c r="F214" s="1250" t="str">
        <f t="shared" si="31"/>
        <v>не требуется</v>
      </c>
      <c r="G214" s="1250"/>
      <c r="H214" s="1250"/>
      <c r="I214" s="1013">
        <f t="shared" si="29"/>
        <v>0</v>
      </c>
      <c r="J214" s="1262">
        <f t="shared" si="30"/>
        <v>0</v>
      </c>
      <c r="K214" s="1262"/>
      <c r="L214" s="675">
        <f>I214+J214</f>
        <v>0</v>
      </c>
      <c r="N214" s="1032">
        <f t="shared" si="32"/>
        <v>0</v>
      </c>
    </row>
    <row r="215" spans="2:36" ht="15" hidden="1" customHeight="1">
      <c r="B215" s="1037">
        <f>SUBTOTAL(3,$I$137:I215)</f>
        <v>1</v>
      </c>
      <c r="C215" s="1037">
        <f t="shared" si="28"/>
        <v>0</v>
      </c>
      <c r="D215" s="1013" t="str">
        <f t="shared" si="33"/>
        <v>ТЭ</v>
      </c>
      <c r="E215" s="1013">
        <f t="shared" si="34"/>
        <v>70</v>
      </c>
      <c r="F215" s="1250" t="str">
        <f t="shared" si="31"/>
        <v>не требуется</v>
      </c>
      <c r="G215" s="1250"/>
      <c r="H215" s="1250"/>
      <c r="I215" s="1013">
        <f t="shared" si="29"/>
        <v>0</v>
      </c>
      <c r="J215" s="1262">
        <f t="shared" si="30"/>
        <v>0</v>
      </c>
      <c r="K215" s="1262"/>
      <c r="L215" s="675">
        <f>I215+J215</f>
        <v>0</v>
      </c>
      <c r="N215" s="1032">
        <f t="shared" si="32"/>
        <v>0</v>
      </c>
    </row>
    <row r="216" spans="2:36" ht="15" hidden="1" customHeight="1">
      <c r="B216" s="1037">
        <f>SUBTOTAL(3,$I$137:I216)</f>
        <v>1</v>
      </c>
      <c r="C216" s="1037">
        <f t="shared" si="28"/>
        <v>0</v>
      </c>
      <c r="D216" s="1013" t="str">
        <f t="shared" si="33"/>
        <v>ТЭ</v>
      </c>
      <c r="E216" s="1013">
        <f t="shared" si="34"/>
        <v>70</v>
      </c>
      <c r="F216" s="1250" t="str">
        <f t="shared" si="31"/>
        <v>не требуется</v>
      </c>
      <c r="G216" s="1250"/>
      <c r="H216" s="1250"/>
      <c r="I216" s="1013">
        <f t="shared" si="29"/>
        <v>0</v>
      </c>
      <c r="J216" s="1262">
        <f t="shared" si="30"/>
        <v>0</v>
      </c>
      <c r="K216" s="1262"/>
      <c r="L216" s="675">
        <f>I216+J216</f>
        <v>0</v>
      </c>
      <c r="N216" s="1032">
        <f t="shared" si="32"/>
        <v>0</v>
      </c>
    </row>
    <row r="217" spans="2:36" ht="15" hidden="1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hidden="1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>IF(K5=0," ",K5)</f>
        <v>Кровля 
(без участков в осях 
7-9 / Ж-И и 12-14 / Ж-И)</v>
      </c>
      <c r="L218" s="1272"/>
      <c r="N218" s="1032">
        <f t="shared" ref="N218:N224" si="36">IF(OR($V$4=$AA$10,$V$4=$AA$11),1,0)</f>
        <v>0</v>
      </c>
    </row>
    <row r="219" spans="2:36" ht="15" hidden="1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6"/>
        <v>0</v>
      </c>
    </row>
    <row r="220" spans="2:36" ht="15" hidden="1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6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hidden="1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6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hidden="1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6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hidden="1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6"/>
        <v>0</v>
      </c>
      <c r="P223" s="461" t="s">
        <v>642</v>
      </c>
      <c r="Q223" s="487" t="s">
        <v>633</v>
      </c>
      <c r="Y223" s="266">
        <f>R3</f>
        <v>220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hidden="1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6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hidden="1" customHeight="1">
      <c r="B225" s="1037">
        <f>SUBTOTAL(3,$I$225:I225)</f>
        <v>0</v>
      </c>
      <c r="C225" s="1037">
        <f>IF(OR($V$4=$AA$10,$V$4=$AA$11),_xlfn.CEILING.MATH($R$3+$Y$222,10),0)</f>
        <v>0</v>
      </c>
      <c r="D225" s="1013" t="str">
        <f t="shared" ref="D225:D288" si="37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8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2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hidden="1" customHeight="1" thickBot="1">
      <c r="B226" s="1037">
        <f>SUBTOTAL(3,$I$225:I226)</f>
        <v>0</v>
      </c>
      <c r="C226" s="1037">
        <f t="shared" ref="C226:C289" si="39">IF(OR($V$4=$AA$10,$V$4=$AA$11),AF228+_xlfn.CEILING.MATH($Y$222,10),0)</f>
        <v>0</v>
      </c>
      <c r="D226" s="1013" t="str">
        <f t="shared" si="37"/>
        <v xml:space="preserve"> </v>
      </c>
      <c r="E226" s="1013" t="str">
        <f t="shared" si="38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2"/>
        <v>0</v>
      </c>
      <c r="P226" s="726" t="s">
        <v>649</v>
      </c>
      <c r="Q226" s="485"/>
      <c r="R226" s="450" t="s">
        <v>637</v>
      </c>
      <c r="Z226" s="384"/>
    </row>
    <row r="227" spans="2:36" ht="15" hidden="1" customHeight="1">
      <c r="B227" s="1037">
        <f>SUBTOTAL(3,$I$225:I227)</f>
        <v>0</v>
      </c>
      <c r="C227" s="1037">
        <f t="shared" si="39"/>
        <v>0</v>
      </c>
      <c r="D227" s="1013" t="str">
        <f t="shared" si="37"/>
        <v xml:space="preserve"> </v>
      </c>
      <c r="E227" s="1013" t="str">
        <f t="shared" si="38"/>
        <v xml:space="preserve"> </v>
      </c>
      <c r="F227" s="1250" t="str">
        <f t="shared" ref="F227:F290" si="40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41">IF(AJ229&gt;0,AJ229,0)</f>
        <v>0</v>
      </c>
      <c r="J227" s="1"/>
      <c r="K227" s="1"/>
      <c r="L227" s="1"/>
      <c r="N227" s="1032">
        <f t="shared" si="32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hidden="1" customHeight="1">
      <c r="B228" s="1037">
        <f>SUBTOTAL(3,$I$225:I228)</f>
        <v>0</v>
      </c>
      <c r="C228" s="1037">
        <f t="shared" si="39"/>
        <v>0</v>
      </c>
      <c r="D228" s="1013" t="str">
        <f t="shared" si="37"/>
        <v xml:space="preserve"> </v>
      </c>
      <c r="E228" s="1013" t="str">
        <f t="shared" si="38"/>
        <v xml:space="preserve"> </v>
      </c>
      <c r="F228" s="1250" t="str">
        <f t="shared" si="40"/>
        <v>не требуется</v>
      </c>
      <c r="G228" s="1250"/>
      <c r="H228" s="1250"/>
      <c r="I228" s="1013">
        <f t="shared" si="41"/>
        <v>0</v>
      </c>
      <c r="J228" s="1"/>
      <c r="K228" s="1"/>
      <c r="L228" s="1"/>
      <c r="N228" s="1032">
        <f t="shared" si="32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2">SUMIF($Y$233:$Y$285,AF228,$Z$233:$Z$285)</f>
        <v>0</v>
      </c>
      <c r="AH228" s="573">
        <f t="shared" ref="AH228:AH291" si="43">SUMIF($AA$233:$AA$285,AF228,$AB$233:$AB$285)</f>
        <v>0</v>
      </c>
      <c r="AI228" s="457">
        <f t="shared" ref="AI228:AI291" si="44">SUMIF($AC$233:$AC$285,AF228,$AD$233:$AD$285)</f>
        <v>0</v>
      </c>
      <c r="AJ228" s="469">
        <f t="shared" ref="AJ228:AJ291" si="45">AI228+AH228+AG228</f>
        <v>0</v>
      </c>
    </row>
    <row r="229" spans="2:36" ht="15" hidden="1" customHeight="1" thickBot="1">
      <c r="B229" s="1037">
        <f>SUBTOTAL(3,$I$225:I229)</f>
        <v>0</v>
      </c>
      <c r="C229" s="1037">
        <f t="shared" si="39"/>
        <v>0</v>
      </c>
      <c r="D229" s="1013" t="str">
        <f t="shared" si="37"/>
        <v xml:space="preserve"> </v>
      </c>
      <c r="E229" s="1013" t="str">
        <f t="shared" si="38"/>
        <v xml:space="preserve"> </v>
      </c>
      <c r="F229" s="1250" t="str">
        <f t="shared" si="40"/>
        <v>не требуется</v>
      </c>
      <c r="G229" s="1250"/>
      <c r="H229" s="1250"/>
      <c r="I229" s="1013">
        <f t="shared" si="41"/>
        <v>0</v>
      </c>
      <c r="J229" s="1"/>
      <c r="K229" s="1"/>
      <c r="L229" s="1"/>
      <c r="N229" s="1032">
        <f t="shared" si="32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2"/>
        <v>0</v>
      </c>
      <c r="AH229" s="573">
        <f t="shared" si="43"/>
        <v>0</v>
      </c>
      <c r="AI229" s="457">
        <f t="shared" si="44"/>
        <v>0</v>
      </c>
      <c r="AJ229" s="469">
        <f t="shared" si="45"/>
        <v>0</v>
      </c>
    </row>
    <row r="230" spans="2:36" ht="15" hidden="1" customHeight="1">
      <c r="B230" s="1037">
        <f>SUBTOTAL(3,$I$225:I230)</f>
        <v>0</v>
      </c>
      <c r="C230" s="1037">
        <f t="shared" si="39"/>
        <v>0</v>
      </c>
      <c r="D230" s="1013" t="str">
        <f t="shared" si="37"/>
        <v xml:space="preserve"> </v>
      </c>
      <c r="E230" s="1013" t="str">
        <f t="shared" si="38"/>
        <v xml:space="preserve"> </v>
      </c>
      <c r="F230" s="1250" t="str">
        <f t="shared" si="40"/>
        <v>не требуется</v>
      </c>
      <c r="G230" s="1250"/>
      <c r="H230" s="1250"/>
      <c r="I230" s="1013">
        <f t="shared" si="41"/>
        <v>0</v>
      </c>
      <c r="J230" s="1"/>
      <c r="K230" s="1"/>
      <c r="L230" s="1"/>
      <c r="N230" s="1032">
        <f t="shared" si="32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2"/>
        <v>0</v>
      </c>
      <c r="AH230" s="573">
        <f t="shared" si="43"/>
        <v>0</v>
      </c>
      <c r="AI230" s="457">
        <f t="shared" si="44"/>
        <v>0</v>
      </c>
      <c r="AJ230" s="469">
        <f t="shared" si="45"/>
        <v>0</v>
      </c>
    </row>
    <row r="231" spans="2:36" ht="15" hidden="1" customHeight="1">
      <c r="B231" s="1037">
        <f>SUBTOTAL(3,$I$225:I231)</f>
        <v>0</v>
      </c>
      <c r="C231" s="1037">
        <f t="shared" si="39"/>
        <v>0</v>
      </c>
      <c r="D231" s="1013" t="str">
        <f t="shared" si="37"/>
        <v xml:space="preserve"> </v>
      </c>
      <c r="E231" s="1013" t="str">
        <f t="shared" si="38"/>
        <v xml:space="preserve"> </v>
      </c>
      <c r="F231" s="1250" t="str">
        <f t="shared" si="40"/>
        <v>не требуется</v>
      </c>
      <c r="G231" s="1250"/>
      <c r="H231" s="1250"/>
      <c r="I231" s="1013">
        <f t="shared" si="41"/>
        <v>0</v>
      </c>
      <c r="J231" s="1"/>
      <c r="K231" s="1"/>
      <c r="L231" s="1"/>
      <c r="N231" s="1032">
        <f t="shared" si="32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2"/>
        <v>0</v>
      </c>
      <c r="AH231" s="573">
        <f t="shared" si="43"/>
        <v>0</v>
      </c>
      <c r="AI231" s="457">
        <f t="shared" si="44"/>
        <v>0</v>
      </c>
      <c r="AJ231" s="469">
        <f t="shared" si="45"/>
        <v>0</v>
      </c>
    </row>
    <row r="232" spans="2:36" ht="15" hidden="1" customHeight="1">
      <c r="B232" s="1037">
        <f>SUBTOTAL(3,$I$225:I232)</f>
        <v>0</v>
      </c>
      <c r="C232" s="1037">
        <f t="shared" si="39"/>
        <v>0</v>
      </c>
      <c r="D232" s="1013" t="str">
        <f t="shared" si="37"/>
        <v xml:space="preserve"> </v>
      </c>
      <c r="E232" s="1013" t="str">
        <f t="shared" si="38"/>
        <v xml:space="preserve"> </v>
      </c>
      <c r="F232" s="1250" t="str">
        <f t="shared" si="40"/>
        <v>не требуется</v>
      </c>
      <c r="G232" s="1250"/>
      <c r="H232" s="1250"/>
      <c r="I232" s="1013">
        <f t="shared" si="41"/>
        <v>0</v>
      </c>
      <c r="J232" s="1"/>
      <c r="K232" s="1"/>
      <c r="L232" s="1"/>
      <c r="N232" s="1032">
        <f t="shared" si="32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2"/>
        <v>0</v>
      </c>
      <c r="AH232" s="573">
        <f t="shared" si="43"/>
        <v>0</v>
      </c>
      <c r="AI232" s="457">
        <f t="shared" si="44"/>
        <v>0</v>
      </c>
      <c r="AJ232" s="469">
        <f t="shared" si="45"/>
        <v>0</v>
      </c>
    </row>
    <row r="233" spans="2:36" ht="15" hidden="1" customHeight="1">
      <c r="B233" s="1037">
        <f>SUBTOTAL(3,$I$225:I233)</f>
        <v>0</v>
      </c>
      <c r="C233" s="1037">
        <f t="shared" si="39"/>
        <v>0</v>
      </c>
      <c r="D233" s="1013" t="str">
        <f t="shared" si="37"/>
        <v xml:space="preserve"> </v>
      </c>
      <c r="E233" s="1013" t="str">
        <f t="shared" si="38"/>
        <v xml:space="preserve"> </v>
      </c>
      <c r="F233" s="1250" t="str">
        <f t="shared" si="40"/>
        <v>не требуется</v>
      </c>
      <c r="G233" s="1250"/>
      <c r="H233" s="1250"/>
      <c r="I233" s="1013">
        <f t="shared" si="41"/>
        <v>0</v>
      </c>
      <c r="J233" s="1"/>
      <c r="K233" s="1"/>
      <c r="L233" s="1"/>
      <c r="N233" s="1032">
        <f t="shared" si="32"/>
        <v>0</v>
      </c>
      <c r="P233" s="1255"/>
      <c r="Q233" s="1254"/>
      <c r="S233" s="1255"/>
      <c r="T233" s="1254"/>
      <c r="V233" s="1255"/>
      <c r="W233" s="1254"/>
      <c r="Y233" s="475">
        <f t="shared" ref="Y233:Y285" si="46">P242</f>
        <v>0</v>
      </c>
      <c r="Z233" s="573">
        <f>IFERROR(ROUNDUP(Q242*$Q$228/$Y$230,0),0)</f>
        <v>0</v>
      </c>
      <c r="AA233" s="573">
        <f t="shared" ref="AA233:AA285" si="47">S242</f>
        <v>0</v>
      </c>
      <c r="AB233" s="573">
        <f>IFERROR(ROUNDUP(T242*$Q$229/$AA$230,0),0)</f>
        <v>0</v>
      </c>
      <c r="AC233" s="573">
        <f t="shared" ref="AC233:AC285" si="48">V242</f>
        <v>0</v>
      </c>
      <c r="AD233" s="457">
        <f>IFERROR(ROUNDUP(W242*$Q$230/$AC$230,0),0)</f>
        <v>0</v>
      </c>
      <c r="AF233" s="472">
        <v>60</v>
      </c>
      <c r="AG233" s="475">
        <f t="shared" si="42"/>
        <v>0</v>
      </c>
      <c r="AH233" s="573">
        <f t="shared" si="43"/>
        <v>0</v>
      </c>
      <c r="AI233" s="457">
        <f t="shared" si="44"/>
        <v>0</v>
      </c>
      <c r="AJ233" s="469">
        <f t="shared" si="45"/>
        <v>0</v>
      </c>
    </row>
    <row r="234" spans="2:36" ht="15" hidden="1" customHeight="1">
      <c r="B234" s="1037">
        <f>SUBTOTAL(3,$I$225:I234)</f>
        <v>0</v>
      </c>
      <c r="C234" s="1037">
        <f t="shared" si="39"/>
        <v>0</v>
      </c>
      <c r="D234" s="1013" t="str">
        <f t="shared" si="37"/>
        <v xml:space="preserve"> </v>
      </c>
      <c r="E234" s="1013" t="str">
        <f t="shared" si="38"/>
        <v xml:space="preserve"> </v>
      </c>
      <c r="F234" s="1250" t="str">
        <f t="shared" si="40"/>
        <v>не требуется</v>
      </c>
      <c r="G234" s="1250"/>
      <c r="H234" s="1250"/>
      <c r="I234" s="1013">
        <f t="shared" si="41"/>
        <v>0</v>
      </c>
      <c r="J234" s="376"/>
      <c r="K234" s="376"/>
      <c r="L234" s="376"/>
      <c r="N234" s="1032">
        <f t="shared" si="32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6"/>
        <v>0</v>
      </c>
      <c r="Z234" s="573">
        <f t="shared" ref="Z234:Z285" si="49">IFERROR(ROUNDUP(Q243*$Q$228/$Y$230,0),0)</f>
        <v>0</v>
      </c>
      <c r="AA234" s="573">
        <f t="shared" si="47"/>
        <v>0</v>
      </c>
      <c r="AB234" s="573">
        <f t="shared" ref="AB234:AB285" si="50">IFERROR(ROUNDUP(T243*$Q$229/$AA$230,0),0)</f>
        <v>0</v>
      </c>
      <c r="AC234" s="573">
        <f t="shared" si="48"/>
        <v>0</v>
      </c>
      <c r="AD234" s="457">
        <f t="shared" ref="AD234:AD285" si="51">IFERROR(ROUNDUP(W243*$Q$230/$AC$230,0),0)</f>
        <v>0</v>
      </c>
      <c r="AF234" s="472">
        <v>70</v>
      </c>
      <c r="AG234" s="475">
        <f t="shared" si="42"/>
        <v>0</v>
      </c>
      <c r="AH234" s="573">
        <f t="shared" si="43"/>
        <v>0</v>
      </c>
      <c r="AI234" s="457">
        <f t="shared" si="44"/>
        <v>0</v>
      </c>
      <c r="AJ234" s="469">
        <f t="shared" si="45"/>
        <v>0</v>
      </c>
    </row>
    <row r="235" spans="2:36" ht="15" hidden="1" customHeight="1">
      <c r="B235" s="1037">
        <f>SUBTOTAL(3,$I$225:I235)</f>
        <v>0</v>
      </c>
      <c r="C235" s="1037">
        <f t="shared" si="39"/>
        <v>0</v>
      </c>
      <c r="D235" s="1013" t="str">
        <f t="shared" si="37"/>
        <v xml:space="preserve"> </v>
      </c>
      <c r="E235" s="1013" t="str">
        <f t="shared" si="38"/>
        <v xml:space="preserve"> </v>
      </c>
      <c r="F235" s="1250" t="str">
        <f t="shared" si="40"/>
        <v>не требуется</v>
      </c>
      <c r="G235" s="1250"/>
      <c r="H235" s="1250"/>
      <c r="I235" s="1013">
        <f t="shared" si="41"/>
        <v>0</v>
      </c>
      <c r="J235" s="376"/>
      <c r="K235" s="376"/>
      <c r="L235" s="376"/>
      <c r="N235" s="1032">
        <f t="shared" si="32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6"/>
        <v>0</v>
      </c>
      <c r="Z235" s="573">
        <f t="shared" si="49"/>
        <v>0</v>
      </c>
      <c r="AA235" s="573">
        <f t="shared" si="47"/>
        <v>0</v>
      </c>
      <c r="AB235" s="573">
        <f t="shared" si="50"/>
        <v>0</v>
      </c>
      <c r="AC235" s="573">
        <f t="shared" si="48"/>
        <v>0</v>
      </c>
      <c r="AD235" s="457">
        <f t="shared" si="51"/>
        <v>0</v>
      </c>
      <c r="AF235" s="472">
        <v>80</v>
      </c>
      <c r="AG235" s="475">
        <f t="shared" si="42"/>
        <v>0</v>
      </c>
      <c r="AH235" s="573">
        <f t="shared" si="43"/>
        <v>0</v>
      </c>
      <c r="AI235" s="457">
        <f t="shared" si="44"/>
        <v>0</v>
      </c>
      <c r="AJ235" s="469">
        <f t="shared" si="45"/>
        <v>0</v>
      </c>
    </row>
    <row r="236" spans="2:36" ht="15" hidden="1" customHeight="1">
      <c r="B236" s="1037">
        <f>SUBTOTAL(3,$I$225:I236)</f>
        <v>0</v>
      </c>
      <c r="C236" s="1037">
        <f t="shared" si="39"/>
        <v>0</v>
      </c>
      <c r="D236" s="1013" t="str">
        <f t="shared" si="37"/>
        <v xml:space="preserve"> </v>
      </c>
      <c r="E236" s="1013" t="str">
        <f t="shared" si="38"/>
        <v xml:space="preserve"> </v>
      </c>
      <c r="F236" s="1250" t="str">
        <f t="shared" si="40"/>
        <v>не требуется</v>
      </c>
      <c r="G236" s="1250"/>
      <c r="H236" s="1250"/>
      <c r="I236" s="1013">
        <f t="shared" si="41"/>
        <v>0</v>
      </c>
      <c r="J236" s="376"/>
      <c r="K236" s="376"/>
      <c r="L236" s="376"/>
      <c r="N236" s="1032">
        <f t="shared" si="32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6"/>
        <v>0</v>
      </c>
      <c r="Z236" s="573">
        <f t="shared" si="49"/>
        <v>0</v>
      </c>
      <c r="AA236" s="573">
        <f t="shared" si="47"/>
        <v>0</v>
      </c>
      <c r="AB236" s="573">
        <f t="shared" si="50"/>
        <v>0</v>
      </c>
      <c r="AC236" s="573">
        <f t="shared" si="48"/>
        <v>0</v>
      </c>
      <c r="AD236" s="457">
        <f t="shared" si="51"/>
        <v>0</v>
      </c>
      <c r="AE236" s="1"/>
      <c r="AF236" s="472">
        <v>90</v>
      </c>
      <c r="AG236" s="475">
        <f t="shared" si="42"/>
        <v>0</v>
      </c>
      <c r="AH236" s="573">
        <f t="shared" si="43"/>
        <v>0</v>
      </c>
      <c r="AI236" s="457">
        <f t="shared" si="44"/>
        <v>0</v>
      </c>
      <c r="AJ236" s="469">
        <f t="shared" si="45"/>
        <v>0</v>
      </c>
    </row>
    <row r="237" spans="2:36" ht="15" hidden="1" customHeight="1">
      <c r="B237" s="1037">
        <f>SUBTOTAL(3,$I$225:I237)</f>
        <v>0</v>
      </c>
      <c r="C237" s="1037">
        <f t="shared" si="39"/>
        <v>0</v>
      </c>
      <c r="D237" s="1013" t="str">
        <f t="shared" si="37"/>
        <v xml:space="preserve"> </v>
      </c>
      <c r="E237" s="1013" t="str">
        <f t="shared" si="38"/>
        <v xml:space="preserve"> </v>
      </c>
      <c r="F237" s="1250" t="str">
        <f t="shared" si="40"/>
        <v>не требуется</v>
      </c>
      <c r="G237" s="1250"/>
      <c r="H237" s="1250"/>
      <c r="I237" s="1013">
        <f t="shared" si="41"/>
        <v>0</v>
      </c>
      <c r="J237" s="376"/>
      <c r="K237" s="376"/>
      <c r="L237" s="376"/>
      <c r="N237" s="1032">
        <f t="shared" si="32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6"/>
        <v>0</v>
      </c>
      <c r="Z237" s="573">
        <f t="shared" si="49"/>
        <v>0</v>
      </c>
      <c r="AA237" s="573">
        <f t="shared" si="47"/>
        <v>0</v>
      </c>
      <c r="AB237" s="573">
        <f t="shared" si="50"/>
        <v>0</v>
      </c>
      <c r="AC237" s="573">
        <f t="shared" si="48"/>
        <v>0</v>
      </c>
      <c r="AD237" s="457">
        <f t="shared" si="51"/>
        <v>0</v>
      </c>
      <c r="AE237" s="1"/>
      <c r="AF237" s="472">
        <v>100</v>
      </c>
      <c r="AG237" s="475">
        <f t="shared" si="42"/>
        <v>0</v>
      </c>
      <c r="AH237" s="573">
        <f t="shared" si="43"/>
        <v>0</v>
      </c>
      <c r="AI237" s="457">
        <f t="shared" si="44"/>
        <v>0</v>
      </c>
      <c r="AJ237" s="469">
        <f t="shared" si="45"/>
        <v>0</v>
      </c>
    </row>
    <row r="238" spans="2:36" ht="15" hidden="1" customHeight="1">
      <c r="B238" s="1037">
        <f>SUBTOTAL(3,$I$225:I238)</f>
        <v>0</v>
      </c>
      <c r="C238" s="1037">
        <f t="shared" si="39"/>
        <v>0</v>
      </c>
      <c r="D238" s="1013" t="str">
        <f t="shared" si="37"/>
        <v xml:space="preserve"> </v>
      </c>
      <c r="E238" s="1013" t="str">
        <f t="shared" si="38"/>
        <v xml:space="preserve"> </v>
      </c>
      <c r="F238" s="1250" t="str">
        <f t="shared" si="40"/>
        <v>не требуется</v>
      </c>
      <c r="G238" s="1250"/>
      <c r="H238" s="1250"/>
      <c r="I238" s="1013">
        <f t="shared" si="41"/>
        <v>0</v>
      </c>
      <c r="J238" s="376"/>
      <c r="K238" s="376"/>
      <c r="L238" s="376"/>
      <c r="N238" s="1032">
        <f t="shared" si="32"/>
        <v>0</v>
      </c>
      <c r="Y238" s="475">
        <f t="shared" si="46"/>
        <v>0</v>
      </c>
      <c r="Z238" s="573">
        <f t="shared" si="49"/>
        <v>0</v>
      </c>
      <c r="AA238" s="573">
        <f t="shared" si="47"/>
        <v>0</v>
      </c>
      <c r="AB238" s="573">
        <f t="shared" si="50"/>
        <v>0</v>
      </c>
      <c r="AC238" s="573">
        <f t="shared" si="48"/>
        <v>0</v>
      </c>
      <c r="AD238" s="457">
        <f t="shared" si="51"/>
        <v>0</v>
      </c>
      <c r="AE238" s="1"/>
      <c r="AF238" s="472">
        <v>110</v>
      </c>
      <c r="AG238" s="475">
        <f t="shared" si="42"/>
        <v>0</v>
      </c>
      <c r="AH238" s="573">
        <f t="shared" si="43"/>
        <v>0</v>
      </c>
      <c r="AI238" s="457">
        <f t="shared" si="44"/>
        <v>0</v>
      </c>
      <c r="AJ238" s="469">
        <f t="shared" si="45"/>
        <v>0</v>
      </c>
    </row>
    <row r="239" spans="2:36" ht="15" hidden="1" customHeight="1">
      <c r="B239" s="1037">
        <f>SUBTOTAL(3,$I$225:I239)</f>
        <v>0</v>
      </c>
      <c r="C239" s="1037">
        <f t="shared" si="39"/>
        <v>0</v>
      </c>
      <c r="D239" s="1013" t="str">
        <f t="shared" si="37"/>
        <v xml:space="preserve"> </v>
      </c>
      <c r="E239" s="1013" t="str">
        <f t="shared" si="38"/>
        <v xml:space="preserve"> </v>
      </c>
      <c r="F239" s="1250" t="str">
        <f t="shared" si="40"/>
        <v>не требуется</v>
      </c>
      <c r="G239" s="1250"/>
      <c r="H239" s="1250"/>
      <c r="I239" s="1013">
        <f t="shared" si="41"/>
        <v>0</v>
      </c>
      <c r="J239" s="376"/>
      <c r="K239" s="376"/>
      <c r="L239" s="376"/>
      <c r="N239" s="1032">
        <f t="shared" si="32"/>
        <v>0</v>
      </c>
      <c r="Q239" s="169"/>
      <c r="T239" s="169"/>
      <c r="Y239" s="475">
        <f t="shared" si="46"/>
        <v>0</v>
      </c>
      <c r="Z239" s="573">
        <f t="shared" si="49"/>
        <v>0</v>
      </c>
      <c r="AA239" s="573">
        <f t="shared" si="47"/>
        <v>0</v>
      </c>
      <c r="AB239" s="573">
        <f t="shared" si="50"/>
        <v>0</v>
      </c>
      <c r="AC239" s="573">
        <f t="shared" si="48"/>
        <v>0</v>
      </c>
      <c r="AD239" s="457">
        <f t="shared" si="51"/>
        <v>0</v>
      </c>
      <c r="AE239" s="1"/>
      <c r="AF239" s="472">
        <v>120</v>
      </c>
      <c r="AG239" s="475">
        <f t="shared" si="42"/>
        <v>0</v>
      </c>
      <c r="AH239" s="573">
        <f t="shared" si="43"/>
        <v>0</v>
      </c>
      <c r="AI239" s="457">
        <f t="shared" si="44"/>
        <v>0</v>
      </c>
      <c r="AJ239" s="469">
        <f t="shared" si="45"/>
        <v>0</v>
      </c>
    </row>
    <row r="240" spans="2:36" ht="15" hidden="1" customHeight="1">
      <c r="B240" s="1037">
        <f>SUBTOTAL(3,$I$225:I240)</f>
        <v>0</v>
      </c>
      <c r="C240" s="1037">
        <f t="shared" si="39"/>
        <v>0</v>
      </c>
      <c r="D240" s="1013" t="str">
        <f t="shared" si="37"/>
        <v xml:space="preserve"> </v>
      </c>
      <c r="E240" s="1013" t="str">
        <f t="shared" si="38"/>
        <v xml:space="preserve"> </v>
      </c>
      <c r="F240" s="1250" t="str">
        <f t="shared" si="40"/>
        <v>не требуется</v>
      </c>
      <c r="G240" s="1250"/>
      <c r="H240" s="1250"/>
      <c r="I240" s="1013">
        <f t="shared" si="41"/>
        <v>0</v>
      </c>
      <c r="J240" s="376"/>
      <c r="K240" s="376"/>
      <c r="L240" s="376"/>
      <c r="N240" s="1032">
        <f t="shared" si="32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6"/>
        <v>0</v>
      </c>
      <c r="Z240" s="573">
        <f t="shared" si="49"/>
        <v>0</v>
      </c>
      <c r="AA240" s="573">
        <f t="shared" si="47"/>
        <v>0</v>
      </c>
      <c r="AB240" s="573">
        <f t="shared" si="50"/>
        <v>0</v>
      </c>
      <c r="AC240" s="573">
        <f t="shared" si="48"/>
        <v>0</v>
      </c>
      <c r="AD240" s="457">
        <f t="shared" si="51"/>
        <v>0</v>
      </c>
      <c r="AE240" s="1"/>
      <c r="AF240" s="472">
        <v>130</v>
      </c>
      <c r="AG240" s="475">
        <f t="shared" si="42"/>
        <v>0</v>
      </c>
      <c r="AH240" s="573">
        <f t="shared" si="43"/>
        <v>0</v>
      </c>
      <c r="AI240" s="457">
        <f t="shared" si="44"/>
        <v>0</v>
      </c>
      <c r="AJ240" s="469">
        <f t="shared" si="45"/>
        <v>0</v>
      </c>
    </row>
    <row r="241" spans="2:36" ht="15" hidden="1" customHeight="1">
      <c r="B241" s="1037">
        <f>SUBTOTAL(3,$I$225:I241)</f>
        <v>0</v>
      </c>
      <c r="C241" s="1037">
        <f t="shared" si="39"/>
        <v>0</v>
      </c>
      <c r="D241" s="1013" t="str">
        <f t="shared" si="37"/>
        <v xml:space="preserve"> </v>
      </c>
      <c r="E241" s="1013" t="str">
        <f t="shared" si="38"/>
        <v xml:space="preserve"> </v>
      </c>
      <c r="F241" s="1250" t="str">
        <f t="shared" si="40"/>
        <v>не требуется</v>
      </c>
      <c r="G241" s="1250"/>
      <c r="H241" s="1250"/>
      <c r="I241" s="1013">
        <f t="shared" si="41"/>
        <v>0</v>
      </c>
      <c r="J241" s="376"/>
      <c r="K241" s="376"/>
      <c r="L241" s="376"/>
      <c r="N241" s="1032">
        <f t="shared" si="32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6"/>
        <v>0</v>
      </c>
      <c r="Z241" s="573">
        <f t="shared" si="49"/>
        <v>0</v>
      </c>
      <c r="AA241" s="573">
        <f t="shared" si="47"/>
        <v>0</v>
      </c>
      <c r="AB241" s="573">
        <f t="shared" si="50"/>
        <v>0</v>
      </c>
      <c r="AC241" s="573">
        <f t="shared" si="48"/>
        <v>0</v>
      </c>
      <c r="AD241" s="457">
        <f t="shared" si="51"/>
        <v>0</v>
      </c>
      <c r="AE241" s="1"/>
      <c r="AF241" s="472">
        <v>140</v>
      </c>
      <c r="AG241" s="475">
        <f t="shared" si="42"/>
        <v>0</v>
      </c>
      <c r="AH241" s="573">
        <f t="shared" si="43"/>
        <v>0</v>
      </c>
      <c r="AI241" s="457">
        <f t="shared" si="44"/>
        <v>0</v>
      </c>
      <c r="AJ241" s="469">
        <f t="shared" si="45"/>
        <v>0</v>
      </c>
    </row>
    <row r="242" spans="2:36" ht="15" hidden="1" customHeight="1">
      <c r="B242" s="1037">
        <f>SUBTOTAL(3,$I$225:I242)</f>
        <v>0</v>
      </c>
      <c r="C242" s="1037">
        <f t="shared" si="39"/>
        <v>0</v>
      </c>
      <c r="D242" s="1013" t="str">
        <f t="shared" si="37"/>
        <v xml:space="preserve"> </v>
      </c>
      <c r="E242" s="1013" t="str">
        <f t="shared" si="38"/>
        <v xml:space="preserve"> </v>
      </c>
      <c r="F242" s="1250" t="str">
        <f t="shared" si="40"/>
        <v>не требуется</v>
      </c>
      <c r="G242" s="1250"/>
      <c r="H242" s="1250"/>
      <c r="I242" s="1013">
        <f t="shared" si="41"/>
        <v>0</v>
      </c>
      <c r="J242" s="376"/>
      <c r="K242" s="376"/>
      <c r="L242" s="376"/>
      <c r="N242" s="1032">
        <f t="shared" si="32"/>
        <v>0</v>
      </c>
      <c r="P242" s="573"/>
      <c r="Q242" s="573"/>
      <c r="S242" s="573"/>
      <c r="T242" s="573"/>
      <c r="V242" s="573"/>
      <c r="W242" s="573"/>
      <c r="Y242" s="475">
        <f t="shared" si="46"/>
        <v>0</v>
      </c>
      <c r="Z242" s="573">
        <f t="shared" si="49"/>
        <v>0</v>
      </c>
      <c r="AA242" s="573">
        <f t="shared" si="47"/>
        <v>0</v>
      </c>
      <c r="AB242" s="573">
        <f t="shared" si="50"/>
        <v>0</v>
      </c>
      <c r="AC242" s="573">
        <f t="shared" si="48"/>
        <v>0</v>
      </c>
      <c r="AD242" s="457">
        <f t="shared" si="51"/>
        <v>0</v>
      </c>
      <c r="AE242" s="1"/>
      <c r="AF242" s="472">
        <v>150</v>
      </c>
      <c r="AG242" s="475">
        <f t="shared" si="42"/>
        <v>0</v>
      </c>
      <c r="AH242" s="573">
        <f t="shared" si="43"/>
        <v>0</v>
      </c>
      <c r="AI242" s="457">
        <f t="shared" si="44"/>
        <v>0</v>
      </c>
      <c r="AJ242" s="469">
        <f t="shared" si="45"/>
        <v>0</v>
      </c>
    </row>
    <row r="243" spans="2:36" ht="15" hidden="1" customHeight="1">
      <c r="B243" s="1037">
        <f>SUBTOTAL(3,$I$225:I243)</f>
        <v>0</v>
      </c>
      <c r="C243" s="1037">
        <f t="shared" si="39"/>
        <v>0</v>
      </c>
      <c r="D243" s="1013" t="str">
        <f t="shared" si="37"/>
        <v xml:space="preserve"> </v>
      </c>
      <c r="E243" s="1013" t="str">
        <f t="shared" si="38"/>
        <v xml:space="preserve"> </v>
      </c>
      <c r="F243" s="1250" t="str">
        <f t="shared" si="40"/>
        <v>не требуется</v>
      </c>
      <c r="G243" s="1250"/>
      <c r="H243" s="1250"/>
      <c r="I243" s="1013">
        <f t="shared" si="41"/>
        <v>0</v>
      </c>
      <c r="J243" s="376"/>
      <c r="K243" s="376"/>
      <c r="L243" s="376"/>
      <c r="N243" s="1032">
        <f t="shared" si="32"/>
        <v>0</v>
      </c>
      <c r="P243" s="524"/>
      <c r="Q243" s="524"/>
      <c r="S243" s="524"/>
      <c r="T243" s="524"/>
      <c r="V243" s="524"/>
      <c r="W243" s="524"/>
      <c r="Y243" s="475">
        <f t="shared" si="46"/>
        <v>0</v>
      </c>
      <c r="Z243" s="573">
        <f t="shared" si="49"/>
        <v>0</v>
      </c>
      <c r="AA243" s="573">
        <f t="shared" si="47"/>
        <v>0</v>
      </c>
      <c r="AB243" s="573">
        <f t="shared" si="50"/>
        <v>0</v>
      </c>
      <c r="AC243" s="573">
        <f t="shared" si="48"/>
        <v>0</v>
      </c>
      <c r="AD243" s="457">
        <f t="shared" si="51"/>
        <v>0</v>
      </c>
      <c r="AE243" s="1"/>
      <c r="AF243" s="472">
        <v>160</v>
      </c>
      <c r="AG243" s="475">
        <f t="shared" si="42"/>
        <v>0</v>
      </c>
      <c r="AH243" s="573">
        <f t="shared" si="43"/>
        <v>0</v>
      </c>
      <c r="AI243" s="457">
        <f t="shared" si="44"/>
        <v>0</v>
      </c>
      <c r="AJ243" s="469">
        <f t="shared" si="45"/>
        <v>0</v>
      </c>
    </row>
    <row r="244" spans="2:36" ht="15" hidden="1" customHeight="1">
      <c r="B244" s="1037">
        <f>SUBTOTAL(3,$I$225:I244)</f>
        <v>0</v>
      </c>
      <c r="C244" s="1037">
        <f t="shared" si="39"/>
        <v>0</v>
      </c>
      <c r="D244" s="1013" t="str">
        <f t="shared" si="37"/>
        <v xml:space="preserve"> </v>
      </c>
      <c r="E244" s="1013" t="str">
        <f t="shared" si="38"/>
        <v xml:space="preserve"> </v>
      </c>
      <c r="F244" s="1250" t="str">
        <f t="shared" si="40"/>
        <v>не требуется</v>
      </c>
      <c r="G244" s="1250"/>
      <c r="H244" s="1250"/>
      <c r="I244" s="1013">
        <f t="shared" si="41"/>
        <v>0</v>
      </c>
      <c r="J244" s="376"/>
      <c r="K244" s="376"/>
      <c r="L244" s="376"/>
      <c r="N244" s="1032">
        <f t="shared" si="32"/>
        <v>0</v>
      </c>
      <c r="P244" s="573"/>
      <c r="Q244" s="573"/>
      <c r="S244" s="573"/>
      <c r="T244" s="573"/>
      <c r="V244" s="573"/>
      <c r="W244" s="573"/>
      <c r="Y244" s="475">
        <f t="shared" si="46"/>
        <v>0</v>
      </c>
      <c r="Z244" s="573">
        <f t="shared" si="49"/>
        <v>0</v>
      </c>
      <c r="AA244" s="573">
        <f t="shared" si="47"/>
        <v>0</v>
      </c>
      <c r="AB244" s="573">
        <f t="shared" si="50"/>
        <v>0</v>
      </c>
      <c r="AC244" s="573">
        <f t="shared" si="48"/>
        <v>0</v>
      </c>
      <c r="AD244" s="457">
        <f t="shared" si="51"/>
        <v>0</v>
      </c>
      <c r="AE244" s="1"/>
      <c r="AF244" s="472">
        <v>170</v>
      </c>
      <c r="AG244" s="475">
        <f t="shared" si="42"/>
        <v>0</v>
      </c>
      <c r="AH244" s="573">
        <f t="shared" si="43"/>
        <v>0</v>
      </c>
      <c r="AI244" s="457">
        <f t="shared" si="44"/>
        <v>0</v>
      </c>
      <c r="AJ244" s="469">
        <f t="shared" si="45"/>
        <v>0</v>
      </c>
    </row>
    <row r="245" spans="2:36" ht="15" hidden="1" customHeight="1">
      <c r="B245" s="1037">
        <f>SUBTOTAL(3,$I$225:I245)</f>
        <v>0</v>
      </c>
      <c r="C245" s="1037">
        <f t="shared" si="39"/>
        <v>0</v>
      </c>
      <c r="D245" s="1013" t="str">
        <f t="shared" si="37"/>
        <v xml:space="preserve"> </v>
      </c>
      <c r="E245" s="1013" t="str">
        <f t="shared" si="38"/>
        <v xml:space="preserve"> </v>
      </c>
      <c r="F245" s="1250" t="str">
        <f t="shared" si="40"/>
        <v>не требуется</v>
      </c>
      <c r="G245" s="1250"/>
      <c r="H245" s="1250"/>
      <c r="I245" s="1013">
        <f t="shared" si="41"/>
        <v>0</v>
      </c>
      <c r="J245" s="376"/>
      <c r="K245" s="376"/>
      <c r="L245" s="376"/>
      <c r="N245" s="1032">
        <f t="shared" si="32"/>
        <v>0</v>
      </c>
      <c r="P245" s="524"/>
      <c r="Q245" s="573"/>
      <c r="S245" s="573"/>
      <c r="T245" s="573"/>
      <c r="V245" s="524"/>
      <c r="W245" s="573"/>
      <c r="Y245" s="475">
        <f t="shared" si="46"/>
        <v>0</v>
      </c>
      <c r="Z245" s="573">
        <f t="shared" si="49"/>
        <v>0</v>
      </c>
      <c r="AA245" s="573">
        <f t="shared" si="47"/>
        <v>0</v>
      </c>
      <c r="AB245" s="573">
        <f t="shared" si="50"/>
        <v>0</v>
      </c>
      <c r="AC245" s="573">
        <f t="shared" si="48"/>
        <v>0</v>
      </c>
      <c r="AD245" s="457">
        <f t="shared" si="51"/>
        <v>0</v>
      </c>
      <c r="AE245" s="1"/>
      <c r="AF245" s="472">
        <v>180</v>
      </c>
      <c r="AG245" s="475">
        <f t="shared" si="42"/>
        <v>0</v>
      </c>
      <c r="AH245" s="573">
        <f t="shared" si="43"/>
        <v>0</v>
      </c>
      <c r="AI245" s="457">
        <f t="shared" si="44"/>
        <v>0</v>
      </c>
      <c r="AJ245" s="469">
        <f t="shared" si="45"/>
        <v>0</v>
      </c>
    </row>
    <row r="246" spans="2:36" ht="15" hidden="1" customHeight="1">
      <c r="B246" s="1037">
        <f>SUBTOTAL(3,$I$225:I246)</f>
        <v>0</v>
      </c>
      <c r="C246" s="1037">
        <f t="shared" si="39"/>
        <v>0</v>
      </c>
      <c r="D246" s="1013" t="str">
        <f t="shared" si="37"/>
        <v xml:space="preserve"> </v>
      </c>
      <c r="E246" s="1013" t="str">
        <f t="shared" si="38"/>
        <v xml:space="preserve"> </v>
      </c>
      <c r="F246" s="1250" t="str">
        <f t="shared" si="40"/>
        <v>не требуется</v>
      </c>
      <c r="G246" s="1250"/>
      <c r="H246" s="1250"/>
      <c r="I246" s="1013">
        <f t="shared" si="41"/>
        <v>0</v>
      </c>
      <c r="J246" s="376"/>
      <c r="K246" s="376"/>
      <c r="L246" s="376"/>
      <c r="N246" s="1032">
        <f t="shared" si="32"/>
        <v>0</v>
      </c>
      <c r="P246" s="573"/>
      <c r="Q246" s="573"/>
      <c r="S246" s="573"/>
      <c r="T246" s="573"/>
      <c r="V246" s="573"/>
      <c r="W246" s="573"/>
      <c r="Y246" s="475">
        <f t="shared" si="46"/>
        <v>0</v>
      </c>
      <c r="Z246" s="573">
        <f t="shared" si="49"/>
        <v>0</v>
      </c>
      <c r="AA246" s="573">
        <f t="shared" si="47"/>
        <v>0</v>
      </c>
      <c r="AB246" s="573">
        <f t="shared" si="50"/>
        <v>0</v>
      </c>
      <c r="AC246" s="573">
        <f t="shared" si="48"/>
        <v>0</v>
      </c>
      <c r="AD246" s="457">
        <f t="shared" si="51"/>
        <v>0</v>
      </c>
      <c r="AE246" s="1"/>
      <c r="AF246" s="472">
        <v>190</v>
      </c>
      <c r="AG246" s="475">
        <f t="shared" si="42"/>
        <v>0</v>
      </c>
      <c r="AH246" s="573">
        <f t="shared" si="43"/>
        <v>0</v>
      </c>
      <c r="AI246" s="457">
        <f t="shared" si="44"/>
        <v>0</v>
      </c>
      <c r="AJ246" s="469">
        <f t="shared" si="45"/>
        <v>0</v>
      </c>
    </row>
    <row r="247" spans="2:36" ht="15" hidden="1" customHeight="1">
      <c r="B247" s="1037">
        <f>SUBTOTAL(3,$I$225:I247)</f>
        <v>0</v>
      </c>
      <c r="C247" s="1037">
        <f t="shared" si="39"/>
        <v>0</v>
      </c>
      <c r="D247" s="1013" t="str">
        <f t="shared" si="37"/>
        <v xml:space="preserve"> </v>
      </c>
      <c r="E247" s="1013" t="str">
        <f t="shared" si="38"/>
        <v xml:space="preserve"> </v>
      </c>
      <c r="F247" s="1250" t="str">
        <f t="shared" si="40"/>
        <v>не требуется</v>
      </c>
      <c r="G247" s="1250"/>
      <c r="H247" s="1250"/>
      <c r="I247" s="1013">
        <f t="shared" si="41"/>
        <v>0</v>
      </c>
      <c r="J247" s="376"/>
      <c r="K247" s="376"/>
      <c r="L247" s="376"/>
      <c r="N247" s="1032">
        <f t="shared" si="32"/>
        <v>0</v>
      </c>
      <c r="P247" s="524"/>
      <c r="Q247" s="573"/>
      <c r="S247" s="573"/>
      <c r="T247" s="573"/>
      <c r="V247" s="524"/>
      <c r="W247" s="573"/>
      <c r="Y247" s="475">
        <f t="shared" si="46"/>
        <v>0</v>
      </c>
      <c r="Z247" s="573">
        <f t="shared" si="49"/>
        <v>0</v>
      </c>
      <c r="AA247" s="573">
        <f t="shared" si="47"/>
        <v>0</v>
      </c>
      <c r="AB247" s="573">
        <f t="shared" si="50"/>
        <v>0</v>
      </c>
      <c r="AC247" s="573">
        <f t="shared" si="48"/>
        <v>0</v>
      </c>
      <c r="AD247" s="457">
        <f t="shared" si="51"/>
        <v>0</v>
      </c>
      <c r="AE247" s="1"/>
      <c r="AF247" s="472">
        <v>200</v>
      </c>
      <c r="AG247" s="475">
        <f t="shared" si="42"/>
        <v>0</v>
      </c>
      <c r="AH247" s="573">
        <f t="shared" si="43"/>
        <v>0</v>
      </c>
      <c r="AI247" s="457">
        <f t="shared" si="44"/>
        <v>0</v>
      </c>
      <c r="AJ247" s="469">
        <f t="shared" si="45"/>
        <v>0</v>
      </c>
    </row>
    <row r="248" spans="2:36" ht="15" hidden="1" customHeight="1">
      <c r="B248" s="1037">
        <f>SUBTOTAL(3,$I$225:I248)</f>
        <v>0</v>
      </c>
      <c r="C248" s="1037">
        <f t="shared" si="39"/>
        <v>0</v>
      </c>
      <c r="D248" s="1013" t="str">
        <f t="shared" si="37"/>
        <v xml:space="preserve"> </v>
      </c>
      <c r="E248" s="1013" t="str">
        <f t="shared" si="38"/>
        <v xml:space="preserve"> </v>
      </c>
      <c r="F248" s="1250" t="str">
        <f t="shared" si="40"/>
        <v>не требуется</v>
      </c>
      <c r="G248" s="1250"/>
      <c r="H248" s="1250"/>
      <c r="I248" s="1013">
        <f t="shared" si="41"/>
        <v>0</v>
      </c>
      <c r="J248" s="376"/>
      <c r="K248" s="376"/>
      <c r="L248" s="376"/>
      <c r="N248" s="1032">
        <f t="shared" si="32"/>
        <v>0</v>
      </c>
      <c r="P248" s="573"/>
      <c r="Q248" s="573"/>
      <c r="S248" s="573"/>
      <c r="T248" s="573"/>
      <c r="V248" s="573"/>
      <c r="W248" s="573"/>
      <c r="Y248" s="475">
        <f t="shared" si="46"/>
        <v>0</v>
      </c>
      <c r="Z248" s="573">
        <f t="shared" si="49"/>
        <v>0</v>
      </c>
      <c r="AA248" s="573">
        <f t="shared" si="47"/>
        <v>0</v>
      </c>
      <c r="AB248" s="573">
        <f t="shared" si="50"/>
        <v>0</v>
      </c>
      <c r="AC248" s="573">
        <f t="shared" si="48"/>
        <v>0</v>
      </c>
      <c r="AD248" s="457">
        <f t="shared" si="51"/>
        <v>0</v>
      </c>
      <c r="AE248" s="1"/>
      <c r="AF248" s="472">
        <v>210</v>
      </c>
      <c r="AG248" s="475">
        <f t="shared" si="42"/>
        <v>0</v>
      </c>
      <c r="AH248" s="573">
        <f t="shared" si="43"/>
        <v>0</v>
      </c>
      <c r="AI248" s="457">
        <f t="shared" si="44"/>
        <v>0</v>
      </c>
      <c r="AJ248" s="469">
        <f t="shared" si="45"/>
        <v>0</v>
      </c>
    </row>
    <row r="249" spans="2:36" ht="15" hidden="1" customHeight="1">
      <c r="B249" s="1037">
        <f>SUBTOTAL(3,$I$225:I249)</f>
        <v>0</v>
      </c>
      <c r="C249" s="1037">
        <f t="shared" si="39"/>
        <v>0</v>
      </c>
      <c r="D249" s="1013" t="str">
        <f t="shared" si="37"/>
        <v xml:space="preserve"> </v>
      </c>
      <c r="E249" s="1013" t="str">
        <f t="shared" si="38"/>
        <v xml:space="preserve"> </v>
      </c>
      <c r="F249" s="1250" t="str">
        <f t="shared" si="40"/>
        <v>не требуется</v>
      </c>
      <c r="G249" s="1250"/>
      <c r="H249" s="1250"/>
      <c r="I249" s="1013">
        <f t="shared" si="41"/>
        <v>0</v>
      </c>
      <c r="J249" s="376"/>
      <c r="K249" s="376"/>
      <c r="L249" s="376"/>
      <c r="N249" s="1032">
        <f t="shared" si="32"/>
        <v>0</v>
      </c>
      <c r="P249" s="524"/>
      <c r="Q249" s="573"/>
      <c r="S249" s="573"/>
      <c r="T249" s="573"/>
      <c r="V249" s="524"/>
      <c r="W249" s="573"/>
      <c r="Y249" s="475">
        <f t="shared" si="46"/>
        <v>0</v>
      </c>
      <c r="Z249" s="573">
        <f t="shared" si="49"/>
        <v>0</v>
      </c>
      <c r="AA249" s="573">
        <f t="shared" si="47"/>
        <v>0</v>
      </c>
      <c r="AB249" s="573">
        <f t="shared" si="50"/>
        <v>0</v>
      </c>
      <c r="AC249" s="573">
        <f t="shared" si="48"/>
        <v>0</v>
      </c>
      <c r="AD249" s="457">
        <f t="shared" si="51"/>
        <v>0</v>
      </c>
      <c r="AE249" s="1"/>
      <c r="AF249" s="472">
        <v>220</v>
      </c>
      <c r="AG249" s="475">
        <f t="shared" si="42"/>
        <v>0</v>
      </c>
      <c r="AH249" s="573">
        <f t="shared" si="43"/>
        <v>0</v>
      </c>
      <c r="AI249" s="457">
        <f t="shared" si="44"/>
        <v>0</v>
      </c>
      <c r="AJ249" s="469">
        <f t="shared" si="45"/>
        <v>0</v>
      </c>
    </row>
    <row r="250" spans="2:36" ht="15" hidden="1" customHeight="1">
      <c r="B250" s="1037">
        <f>SUBTOTAL(3,$I$225:I250)</f>
        <v>0</v>
      </c>
      <c r="C250" s="1037">
        <f t="shared" si="39"/>
        <v>0</v>
      </c>
      <c r="D250" s="1013" t="str">
        <f t="shared" si="37"/>
        <v xml:space="preserve"> </v>
      </c>
      <c r="E250" s="1013" t="str">
        <f t="shared" si="38"/>
        <v xml:space="preserve"> </v>
      </c>
      <c r="F250" s="1250" t="str">
        <f t="shared" si="40"/>
        <v>не требуется</v>
      </c>
      <c r="G250" s="1250"/>
      <c r="H250" s="1250"/>
      <c r="I250" s="1013">
        <f t="shared" si="41"/>
        <v>0</v>
      </c>
      <c r="J250" s="376"/>
      <c r="K250" s="376"/>
      <c r="L250" s="376"/>
      <c r="N250" s="1032">
        <f t="shared" si="32"/>
        <v>0</v>
      </c>
      <c r="P250" s="573"/>
      <c r="Q250" s="573"/>
      <c r="S250" s="573"/>
      <c r="T250" s="573"/>
      <c r="V250" s="573"/>
      <c r="W250" s="573"/>
      <c r="Y250" s="475">
        <f t="shared" si="46"/>
        <v>0</v>
      </c>
      <c r="Z250" s="573">
        <f t="shared" si="49"/>
        <v>0</v>
      </c>
      <c r="AA250" s="573">
        <f t="shared" si="47"/>
        <v>0</v>
      </c>
      <c r="AB250" s="573">
        <f t="shared" si="50"/>
        <v>0</v>
      </c>
      <c r="AC250" s="573">
        <f t="shared" si="48"/>
        <v>0</v>
      </c>
      <c r="AD250" s="457">
        <f t="shared" si="51"/>
        <v>0</v>
      </c>
      <c r="AE250" s="1"/>
      <c r="AF250" s="472">
        <v>230</v>
      </c>
      <c r="AG250" s="475">
        <f t="shared" si="42"/>
        <v>0</v>
      </c>
      <c r="AH250" s="573">
        <f t="shared" si="43"/>
        <v>0</v>
      </c>
      <c r="AI250" s="457">
        <f t="shared" si="44"/>
        <v>0</v>
      </c>
      <c r="AJ250" s="469">
        <f t="shared" si="45"/>
        <v>0</v>
      </c>
    </row>
    <row r="251" spans="2:36" ht="15" hidden="1" customHeight="1">
      <c r="B251" s="1037">
        <f>SUBTOTAL(3,$I$225:I251)</f>
        <v>0</v>
      </c>
      <c r="C251" s="1037">
        <f t="shared" si="39"/>
        <v>0</v>
      </c>
      <c r="D251" s="1013" t="str">
        <f t="shared" si="37"/>
        <v xml:space="preserve"> </v>
      </c>
      <c r="E251" s="1013" t="str">
        <f t="shared" si="38"/>
        <v xml:space="preserve"> </v>
      </c>
      <c r="F251" s="1250" t="str">
        <f t="shared" si="40"/>
        <v>не требуется</v>
      </c>
      <c r="G251" s="1250"/>
      <c r="H251" s="1250"/>
      <c r="I251" s="1013">
        <f t="shared" si="41"/>
        <v>0</v>
      </c>
      <c r="J251" s="376"/>
      <c r="K251" s="376"/>
      <c r="L251" s="376"/>
      <c r="N251" s="1032">
        <f t="shared" si="32"/>
        <v>0</v>
      </c>
      <c r="P251" s="573"/>
      <c r="Q251" s="573"/>
      <c r="S251" s="573"/>
      <c r="T251" s="573"/>
      <c r="V251" s="524"/>
      <c r="W251" s="573"/>
      <c r="Y251" s="475">
        <f t="shared" si="46"/>
        <v>0</v>
      </c>
      <c r="Z251" s="573">
        <f t="shared" si="49"/>
        <v>0</v>
      </c>
      <c r="AA251" s="573">
        <f t="shared" si="47"/>
        <v>0</v>
      </c>
      <c r="AB251" s="573">
        <f t="shared" si="50"/>
        <v>0</v>
      </c>
      <c r="AC251" s="573">
        <f t="shared" si="48"/>
        <v>0</v>
      </c>
      <c r="AD251" s="457">
        <f t="shared" si="51"/>
        <v>0</v>
      </c>
      <c r="AE251" s="1"/>
      <c r="AF251" s="472">
        <v>240</v>
      </c>
      <c r="AG251" s="475">
        <f t="shared" si="42"/>
        <v>0</v>
      </c>
      <c r="AH251" s="573">
        <f t="shared" si="43"/>
        <v>0</v>
      </c>
      <c r="AI251" s="457">
        <f t="shared" si="44"/>
        <v>0</v>
      </c>
      <c r="AJ251" s="469">
        <f t="shared" si="45"/>
        <v>0</v>
      </c>
    </row>
    <row r="252" spans="2:36" ht="15" hidden="1" customHeight="1">
      <c r="B252" s="1037">
        <f>SUBTOTAL(3,$I$225:I252)</f>
        <v>0</v>
      </c>
      <c r="C252" s="1037">
        <f t="shared" si="39"/>
        <v>0</v>
      </c>
      <c r="D252" s="1013" t="str">
        <f t="shared" si="37"/>
        <v xml:space="preserve"> </v>
      </c>
      <c r="E252" s="1013" t="str">
        <f t="shared" si="38"/>
        <v xml:space="preserve"> </v>
      </c>
      <c r="F252" s="1250" t="str">
        <f t="shared" si="40"/>
        <v>не требуется</v>
      </c>
      <c r="G252" s="1250"/>
      <c r="H252" s="1250"/>
      <c r="I252" s="1013">
        <f t="shared" si="41"/>
        <v>0</v>
      </c>
      <c r="J252" s="376"/>
      <c r="K252" s="376"/>
      <c r="L252" s="376"/>
      <c r="N252" s="1032">
        <f t="shared" si="32"/>
        <v>0</v>
      </c>
      <c r="P252" s="573"/>
      <c r="Q252" s="573"/>
      <c r="S252" s="573"/>
      <c r="T252" s="573"/>
      <c r="V252" s="573"/>
      <c r="W252" s="573"/>
      <c r="Y252" s="475">
        <f t="shared" si="46"/>
        <v>0</v>
      </c>
      <c r="Z252" s="573">
        <f t="shared" si="49"/>
        <v>0</v>
      </c>
      <c r="AA252" s="573">
        <f t="shared" si="47"/>
        <v>0</v>
      </c>
      <c r="AB252" s="573">
        <f t="shared" si="50"/>
        <v>0</v>
      </c>
      <c r="AC252" s="573">
        <f t="shared" si="48"/>
        <v>0</v>
      </c>
      <c r="AD252" s="457">
        <f t="shared" si="51"/>
        <v>0</v>
      </c>
      <c r="AE252" s="1"/>
      <c r="AF252" s="472">
        <v>250</v>
      </c>
      <c r="AG252" s="475">
        <f t="shared" si="42"/>
        <v>0</v>
      </c>
      <c r="AH252" s="573">
        <f t="shared" si="43"/>
        <v>0</v>
      </c>
      <c r="AI252" s="457">
        <f t="shared" si="44"/>
        <v>0</v>
      </c>
      <c r="AJ252" s="469">
        <f t="shared" si="45"/>
        <v>0</v>
      </c>
    </row>
    <row r="253" spans="2:36" ht="15" hidden="1" customHeight="1">
      <c r="B253" s="1037">
        <f>SUBTOTAL(3,$I$225:I253)</f>
        <v>0</v>
      </c>
      <c r="C253" s="1037">
        <f t="shared" si="39"/>
        <v>0</v>
      </c>
      <c r="D253" s="1013" t="str">
        <f t="shared" si="37"/>
        <v xml:space="preserve"> </v>
      </c>
      <c r="E253" s="1013" t="str">
        <f t="shared" si="38"/>
        <v xml:space="preserve"> </v>
      </c>
      <c r="F253" s="1250" t="str">
        <f t="shared" si="40"/>
        <v>не требуется</v>
      </c>
      <c r="G253" s="1250"/>
      <c r="H253" s="1250"/>
      <c r="I253" s="1013">
        <f t="shared" si="41"/>
        <v>0</v>
      </c>
      <c r="J253" s="376"/>
      <c r="K253" s="376"/>
      <c r="L253" s="376"/>
      <c r="N253" s="1032">
        <f t="shared" si="32"/>
        <v>0</v>
      </c>
      <c r="P253" s="573"/>
      <c r="Q253" s="573"/>
      <c r="S253" s="573"/>
      <c r="T253" s="573"/>
      <c r="V253" s="524"/>
      <c r="W253" s="573"/>
      <c r="Y253" s="475">
        <f t="shared" si="46"/>
        <v>0</v>
      </c>
      <c r="Z253" s="573">
        <f t="shared" si="49"/>
        <v>0</v>
      </c>
      <c r="AA253" s="573">
        <f t="shared" si="47"/>
        <v>0</v>
      </c>
      <c r="AB253" s="573">
        <f t="shared" si="50"/>
        <v>0</v>
      </c>
      <c r="AC253" s="573">
        <f t="shared" si="48"/>
        <v>0</v>
      </c>
      <c r="AD253" s="457">
        <f t="shared" si="51"/>
        <v>0</v>
      </c>
      <c r="AE253" s="1"/>
      <c r="AF253" s="472">
        <v>260</v>
      </c>
      <c r="AG253" s="475">
        <f t="shared" si="42"/>
        <v>0</v>
      </c>
      <c r="AH253" s="573">
        <f>SUMIF($AA$233:$AA$285,AF253,$AB$233:$AB$285)</f>
        <v>0</v>
      </c>
      <c r="AI253" s="457">
        <f t="shared" si="44"/>
        <v>0</v>
      </c>
      <c r="AJ253" s="469">
        <f t="shared" si="45"/>
        <v>0</v>
      </c>
    </row>
    <row r="254" spans="2:36" ht="15" hidden="1" customHeight="1">
      <c r="B254" s="1037">
        <f>SUBTOTAL(3,$I$225:I254)</f>
        <v>0</v>
      </c>
      <c r="C254" s="1037">
        <f t="shared" si="39"/>
        <v>0</v>
      </c>
      <c r="D254" s="1013" t="str">
        <f t="shared" si="37"/>
        <v xml:space="preserve"> </v>
      </c>
      <c r="E254" s="1013" t="str">
        <f t="shared" si="38"/>
        <v xml:space="preserve"> </v>
      </c>
      <c r="F254" s="1250" t="str">
        <f t="shared" si="40"/>
        <v>не требуется</v>
      </c>
      <c r="G254" s="1250"/>
      <c r="H254" s="1250"/>
      <c r="I254" s="1013">
        <f t="shared" si="41"/>
        <v>0</v>
      </c>
      <c r="J254" s="376"/>
      <c r="K254" s="376"/>
      <c r="L254" s="376"/>
      <c r="N254" s="1032">
        <f t="shared" si="32"/>
        <v>0</v>
      </c>
      <c r="P254" s="573"/>
      <c r="Q254" s="573"/>
      <c r="S254" s="573"/>
      <c r="T254" s="573"/>
      <c r="V254" s="573"/>
      <c r="W254" s="573"/>
      <c r="Y254" s="475">
        <f t="shared" si="46"/>
        <v>0</v>
      </c>
      <c r="Z254" s="573">
        <f t="shared" si="49"/>
        <v>0</v>
      </c>
      <c r="AA254" s="573">
        <f t="shared" si="47"/>
        <v>0</v>
      </c>
      <c r="AB254" s="573">
        <f t="shared" si="50"/>
        <v>0</v>
      </c>
      <c r="AC254" s="573">
        <f t="shared" si="48"/>
        <v>0</v>
      </c>
      <c r="AD254" s="457">
        <f t="shared" si="51"/>
        <v>0</v>
      </c>
      <c r="AE254" s="1"/>
      <c r="AF254" s="472">
        <v>270</v>
      </c>
      <c r="AG254" s="475">
        <f t="shared" si="42"/>
        <v>0</v>
      </c>
      <c r="AH254" s="573">
        <f t="shared" si="43"/>
        <v>0</v>
      </c>
      <c r="AI254" s="457">
        <f t="shared" si="44"/>
        <v>0</v>
      </c>
      <c r="AJ254" s="469">
        <f t="shared" si="45"/>
        <v>0</v>
      </c>
    </row>
    <row r="255" spans="2:36" ht="15" hidden="1" customHeight="1">
      <c r="B255" s="1037">
        <f>SUBTOTAL(3,$I$225:I255)</f>
        <v>0</v>
      </c>
      <c r="C255" s="1037">
        <f t="shared" si="39"/>
        <v>0</v>
      </c>
      <c r="D255" s="1013" t="str">
        <f t="shared" si="37"/>
        <v xml:space="preserve"> </v>
      </c>
      <c r="E255" s="1013" t="str">
        <f t="shared" si="38"/>
        <v xml:space="preserve"> </v>
      </c>
      <c r="F255" s="1250" t="str">
        <f t="shared" si="40"/>
        <v>не требуется</v>
      </c>
      <c r="G255" s="1250"/>
      <c r="H255" s="1250"/>
      <c r="I255" s="1013">
        <f t="shared" si="41"/>
        <v>0</v>
      </c>
      <c r="J255" s="376"/>
      <c r="K255" s="376"/>
      <c r="L255" s="376"/>
      <c r="N255" s="1032">
        <f t="shared" si="32"/>
        <v>0</v>
      </c>
      <c r="P255" s="573"/>
      <c r="Q255" s="573"/>
      <c r="S255" s="573"/>
      <c r="T255" s="573"/>
      <c r="V255" s="573"/>
      <c r="W255" s="573"/>
      <c r="Y255" s="475">
        <f t="shared" si="46"/>
        <v>0</v>
      </c>
      <c r="Z255" s="573">
        <f t="shared" si="49"/>
        <v>0</v>
      </c>
      <c r="AA255" s="573">
        <f t="shared" si="47"/>
        <v>0</v>
      </c>
      <c r="AB255" s="573">
        <f t="shared" si="50"/>
        <v>0</v>
      </c>
      <c r="AC255" s="573">
        <f t="shared" si="48"/>
        <v>0</v>
      </c>
      <c r="AD255" s="457">
        <f t="shared" si="51"/>
        <v>0</v>
      </c>
      <c r="AE255" s="1"/>
      <c r="AF255" s="472">
        <v>280</v>
      </c>
      <c r="AG255" s="475">
        <f t="shared" si="42"/>
        <v>0</v>
      </c>
      <c r="AH255" s="573">
        <f t="shared" si="43"/>
        <v>0</v>
      </c>
      <c r="AI255" s="457">
        <f t="shared" si="44"/>
        <v>0</v>
      </c>
      <c r="AJ255" s="469">
        <f t="shared" si="45"/>
        <v>0</v>
      </c>
    </row>
    <row r="256" spans="2:36" ht="15" hidden="1" customHeight="1">
      <c r="B256" s="1037">
        <f>SUBTOTAL(3,$I$225:I256)</f>
        <v>0</v>
      </c>
      <c r="C256" s="1037">
        <f t="shared" si="39"/>
        <v>0</v>
      </c>
      <c r="D256" s="1013" t="str">
        <f t="shared" si="37"/>
        <v xml:space="preserve"> </v>
      </c>
      <c r="E256" s="1013" t="str">
        <f t="shared" si="38"/>
        <v xml:space="preserve"> </v>
      </c>
      <c r="F256" s="1250" t="str">
        <f t="shared" si="40"/>
        <v>не требуется</v>
      </c>
      <c r="G256" s="1250"/>
      <c r="H256" s="1250"/>
      <c r="I256" s="1013">
        <f t="shared" si="41"/>
        <v>0</v>
      </c>
      <c r="J256" s="376"/>
      <c r="K256" s="376"/>
      <c r="L256" s="376"/>
      <c r="N256" s="1032">
        <f t="shared" si="32"/>
        <v>0</v>
      </c>
      <c r="P256" s="573"/>
      <c r="Q256" s="573"/>
      <c r="S256" s="573"/>
      <c r="T256" s="573"/>
      <c r="V256" s="573"/>
      <c r="W256" s="573"/>
      <c r="Y256" s="475">
        <f t="shared" si="46"/>
        <v>0</v>
      </c>
      <c r="Z256" s="573">
        <f t="shared" si="49"/>
        <v>0</v>
      </c>
      <c r="AA256" s="573">
        <f t="shared" si="47"/>
        <v>0</v>
      </c>
      <c r="AB256" s="573">
        <f t="shared" si="50"/>
        <v>0</v>
      </c>
      <c r="AC256" s="573">
        <f t="shared" si="48"/>
        <v>0</v>
      </c>
      <c r="AD256" s="457">
        <f t="shared" si="51"/>
        <v>0</v>
      </c>
      <c r="AE256" s="1"/>
      <c r="AF256" s="472">
        <v>290</v>
      </c>
      <c r="AG256" s="475">
        <f t="shared" si="42"/>
        <v>0</v>
      </c>
      <c r="AH256" s="573">
        <f t="shared" si="43"/>
        <v>0</v>
      </c>
      <c r="AI256" s="457">
        <f t="shared" si="44"/>
        <v>0</v>
      </c>
      <c r="AJ256" s="469">
        <f t="shared" si="45"/>
        <v>0</v>
      </c>
    </row>
    <row r="257" spans="2:36" ht="15" hidden="1" customHeight="1">
      <c r="B257" s="1037">
        <f>SUBTOTAL(3,$I$225:I257)</f>
        <v>0</v>
      </c>
      <c r="C257" s="1037">
        <f t="shared" si="39"/>
        <v>0</v>
      </c>
      <c r="D257" s="1013" t="str">
        <f t="shared" si="37"/>
        <v xml:space="preserve"> </v>
      </c>
      <c r="E257" s="1013" t="str">
        <f t="shared" si="38"/>
        <v xml:space="preserve"> </v>
      </c>
      <c r="F257" s="1250" t="str">
        <f t="shared" si="40"/>
        <v>не требуется</v>
      </c>
      <c r="G257" s="1250"/>
      <c r="H257" s="1250"/>
      <c r="I257" s="1013">
        <f t="shared" si="41"/>
        <v>0</v>
      </c>
      <c r="J257" s="376"/>
      <c r="K257" s="376"/>
      <c r="L257" s="376"/>
      <c r="N257" s="1032">
        <f t="shared" si="32"/>
        <v>0</v>
      </c>
      <c r="P257" s="573"/>
      <c r="Q257" s="573"/>
      <c r="S257" s="573"/>
      <c r="T257" s="573"/>
      <c r="V257" s="573"/>
      <c r="W257" s="573"/>
      <c r="Y257" s="475">
        <f t="shared" si="46"/>
        <v>0</v>
      </c>
      <c r="Z257" s="573">
        <f t="shared" si="49"/>
        <v>0</v>
      </c>
      <c r="AA257" s="573">
        <f t="shared" si="47"/>
        <v>0</v>
      </c>
      <c r="AB257" s="573">
        <f t="shared" si="50"/>
        <v>0</v>
      </c>
      <c r="AC257" s="573">
        <f t="shared" si="48"/>
        <v>0</v>
      </c>
      <c r="AD257" s="457">
        <f t="shared" si="51"/>
        <v>0</v>
      </c>
      <c r="AE257" s="1"/>
      <c r="AF257" s="472">
        <v>300</v>
      </c>
      <c r="AG257" s="475">
        <f t="shared" si="42"/>
        <v>0</v>
      </c>
      <c r="AH257" s="573">
        <f t="shared" si="43"/>
        <v>0</v>
      </c>
      <c r="AI257" s="457">
        <f t="shared" si="44"/>
        <v>0</v>
      </c>
      <c r="AJ257" s="469">
        <f t="shared" si="45"/>
        <v>0</v>
      </c>
    </row>
    <row r="258" spans="2:36" ht="15" hidden="1" customHeight="1">
      <c r="B258" s="1037">
        <f>SUBTOTAL(3,$I$225:I258)</f>
        <v>0</v>
      </c>
      <c r="C258" s="1037">
        <f t="shared" si="39"/>
        <v>0</v>
      </c>
      <c r="D258" s="1013" t="str">
        <f t="shared" si="37"/>
        <v xml:space="preserve"> </v>
      </c>
      <c r="E258" s="1013" t="str">
        <f t="shared" si="38"/>
        <v xml:space="preserve"> </v>
      </c>
      <c r="F258" s="1250" t="str">
        <f t="shared" si="40"/>
        <v>не требуется</v>
      </c>
      <c r="G258" s="1250"/>
      <c r="H258" s="1250"/>
      <c r="I258" s="1013">
        <f t="shared" si="41"/>
        <v>0</v>
      </c>
      <c r="J258" s="376"/>
      <c r="K258" s="376"/>
      <c r="L258" s="376"/>
      <c r="N258" s="1032">
        <f t="shared" si="32"/>
        <v>0</v>
      </c>
      <c r="P258" s="573"/>
      <c r="Q258" s="573"/>
      <c r="S258" s="573"/>
      <c r="T258" s="573"/>
      <c r="V258" s="573"/>
      <c r="W258" s="573"/>
      <c r="Y258" s="475">
        <f t="shared" si="46"/>
        <v>0</v>
      </c>
      <c r="Z258" s="573">
        <f t="shared" si="49"/>
        <v>0</v>
      </c>
      <c r="AA258" s="573">
        <f t="shared" si="47"/>
        <v>0</v>
      </c>
      <c r="AB258" s="573">
        <f t="shared" si="50"/>
        <v>0</v>
      </c>
      <c r="AC258" s="573">
        <f t="shared" si="48"/>
        <v>0</v>
      </c>
      <c r="AD258" s="457">
        <f t="shared" si="51"/>
        <v>0</v>
      </c>
      <c r="AE258" s="1"/>
      <c r="AF258" s="472">
        <v>310</v>
      </c>
      <c r="AG258" s="475">
        <f t="shared" si="42"/>
        <v>0</v>
      </c>
      <c r="AH258" s="573">
        <f t="shared" si="43"/>
        <v>0</v>
      </c>
      <c r="AI258" s="457">
        <f t="shared" si="44"/>
        <v>0</v>
      </c>
      <c r="AJ258" s="469">
        <f t="shared" si="45"/>
        <v>0</v>
      </c>
    </row>
    <row r="259" spans="2:36" ht="15" hidden="1" customHeight="1">
      <c r="B259" s="1037">
        <f>SUBTOTAL(3,$I$225:I259)</f>
        <v>0</v>
      </c>
      <c r="C259" s="1037">
        <f t="shared" si="39"/>
        <v>0</v>
      </c>
      <c r="D259" s="1013" t="str">
        <f t="shared" si="37"/>
        <v xml:space="preserve"> </v>
      </c>
      <c r="E259" s="1013" t="str">
        <f t="shared" si="38"/>
        <v xml:space="preserve"> </v>
      </c>
      <c r="F259" s="1250" t="str">
        <f t="shared" si="40"/>
        <v>не требуется</v>
      </c>
      <c r="G259" s="1250"/>
      <c r="H259" s="1250"/>
      <c r="I259" s="1013">
        <f t="shared" si="41"/>
        <v>0</v>
      </c>
      <c r="J259" s="376"/>
      <c r="K259" s="376"/>
      <c r="L259" s="376"/>
      <c r="N259" s="1032">
        <f t="shared" si="32"/>
        <v>0</v>
      </c>
      <c r="P259" s="573"/>
      <c r="Q259" s="573"/>
      <c r="S259" s="573"/>
      <c r="T259" s="573"/>
      <c r="V259" s="573"/>
      <c r="W259" s="573"/>
      <c r="Y259" s="475">
        <f t="shared" si="46"/>
        <v>0</v>
      </c>
      <c r="Z259" s="573">
        <f t="shared" si="49"/>
        <v>0</v>
      </c>
      <c r="AA259" s="573">
        <f t="shared" si="47"/>
        <v>0</v>
      </c>
      <c r="AB259" s="573">
        <f t="shared" si="50"/>
        <v>0</v>
      </c>
      <c r="AC259" s="573">
        <f t="shared" si="48"/>
        <v>0</v>
      </c>
      <c r="AD259" s="457">
        <f t="shared" si="51"/>
        <v>0</v>
      </c>
      <c r="AE259" s="1"/>
      <c r="AF259" s="472">
        <v>320</v>
      </c>
      <c r="AG259" s="475">
        <f t="shared" si="42"/>
        <v>0</v>
      </c>
      <c r="AH259" s="573">
        <f t="shared" si="43"/>
        <v>0</v>
      </c>
      <c r="AI259" s="457">
        <f t="shared" si="44"/>
        <v>0</v>
      </c>
      <c r="AJ259" s="469">
        <f t="shared" si="45"/>
        <v>0</v>
      </c>
    </row>
    <row r="260" spans="2:36" ht="15" hidden="1" customHeight="1">
      <c r="B260" s="1037">
        <f>SUBTOTAL(3,$I$225:I260)</f>
        <v>0</v>
      </c>
      <c r="C260" s="1037">
        <f t="shared" si="39"/>
        <v>0</v>
      </c>
      <c r="D260" s="1013" t="str">
        <f t="shared" si="37"/>
        <v xml:space="preserve"> </v>
      </c>
      <c r="E260" s="1013" t="str">
        <f t="shared" si="38"/>
        <v xml:space="preserve"> </v>
      </c>
      <c r="F260" s="1250" t="str">
        <f t="shared" si="40"/>
        <v>не требуется</v>
      </c>
      <c r="G260" s="1250"/>
      <c r="H260" s="1250"/>
      <c r="I260" s="1013">
        <f t="shared" si="41"/>
        <v>0</v>
      </c>
      <c r="J260" s="376"/>
      <c r="K260" s="376"/>
      <c r="L260" s="376"/>
      <c r="N260" s="1032">
        <f t="shared" si="32"/>
        <v>0</v>
      </c>
      <c r="P260" s="573"/>
      <c r="Q260" s="573"/>
      <c r="S260" s="573"/>
      <c r="T260" s="573"/>
      <c r="V260" s="573"/>
      <c r="W260" s="573"/>
      <c r="Y260" s="475">
        <f t="shared" si="46"/>
        <v>0</v>
      </c>
      <c r="Z260" s="573">
        <f t="shared" si="49"/>
        <v>0</v>
      </c>
      <c r="AA260" s="573">
        <f t="shared" si="47"/>
        <v>0</v>
      </c>
      <c r="AB260" s="573">
        <f t="shared" si="50"/>
        <v>0</v>
      </c>
      <c r="AC260" s="573">
        <f t="shared" si="48"/>
        <v>0</v>
      </c>
      <c r="AD260" s="457">
        <f t="shared" si="51"/>
        <v>0</v>
      </c>
      <c r="AE260" s="1"/>
      <c r="AF260" s="472">
        <v>330</v>
      </c>
      <c r="AG260" s="475">
        <f t="shared" si="42"/>
        <v>0</v>
      </c>
      <c r="AH260" s="573">
        <f t="shared" si="43"/>
        <v>0</v>
      </c>
      <c r="AI260" s="457">
        <f t="shared" si="44"/>
        <v>0</v>
      </c>
      <c r="AJ260" s="469">
        <f t="shared" si="45"/>
        <v>0</v>
      </c>
    </row>
    <row r="261" spans="2:36" ht="15" hidden="1" customHeight="1">
      <c r="B261" s="1037">
        <f>SUBTOTAL(3,$I$225:I261)</f>
        <v>0</v>
      </c>
      <c r="C261" s="1037">
        <f t="shared" si="39"/>
        <v>0</v>
      </c>
      <c r="D261" s="1013" t="str">
        <f t="shared" si="37"/>
        <v xml:space="preserve"> </v>
      </c>
      <c r="E261" s="1013" t="str">
        <f t="shared" si="38"/>
        <v xml:space="preserve"> </v>
      </c>
      <c r="F261" s="1250" t="str">
        <f t="shared" si="40"/>
        <v>не требуется</v>
      </c>
      <c r="G261" s="1250"/>
      <c r="H261" s="1250"/>
      <c r="I261" s="1013">
        <f t="shared" si="41"/>
        <v>0</v>
      </c>
      <c r="J261" s="376"/>
      <c r="K261" s="376"/>
      <c r="L261" s="376"/>
      <c r="N261" s="1032">
        <f t="shared" si="32"/>
        <v>0</v>
      </c>
      <c r="P261" s="573"/>
      <c r="Q261" s="573"/>
      <c r="S261" s="573"/>
      <c r="T261" s="573"/>
      <c r="V261" s="573"/>
      <c r="W261" s="573"/>
      <c r="Y261" s="475">
        <f t="shared" si="46"/>
        <v>0</v>
      </c>
      <c r="Z261" s="573">
        <f t="shared" si="49"/>
        <v>0</v>
      </c>
      <c r="AA261" s="573">
        <f t="shared" si="47"/>
        <v>0</v>
      </c>
      <c r="AB261" s="573">
        <f t="shared" si="50"/>
        <v>0</v>
      </c>
      <c r="AC261" s="573">
        <f t="shared" si="48"/>
        <v>0</v>
      </c>
      <c r="AD261" s="457">
        <f t="shared" si="51"/>
        <v>0</v>
      </c>
      <c r="AE261" s="1"/>
      <c r="AF261" s="472">
        <v>340</v>
      </c>
      <c r="AG261" s="475">
        <f t="shared" si="42"/>
        <v>0</v>
      </c>
      <c r="AH261" s="573">
        <f t="shared" si="43"/>
        <v>0</v>
      </c>
      <c r="AI261" s="457">
        <f t="shared" si="44"/>
        <v>0</v>
      </c>
      <c r="AJ261" s="469">
        <f t="shared" si="45"/>
        <v>0</v>
      </c>
    </row>
    <row r="262" spans="2:36" ht="15" hidden="1" customHeight="1">
      <c r="B262" s="1037">
        <f>SUBTOTAL(3,$I$225:I262)</f>
        <v>0</v>
      </c>
      <c r="C262" s="1037">
        <f t="shared" si="39"/>
        <v>0</v>
      </c>
      <c r="D262" s="1013" t="str">
        <f t="shared" si="37"/>
        <v xml:space="preserve"> </v>
      </c>
      <c r="E262" s="1013" t="str">
        <f t="shared" si="38"/>
        <v xml:space="preserve"> </v>
      </c>
      <c r="F262" s="1250" t="str">
        <f t="shared" si="40"/>
        <v>не требуется</v>
      </c>
      <c r="G262" s="1250"/>
      <c r="H262" s="1250"/>
      <c r="I262" s="1013">
        <f t="shared" si="41"/>
        <v>0</v>
      </c>
      <c r="J262" s="376"/>
      <c r="K262" s="376"/>
      <c r="L262" s="376"/>
      <c r="N262" s="1032">
        <f t="shared" si="32"/>
        <v>0</v>
      </c>
      <c r="P262" s="573"/>
      <c r="Q262" s="573"/>
      <c r="S262" s="573"/>
      <c r="T262" s="573"/>
      <c r="V262" s="573"/>
      <c r="W262" s="573"/>
      <c r="Y262" s="475">
        <f t="shared" si="46"/>
        <v>0</v>
      </c>
      <c r="Z262" s="573">
        <f t="shared" si="49"/>
        <v>0</v>
      </c>
      <c r="AA262" s="573">
        <f t="shared" si="47"/>
        <v>0</v>
      </c>
      <c r="AB262" s="573">
        <f t="shared" si="50"/>
        <v>0</v>
      </c>
      <c r="AC262" s="573">
        <f t="shared" si="48"/>
        <v>0</v>
      </c>
      <c r="AD262" s="457">
        <f t="shared" si="51"/>
        <v>0</v>
      </c>
      <c r="AE262" s="1"/>
      <c r="AF262" s="472">
        <v>350</v>
      </c>
      <c r="AG262" s="475">
        <f t="shared" si="42"/>
        <v>0</v>
      </c>
      <c r="AH262" s="573">
        <f t="shared" si="43"/>
        <v>0</v>
      </c>
      <c r="AI262" s="457">
        <f t="shared" si="44"/>
        <v>0</v>
      </c>
      <c r="AJ262" s="469">
        <f t="shared" si="45"/>
        <v>0</v>
      </c>
    </row>
    <row r="263" spans="2:36" ht="15" hidden="1" customHeight="1">
      <c r="B263" s="1037">
        <f>SUBTOTAL(3,$I$225:I263)</f>
        <v>0</v>
      </c>
      <c r="C263" s="1037">
        <f t="shared" si="39"/>
        <v>0</v>
      </c>
      <c r="D263" s="1013" t="str">
        <f t="shared" si="37"/>
        <v xml:space="preserve"> </v>
      </c>
      <c r="E263" s="1013" t="str">
        <f t="shared" si="38"/>
        <v xml:space="preserve"> </v>
      </c>
      <c r="F263" s="1250" t="str">
        <f t="shared" si="40"/>
        <v>не требуется</v>
      </c>
      <c r="G263" s="1250"/>
      <c r="H263" s="1250"/>
      <c r="I263" s="1013">
        <f t="shared" si="41"/>
        <v>0</v>
      </c>
      <c r="J263" s="376"/>
      <c r="K263" s="376"/>
      <c r="L263" s="376"/>
      <c r="N263" s="1032">
        <f t="shared" si="32"/>
        <v>0</v>
      </c>
      <c r="P263" s="573"/>
      <c r="Q263" s="573"/>
      <c r="S263" s="573"/>
      <c r="T263" s="573"/>
      <c r="V263" s="573"/>
      <c r="W263" s="573"/>
      <c r="Y263" s="475">
        <f t="shared" si="46"/>
        <v>0</v>
      </c>
      <c r="Z263" s="573">
        <f t="shared" si="49"/>
        <v>0</v>
      </c>
      <c r="AA263" s="573">
        <f t="shared" si="47"/>
        <v>0</v>
      </c>
      <c r="AB263" s="573">
        <f t="shared" si="50"/>
        <v>0</v>
      </c>
      <c r="AC263" s="573">
        <f t="shared" si="48"/>
        <v>0</v>
      </c>
      <c r="AD263" s="457">
        <f t="shared" si="51"/>
        <v>0</v>
      </c>
      <c r="AE263" s="1"/>
      <c r="AF263" s="472">
        <v>360</v>
      </c>
      <c r="AG263" s="475">
        <f t="shared" si="42"/>
        <v>0</v>
      </c>
      <c r="AH263" s="573">
        <f t="shared" si="43"/>
        <v>0</v>
      </c>
      <c r="AI263" s="457">
        <f t="shared" si="44"/>
        <v>0</v>
      </c>
      <c r="AJ263" s="469">
        <f t="shared" si="45"/>
        <v>0</v>
      </c>
    </row>
    <row r="264" spans="2:36" ht="15" hidden="1" customHeight="1">
      <c r="B264" s="1037">
        <f>SUBTOTAL(3,$I$225:I264)</f>
        <v>0</v>
      </c>
      <c r="C264" s="1037">
        <f t="shared" si="39"/>
        <v>0</v>
      </c>
      <c r="D264" s="1013" t="str">
        <f t="shared" si="37"/>
        <v xml:space="preserve"> </v>
      </c>
      <c r="E264" s="1013" t="str">
        <f t="shared" si="38"/>
        <v xml:space="preserve"> </v>
      </c>
      <c r="F264" s="1250" t="str">
        <f t="shared" si="40"/>
        <v>не требуется</v>
      </c>
      <c r="G264" s="1250"/>
      <c r="H264" s="1250"/>
      <c r="I264" s="1013">
        <f t="shared" si="41"/>
        <v>0</v>
      </c>
      <c r="J264" s="376"/>
      <c r="K264" s="376"/>
      <c r="L264" s="376"/>
      <c r="N264" s="1032">
        <f t="shared" si="32"/>
        <v>0</v>
      </c>
      <c r="P264" s="573"/>
      <c r="Q264" s="573"/>
      <c r="S264" s="573"/>
      <c r="T264" s="573"/>
      <c r="V264" s="573"/>
      <c r="W264" s="573"/>
      <c r="Y264" s="475">
        <f t="shared" si="46"/>
        <v>0</v>
      </c>
      <c r="Z264" s="573">
        <f t="shared" si="49"/>
        <v>0</v>
      </c>
      <c r="AA264" s="573">
        <f t="shared" si="47"/>
        <v>0</v>
      </c>
      <c r="AB264" s="573">
        <f t="shared" si="50"/>
        <v>0</v>
      </c>
      <c r="AC264" s="573">
        <f t="shared" si="48"/>
        <v>0</v>
      </c>
      <c r="AD264" s="457">
        <f t="shared" si="51"/>
        <v>0</v>
      </c>
      <c r="AE264" s="1"/>
      <c r="AF264" s="472">
        <v>370</v>
      </c>
      <c r="AG264" s="475">
        <f t="shared" si="42"/>
        <v>0</v>
      </c>
      <c r="AH264" s="573">
        <f t="shared" si="43"/>
        <v>0</v>
      </c>
      <c r="AI264" s="457">
        <f t="shared" si="44"/>
        <v>0</v>
      </c>
      <c r="AJ264" s="469">
        <f t="shared" si="45"/>
        <v>0</v>
      </c>
    </row>
    <row r="265" spans="2:36" ht="15" hidden="1" customHeight="1">
      <c r="B265" s="1037">
        <f>SUBTOTAL(3,$I$225:I265)</f>
        <v>0</v>
      </c>
      <c r="C265" s="1037">
        <f t="shared" si="39"/>
        <v>0</v>
      </c>
      <c r="D265" s="1013" t="str">
        <f t="shared" si="37"/>
        <v xml:space="preserve"> </v>
      </c>
      <c r="E265" s="1013" t="str">
        <f t="shared" si="38"/>
        <v xml:space="preserve"> </v>
      </c>
      <c r="F265" s="1250" t="str">
        <f t="shared" si="40"/>
        <v>не требуется</v>
      </c>
      <c r="G265" s="1250"/>
      <c r="H265" s="1250"/>
      <c r="I265" s="1013">
        <f t="shared" si="41"/>
        <v>0</v>
      </c>
      <c r="J265" s="376"/>
      <c r="K265" s="376"/>
      <c r="L265" s="376"/>
      <c r="N265" s="1032">
        <f t="shared" si="32"/>
        <v>0</v>
      </c>
      <c r="P265" s="573"/>
      <c r="Q265" s="573"/>
      <c r="S265" s="573"/>
      <c r="T265" s="573"/>
      <c r="V265" s="573"/>
      <c r="W265" s="573"/>
      <c r="Y265" s="475">
        <f t="shared" si="46"/>
        <v>0</v>
      </c>
      <c r="Z265" s="573">
        <f t="shared" si="49"/>
        <v>0</v>
      </c>
      <c r="AA265" s="573">
        <f t="shared" si="47"/>
        <v>0</v>
      </c>
      <c r="AB265" s="573">
        <f t="shared" si="50"/>
        <v>0</v>
      </c>
      <c r="AC265" s="573">
        <f t="shared" si="48"/>
        <v>0</v>
      </c>
      <c r="AD265" s="457">
        <f t="shared" si="51"/>
        <v>0</v>
      </c>
      <c r="AE265" s="1"/>
      <c r="AF265" s="472">
        <v>380</v>
      </c>
      <c r="AG265" s="475">
        <f t="shared" si="42"/>
        <v>0</v>
      </c>
      <c r="AH265" s="573">
        <f t="shared" si="43"/>
        <v>0</v>
      </c>
      <c r="AI265" s="457">
        <f t="shared" si="44"/>
        <v>0</v>
      </c>
      <c r="AJ265" s="469">
        <f t="shared" si="45"/>
        <v>0</v>
      </c>
    </row>
    <row r="266" spans="2:36" ht="15" hidden="1" customHeight="1">
      <c r="B266" s="1037">
        <f>SUBTOTAL(3,$I$225:I266)</f>
        <v>0</v>
      </c>
      <c r="C266" s="1037">
        <f t="shared" si="39"/>
        <v>0</v>
      </c>
      <c r="D266" s="1013" t="str">
        <f t="shared" si="37"/>
        <v xml:space="preserve"> </v>
      </c>
      <c r="E266" s="1013" t="str">
        <f t="shared" si="38"/>
        <v xml:space="preserve"> </v>
      </c>
      <c r="F266" s="1250" t="str">
        <f t="shared" si="40"/>
        <v>не требуется</v>
      </c>
      <c r="G266" s="1250"/>
      <c r="H266" s="1250"/>
      <c r="I266" s="1013">
        <f t="shared" si="41"/>
        <v>0</v>
      </c>
      <c r="J266" s="376"/>
      <c r="K266" s="376"/>
      <c r="L266" s="376"/>
      <c r="N266" s="1032">
        <f t="shared" si="32"/>
        <v>0</v>
      </c>
      <c r="P266" s="573"/>
      <c r="Q266" s="573"/>
      <c r="S266" s="573"/>
      <c r="T266" s="573"/>
      <c r="V266" s="573"/>
      <c r="W266" s="573"/>
      <c r="Y266" s="475">
        <f t="shared" si="46"/>
        <v>0</v>
      </c>
      <c r="Z266" s="573">
        <f t="shared" si="49"/>
        <v>0</v>
      </c>
      <c r="AA266" s="573">
        <f t="shared" si="47"/>
        <v>0</v>
      </c>
      <c r="AB266" s="573">
        <f t="shared" si="50"/>
        <v>0</v>
      </c>
      <c r="AC266" s="573">
        <f t="shared" si="48"/>
        <v>0</v>
      </c>
      <c r="AD266" s="457">
        <f t="shared" si="51"/>
        <v>0</v>
      </c>
      <c r="AE266" s="1"/>
      <c r="AF266" s="472">
        <v>390</v>
      </c>
      <c r="AG266" s="475">
        <f t="shared" si="42"/>
        <v>0</v>
      </c>
      <c r="AH266" s="573">
        <f t="shared" si="43"/>
        <v>0</v>
      </c>
      <c r="AI266" s="457">
        <f t="shared" si="44"/>
        <v>0</v>
      </c>
      <c r="AJ266" s="469">
        <f t="shared" si="45"/>
        <v>0</v>
      </c>
    </row>
    <row r="267" spans="2:36" ht="15" hidden="1" customHeight="1">
      <c r="B267" s="1037">
        <f>SUBTOTAL(3,$I$225:I267)</f>
        <v>0</v>
      </c>
      <c r="C267" s="1037">
        <f t="shared" si="39"/>
        <v>0</v>
      </c>
      <c r="D267" s="1013" t="str">
        <f t="shared" si="37"/>
        <v xml:space="preserve"> </v>
      </c>
      <c r="E267" s="1013" t="str">
        <f t="shared" si="38"/>
        <v xml:space="preserve"> </v>
      </c>
      <c r="F267" s="1250" t="str">
        <f t="shared" si="40"/>
        <v>не требуется</v>
      </c>
      <c r="G267" s="1250"/>
      <c r="H267" s="1250"/>
      <c r="I267" s="1013">
        <f t="shared" si="41"/>
        <v>0</v>
      </c>
      <c r="J267" s="376"/>
      <c r="K267" s="376"/>
      <c r="L267" s="376"/>
      <c r="N267" s="1032">
        <f t="shared" si="32"/>
        <v>0</v>
      </c>
      <c r="P267" s="573"/>
      <c r="Q267" s="573"/>
      <c r="S267" s="573"/>
      <c r="T267" s="573"/>
      <c r="V267" s="573"/>
      <c r="W267" s="573"/>
      <c r="Y267" s="475">
        <f t="shared" si="46"/>
        <v>0</v>
      </c>
      <c r="Z267" s="573">
        <f t="shared" si="49"/>
        <v>0</v>
      </c>
      <c r="AA267" s="573">
        <f t="shared" si="47"/>
        <v>0</v>
      </c>
      <c r="AB267" s="573">
        <f t="shared" si="50"/>
        <v>0</v>
      </c>
      <c r="AC267" s="573">
        <f t="shared" si="48"/>
        <v>0</v>
      </c>
      <c r="AD267" s="457">
        <f t="shared" si="51"/>
        <v>0</v>
      </c>
      <c r="AE267" s="1"/>
      <c r="AF267" s="472">
        <v>400</v>
      </c>
      <c r="AG267" s="475">
        <f t="shared" si="42"/>
        <v>0</v>
      </c>
      <c r="AH267" s="573">
        <f t="shared" si="43"/>
        <v>0</v>
      </c>
      <c r="AI267" s="457">
        <f t="shared" si="44"/>
        <v>0</v>
      </c>
      <c r="AJ267" s="469">
        <f t="shared" si="45"/>
        <v>0</v>
      </c>
    </row>
    <row r="268" spans="2:36" ht="15" hidden="1" customHeight="1">
      <c r="B268" s="1037">
        <f>SUBTOTAL(3,$I$225:I268)</f>
        <v>0</v>
      </c>
      <c r="C268" s="1037">
        <f t="shared" si="39"/>
        <v>0</v>
      </c>
      <c r="D268" s="1013" t="str">
        <f t="shared" si="37"/>
        <v xml:space="preserve"> </v>
      </c>
      <c r="E268" s="1013" t="str">
        <f t="shared" si="38"/>
        <v xml:space="preserve"> </v>
      </c>
      <c r="F268" s="1250" t="str">
        <f t="shared" si="40"/>
        <v>не требуется</v>
      </c>
      <c r="G268" s="1250"/>
      <c r="H268" s="1250"/>
      <c r="I268" s="1013">
        <f t="shared" si="41"/>
        <v>0</v>
      </c>
      <c r="J268" s="376"/>
      <c r="K268" s="376"/>
      <c r="L268" s="376"/>
      <c r="N268" s="1032">
        <f t="shared" ref="N268:N295" si="52">IF(I268&gt;0,1,0)</f>
        <v>0</v>
      </c>
      <c r="P268" s="573"/>
      <c r="Q268" s="573"/>
      <c r="S268" s="573"/>
      <c r="T268" s="573"/>
      <c r="V268" s="573"/>
      <c r="W268" s="573"/>
      <c r="Y268" s="475">
        <f t="shared" si="46"/>
        <v>0</v>
      </c>
      <c r="Z268" s="573">
        <f t="shared" si="49"/>
        <v>0</v>
      </c>
      <c r="AA268" s="573">
        <f t="shared" si="47"/>
        <v>0</v>
      </c>
      <c r="AB268" s="573">
        <f t="shared" si="50"/>
        <v>0</v>
      </c>
      <c r="AC268" s="573">
        <f t="shared" si="48"/>
        <v>0</v>
      </c>
      <c r="AD268" s="457">
        <f t="shared" si="51"/>
        <v>0</v>
      </c>
      <c r="AE268" s="1"/>
      <c r="AF268" s="472">
        <v>410</v>
      </c>
      <c r="AG268" s="475">
        <f t="shared" si="42"/>
        <v>0</v>
      </c>
      <c r="AH268" s="573">
        <f t="shared" si="43"/>
        <v>0</v>
      </c>
      <c r="AI268" s="457">
        <f t="shared" si="44"/>
        <v>0</v>
      </c>
      <c r="AJ268" s="469">
        <f t="shared" si="45"/>
        <v>0</v>
      </c>
    </row>
    <row r="269" spans="2:36" ht="15" hidden="1" customHeight="1">
      <c r="B269" s="1037">
        <f>SUBTOTAL(3,$I$225:I269)</f>
        <v>0</v>
      </c>
      <c r="C269" s="1037">
        <f t="shared" si="39"/>
        <v>0</v>
      </c>
      <c r="D269" s="1013" t="str">
        <f t="shared" si="37"/>
        <v xml:space="preserve"> </v>
      </c>
      <c r="E269" s="1013" t="str">
        <f t="shared" si="38"/>
        <v xml:space="preserve"> </v>
      </c>
      <c r="F269" s="1250" t="str">
        <f t="shared" si="40"/>
        <v>не требуется</v>
      </c>
      <c r="G269" s="1250"/>
      <c r="H269" s="1250"/>
      <c r="I269" s="1013">
        <f t="shared" si="41"/>
        <v>0</v>
      </c>
      <c r="J269" s="376"/>
      <c r="K269" s="376"/>
      <c r="L269" s="376"/>
      <c r="N269" s="1032">
        <f t="shared" si="52"/>
        <v>0</v>
      </c>
      <c r="P269" s="573"/>
      <c r="Q269" s="573"/>
      <c r="S269" s="573"/>
      <c r="T269" s="573"/>
      <c r="V269" s="573"/>
      <c r="W269" s="573"/>
      <c r="Y269" s="475">
        <f t="shared" si="46"/>
        <v>0</v>
      </c>
      <c r="Z269" s="573">
        <f t="shared" si="49"/>
        <v>0</v>
      </c>
      <c r="AA269" s="573">
        <f t="shared" si="47"/>
        <v>0</v>
      </c>
      <c r="AB269" s="573">
        <f t="shared" si="50"/>
        <v>0</v>
      </c>
      <c r="AC269" s="573">
        <f t="shared" si="48"/>
        <v>0</v>
      </c>
      <c r="AD269" s="457">
        <f t="shared" si="51"/>
        <v>0</v>
      </c>
      <c r="AF269" s="472">
        <v>420</v>
      </c>
      <c r="AG269" s="475">
        <f t="shared" si="42"/>
        <v>0</v>
      </c>
      <c r="AH269" s="573">
        <f t="shared" si="43"/>
        <v>0</v>
      </c>
      <c r="AI269" s="457">
        <f t="shared" si="44"/>
        <v>0</v>
      </c>
      <c r="AJ269" s="469">
        <f t="shared" si="45"/>
        <v>0</v>
      </c>
    </row>
    <row r="270" spans="2:36" ht="15" hidden="1" customHeight="1">
      <c r="B270" s="1037">
        <f>SUBTOTAL(3,$I$225:I270)</f>
        <v>0</v>
      </c>
      <c r="C270" s="1037">
        <f t="shared" si="39"/>
        <v>0</v>
      </c>
      <c r="D270" s="1013" t="str">
        <f t="shared" si="37"/>
        <v xml:space="preserve"> </v>
      </c>
      <c r="E270" s="1013" t="str">
        <f t="shared" si="38"/>
        <v xml:space="preserve"> </v>
      </c>
      <c r="F270" s="1250" t="str">
        <f t="shared" si="40"/>
        <v>не требуется</v>
      </c>
      <c r="G270" s="1250"/>
      <c r="H270" s="1250"/>
      <c r="I270" s="1013">
        <f t="shared" si="41"/>
        <v>0</v>
      </c>
      <c r="J270" s="376"/>
      <c r="K270" s="376"/>
      <c r="L270" s="376"/>
      <c r="N270" s="1032">
        <f t="shared" si="52"/>
        <v>0</v>
      </c>
      <c r="P270" s="573"/>
      <c r="Q270" s="573"/>
      <c r="S270" s="573"/>
      <c r="T270" s="573"/>
      <c r="V270" s="573"/>
      <c r="W270" s="573"/>
      <c r="Y270" s="475">
        <f t="shared" si="46"/>
        <v>0</v>
      </c>
      <c r="Z270" s="573">
        <f t="shared" si="49"/>
        <v>0</v>
      </c>
      <c r="AA270" s="573">
        <f t="shared" si="47"/>
        <v>0</v>
      </c>
      <c r="AB270" s="573">
        <f t="shared" si="50"/>
        <v>0</v>
      </c>
      <c r="AC270" s="573">
        <f t="shared" si="48"/>
        <v>0</v>
      </c>
      <c r="AD270" s="457">
        <f t="shared" si="51"/>
        <v>0</v>
      </c>
      <c r="AF270" s="472">
        <v>430</v>
      </c>
      <c r="AG270" s="475">
        <f t="shared" si="42"/>
        <v>0</v>
      </c>
      <c r="AH270" s="573">
        <f t="shared" si="43"/>
        <v>0</v>
      </c>
      <c r="AI270" s="457">
        <f t="shared" si="44"/>
        <v>0</v>
      </c>
      <c r="AJ270" s="469">
        <f t="shared" si="45"/>
        <v>0</v>
      </c>
    </row>
    <row r="271" spans="2:36" ht="15" hidden="1" customHeight="1">
      <c r="B271" s="1037">
        <f>SUBTOTAL(3,$I$225:I271)</f>
        <v>0</v>
      </c>
      <c r="C271" s="1037">
        <f t="shared" si="39"/>
        <v>0</v>
      </c>
      <c r="D271" s="1013" t="str">
        <f t="shared" si="37"/>
        <v xml:space="preserve"> </v>
      </c>
      <c r="E271" s="1013" t="str">
        <f t="shared" si="38"/>
        <v xml:space="preserve"> </v>
      </c>
      <c r="F271" s="1250" t="str">
        <f t="shared" si="40"/>
        <v>не требуется</v>
      </c>
      <c r="G271" s="1250"/>
      <c r="H271" s="1250"/>
      <c r="I271" s="1013">
        <f t="shared" si="41"/>
        <v>0</v>
      </c>
      <c r="J271" s="376"/>
      <c r="K271" s="376"/>
      <c r="L271" s="376"/>
      <c r="N271" s="1032">
        <f t="shared" si="52"/>
        <v>0</v>
      </c>
      <c r="P271" s="573"/>
      <c r="Q271" s="573"/>
      <c r="S271" s="573"/>
      <c r="T271" s="573"/>
      <c r="V271" s="573"/>
      <c r="W271" s="573"/>
      <c r="Y271" s="475">
        <f t="shared" si="46"/>
        <v>0</v>
      </c>
      <c r="Z271" s="573">
        <f t="shared" si="49"/>
        <v>0</v>
      </c>
      <c r="AA271" s="573">
        <f t="shared" si="47"/>
        <v>0</v>
      </c>
      <c r="AB271" s="573">
        <f t="shared" si="50"/>
        <v>0</v>
      </c>
      <c r="AC271" s="573">
        <f t="shared" si="48"/>
        <v>0</v>
      </c>
      <c r="AD271" s="457">
        <f t="shared" si="51"/>
        <v>0</v>
      </c>
      <c r="AF271" s="472">
        <v>440</v>
      </c>
      <c r="AG271" s="475">
        <f t="shared" si="42"/>
        <v>0</v>
      </c>
      <c r="AH271" s="573">
        <f t="shared" si="43"/>
        <v>0</v>
      </c>
      <c r="AI271" s="457">
        <f t="shared" si="44"/>
        <v>0</v>
      </c>
      <c r="AJ271" s="469">
        <f t="shared" si="45"/>
        <v>0</v>
      </c>
    </row>
    <row r="272" spans="2:36" ht="15" hidden="1" customHeight="1">
      <c r="B272" s="1037">
        <f>SUBTOTAL(3,$I$225:I272)</f>
        <v>0</v>
      </c>
      <c r="C272" s="1037">
        <f t="shared" si="39"/>
        <v>0</v>
      </c>
      <c r="D272" s="1013" t="str">
        <f t="shared" si="37"/>
        <v xml:space="preserve"> </v>
      </c>
      <c r="E272" s="1013" t="str">
        <f t="shared" si="38"/>
        <v xml:space="preserve"> </v>
      </c>
      <c r="F272" s="1250" t="str">
        <f t="shared" si="40"/>
        <v>не требуется</v>
      </c>
      <c r="G272" s="1250"/>
      <c r="H272" s="1250"/>
      <c r="I272" s="1013">
        <f t="shared" si="41"/>
        <v>0</v>
      </c>
      <c r="J272" s="376"/>
      <c r="K272" s="376"/>
      <c r="L272" s="376"/>
      <c r="N272" s="1032">
        <f t="shared" si="52"/>
        <v>0</v>
      </c>
      <c r="P272" s="573"/>
      <c r="Q272" s="573"/>
      <c r="S272" s="573"/>
      <c r="T272" s="573"/>
      <c r="V272" s="573"/>
      <c r="W272" s="573"/>
      <c r="Y272" s="475">
        <f t="shared" si="46"/>
        <v>0</v>
      </c>
      <c r="Z272" s="573">
        <f t="shared" si="49"/>
        <v>0</v>
      </c>
      <c r="AA272" s="573">
        <f t="shared" si="47"/>
        <v>0</v>
      </c>
      <c r="AB272" s="573">
        <f t="shared" si="50"/>
        <v>0</v>
      </c>
      <c r="AC272" s="573">
        <f t="shared" si="48"/>
        <v>0</v>
      </c>
      <c r="AD272" s="457">
        <f t="shared" si="51"/>
        <v>0</v>
      </c>
      <c r="AF272" s="472">
        <v>450</v>
      </c>
      <c r="AG272" s="475">
        <f t="shared" si="42"/>
        <v>0</v>
      </c>
      <c r="AH272" s="573">
        <f t="shared" si="43"/>
        <v>0</v>
      </c>
      <c r="AI272" s="457">
        <f t="shared" si="44"/>
        <v>0</v>
      </c>
      <c r="AJ272" s="469">
        <f t="shared" si="45"/>
        <v>0</v>
      </c>
    </row>
    <row r="273" spans="2:36" ht="15" hidden="1" customHeight="1">
      <c r="B273" s="1037">
        <f>SUBTOTAL(3,$I$225:I273)</f>
        <v>0</v>
      </c>
      <c r="C273" s="1037">
        <f t="shared" si="39"/>
        <v>0</v>
      </c>
      <c r="D273" s="1013" t="str">
        <f t="shared" si="37"/>
        <v xml:space="preserve"> </v>
      </c>
      <c r="E273" s="1013" t="str">
        <f t="shared" si="38"/>
        <v xml:space="preserve"> </v>
      </c>
      <c r="F273" s="1250" t="str">
        <f t="shared" si="40"/>
        <v>не требуется</v>
      </c>
      <c r="G273" s="1250"/>
      <c r="H273" s="1250"/>
      <c r="I273" s="1013">
        <f t="shared" si="41"/>
        <v>0</v>
      </c>
      <c r="J273" s="376"/>
      <c r="K273" s="376"/>
      <c r="L273" s="376"/>
      <c r="N273" s="1032">
        <f t="shared" si="52"/>
        <v>0</v>
      </c>
      <c r="P273" s="573"/>
      <c r="Q273" s="573"/>
      <c r="S273" s="573"/>
      <c r="T273" s="573"/>
      <c r="V273" s="573"/>
      <c r="W273" s="573"/>
      <c r="Y273" s="475">
        <f t="shared" si="46"/>
        <v>0</v>
      </c>
      <c r="Z273" s="573">
        <f t="shared" si="49"/>
        <v>0</v>
      </c>
      <c r="AA273" s="573">
        <f t="shared" si="47"/>
        <v>0</v>
      </c>
      <c r="AB273" s="573">
        <f t="shared" si="50"/>
        <v>0</v>
      </c>
      <c r="AC273" s="573">
        <f t="shared" si="48"/>
        <v>0</v>
      </c>
      <c r="AD273" s="457">
        <f t="shared" si="51"/>
        <v>0</v>
      </c>
      <c r="AF273" s="472">
        <v>460</v>
      </c>
      <c r="AG273" s="475">
        <f t="shared" si="42"/>
        <v>0</v>
      </c>
      <c r="AH273" s="573">
        <f t="shared" si="43"/>
        <v>0</v>
      </c>
      <c r="AI273" s="457">
        <f t="shared" si="44"/>
        <v>0</v>
      </c>
      <c r="AJ273" s="469">
        <f t="shared" si="45"/>
        <v>0</v>
      </c>
    </row>
    <row r="274" spans="2:36" ht="15" hidden="1" customHeight="1">
      <c r="B274" s="1037">
        <f>SUBTOTAL(3,$I$225:I274)</f>
        <v>0</v>
      </c>
      <c r="C274" s="1037">
        <f t="shared" si="39"/>
        <v>0</v>
      </c>
      <c r="D274" s="1013" t="str">
        <f t="shared" si="37"/>
        <v xml:space="preserve"> </v>
      </c>
      <c r="E274" s="1013" t="str">
        <f t="shared" si="38"/>
        <v xml:space="preserve"> </v>
      </c>
      <c r="F274" s="1250" t="str">
        <f t="shared" si="40"/>
        <v>не требуется</v>
      </c>
      <c r="G274" s="1250"/>
      <c r="H274" s="1250"/>
      <c r="I274" s="1013">
        <f t="shared" si="41"/>
        <v>0</v>
      </c>
      <c r="J274" s="376"/>
      <c r="K274" s="376"/>
      <c r="L274" s="376"/>
      <c r="N274" s="1032">
        <f t="shared" si="52"/>
        <v>0</v>
      </c>
      <c r="P274" s="573"/>
      <c r="Q274" s="573"/>
      <c r="S274" s="573"/>
      <c r="T274" s="573"/>
      <c r="V274" s="573"/>
      <c r="W274" s="573"/>
      <c r="Y274" s="475">
        <f t="shared" si="46"/>
        <v>0</v>
      </c>
      <c r="Z274" s="573">
        <f t="shared" si="49"/>
        <v>0</v>
      </c>
      <c r="AA274" s="573">
        <f t="shared" si="47"/>
        <v>0</v>
      </c>
      <c r="AB274" s="573">
        <f t="shared" si="50"/>
        <v>0</v>
      </c>
      <c r="AC274" s="573">
        <f t="shared" si="48"/>
        <v>0</v>
      </c>
      <c r="AD274" s="457">
        <f t="shared" si="51"/>
        <v>0</v>
      </c>
      <c r="AF274" s="472">
        <v>470</v>
      </c>
      <c r="AG274" s="475">
        <f t="shared" si="42"/>
        <v>0</v>
      </c>
      <c r="AH274" s="573">
        <f t="shared" si="43"/>
        <v>0</v>
      </c>
      <c r="AI274" s="457">
        <f t="shared" si="44"/>
        <v>0</v>
      </c>
      <c r="AJ274" s="469">
        <f t="shared" si="45"/>
        <v>0</v>
      </c>
    </row>
    <row r="275" spans="2:36" ht="15" hidden="1" customHeight="1">
      <c r="B275" s="1037">
        <f>SUBTOTAL(3,$I$225:I275)</f>
        <v>0</v>
      </c>
      <c r="C275" s="1037">
        <f t="shared" si="39"/>
        <v>0</v>
      </c>
      <c r="D275" s="1013" t="str">
        <f t="shared" si="37"/>
        <v xml:space="preserve"> </v>
      </c>
      <c r="E275" s="1013" t="str">
        <f t="shared" si="38"/>
        <v xml:space="preserve"> </v>
      </c>
      <c r="F275" s="1250" t="str">
        <f t="shared" si="40"/>
        <v>не требуется</v>
      </c>
      <c r="G275" s="1250"/>
      <c r="H275" s="1250"/>
      <c r="I275" s="1013">
        <f t="shared" si="41"/>
        <v>0</v>
      </c>
      <c r="J275" s="376"/>
      <c r="K275" s="376"/>
      <c r="L275" s="376"/>
      <c r="N275" s="1032">
        <f t="shared" si="52"/>
        <v>0</v>
      </c>
      <c r="P275" s="573"/>
      <c r="Q275" s="573"/>
      <c r="S275" s="573"/>
      <c r="T275" s="573"/>
      <c r="V275" s="573"/>
      <c r="W275" s="573"/>
      <c r="Y275" s="475">
        <f t="shared" si="46"/>
        <v>0</v>
      </c>
      <c r="Z275" s="573">
        <f t="shared" si="49"/>
        <v>0</v>
      </c>
      <c r="AA275" s="573">
        <f t="shared" si="47"/>
        <v>0</v>
      </c>
      <c r="AB275" s="573">
        <f t="shared" si="50"/>
        <v>0</v>
      </c>
      <c r="AC275" s="573">
        <f t="shared" si="48"/>
        <v>0</v>
      </c>
      <c r="AD275" s="457">
        <f t="shared" si="51"/>
        <v>0</v>
      </c>
      <c r="AF275" s="472">
        <v>480</v>
      </c>
      <c r="AG275" s="475">
        <f t="shared" si="42"/>
        <v>0</v>
      </c>
      <c r="AH275" s="573">
        <f t="shared" si="43"/>
        <v>0</v>
      </c>
      <c r="AI275" s="457">
        <f t="shared" si="44"/>
        <v>0</v>
      </c>
      <c r="AJ275" s="469">
        <f t="shared" si="45"/>
        <v>0</v>
      </c>
    </row>
    <row r="276" spans="2:36" ht="15" hidden="1" customHeight="1">
      <c r="B276" s="1037">
        <f>SUBTOTAL(3,$I$225:I276)</f>
        <v>0</v>
      </c>
      <c r="C276" s="1037">
        <f t="shared" si="39"/>
        <v>0</v>
      </c>
      <c r="D276" s="1013" t="str">
        <f t="shared" si="37"/>
        <v xml:space="preserve"> </v>
      </c>
      <c r="E276" s="1013" t="str">
        <f t="shared" si="38"/>
        <v xml:space="preserve"> </v>
      </c>
      <c r="F276" s="1250" t="str">
        <f t="shared" si="40"/>
        <v>не требуется</v>
      </c>
      <c r="G276" s="1250"/>
      <c r="H276" s="1250"/>
      <c r="I276" s="1013">
        <f t="shared" si="41"/>
        <v>0</v>
      </c>
      <c r="J276" s="376"/>
      <c r="K276" s="376"/>
      <c r="L276" s="376"/>
      <c r="N276" s="1032">
        <f t="shared" si="52"/>
        <v>0</v>
      </c>
      <c r="P276" s="573"/>
      <c r="Q276" s="573"/>
      <c r="S276" s="573"/>
      <c r="T276" s="573"/>
      <c r="V276" s="573"/>
      <c r="W276" s="573"/>
      <c r="Y276" s="475">
        <f t="shared" si="46"/>
        <v>0</v>
      </c>
      <c r="Z276" s="573">
        <f t="shared" si="49"/>
        <v>0</v>
      </c>
      <c r="AA276" s="573">
        <f t="shared" si="47"/>
        <v>0</v>
      </c>
      <c r="AB276" s="573">
        <f t="shared" si="50"/>
        <v>0</v>
      </c>
      <c r="AC276" s="573">
        <f t="shared" si="48"/>
        <v>0</v>
      </c>
      <c r="AD276" s="457">
        <f t="shared" si="51"/>
        <v>0</v>
      </c>
      <c r="AF276" s="472">
        <v>490</v>
      </c>
      <c r="AG276" s="475">
        <f t="shared" si="42"/>
        <v>0</v>
      </c>
      <c r="AH276" s="573">
        <f t="shared" si="43"/>
        <v>0</v>
      </c>
      <c r="AI276" s="457">
        <f t="shared" si="44"/>
        <v>0</v>
      </c>
      <c r="AJ276" s="469">
        <f t="shared" si="45"/>
        <v>0</v>
      </c>
    </row>
    <row r="277" spans="2:36" ht="15" hidden="1" customHeight="1">
      <c r="B277" s="1037">
        <f>SUBTOTAL(3,$I$225:I277)</f>
        <v>0</v>
      </c>
      <c r="C277" s="1037">
        <f t="shared" si="39"/>
        <v>0</v>
      </c>
      <c r="D277" s="1013" t="str">
        <f t="shared" si="37"/>
        <v xml:space="preserve"> </v>
      </c>
      <c r="E277" s="1013" t="str">
        <f t="shared" si="38"/>
        <v xml:space="preserve"> </v>
      </c>
      <c r="F277" s="1250" t="str">
        <f t="shared" si="40"/>
        <v>не требуется</v>
      </c>
      <c r="G277" s="1250"/>
      <c r="H277" s="1250"/>
      <c r="I277" s="1013">
        <f t="shared" si="41"/>
        <v>0</v>
      </c>
      <c r="J277" s="376"/>
      <c r="K277" s="376"/>
      <c r="L277" s="376"/>
      <c r="N277" s="1032">
        <f t="shared" si="52"/>
        <v>0</v>
      </c>
      <c r="P277" s="573"/>
      <c r="Q277" s="573"/>
      <c r="S277" s="573"/>
      <c r="T277" s="573"/>
      <c r="V277" s="573"/>
      <c r="W277" s="573"/>
      <c r="Y277" s="475">
        <f t="shared" si="46"/>
        <v>0</v>
      </c>
      <c r="Z277" s="573">
        <f t="shared" si="49"/>
        <v>0</v>
      </c>
      <c r="AA277" s="573">
        <f t="shared" si="47"/>
        <v>0</v>
      </c>
      <c r="AB277" s="573">
        <f t="shared" si="50"/>
        <v>0</v>
      </c>
      <c r="AC277" s="573">
        <f t="shared" si="48"/>
        <v>0</v>
      </c>
      <c r="AD277" s="457">
        <f t="shared" si="51"/>
        <v>0</v>
      </c>
      <c r="AF277" s="472">
        <v>500</v>
      </c>
      <c r="AG277" s="475">
        <f t="shared" si="42"/>
        <v>0</v>
      </c>
      <c r="AH277" s="573">
        <f t="shared" si="43"/>
        <v>0</v>
      </c>
      <c r="AI277" s="457">
        <f t="shared" si="44"/>
        <v>0</v>
      </c>
      <c r="AJ277" s="469">
        <f t="shared" si="45"/>
        <v>0</v>
      </c>
    </row>
    <row r="278" spans="2:36" ht="15" hidden="1" customHeight="1">
      <c r="B278" s="1037">
        <f>SUBTOTAL(3,$I$225:I278)</f>
        <v>0</v>
      </c>
      <c r="C278" s="1037">
        <f t="shared" si="39"/>
        <v>0</v>
      </c>
      <c r="D278" s="1013" t="str">
        <f t="shared" si="37"/>
        <v xml:space="preserve"> </v>
      </c>
      <c r="E278" s="1013" t="str">
        <f t="shared" si="38"/>
        <v xml:space="preserve"> </v>
      </c>
      <c r="F278" s="1250" t="str">
        <f t="shared" si="40"/>
        <v>не требуется</v>
      </c>
      <c r="G278" s="1250"/>
      <c r="H278" s="1250"/>
      <c r="I278" s="1013">
        <f t="shared" si="41"/>
        <v>0</v>
      </c>
      <c r="J278" s="376"/>
      <c r="K278" s="376"/>
      <c r="L278" s="376"/>
      <c r="N278" s="1032">
        <f t="shared" si="52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6"/>
        <v>0</v>
      </c>
      <c r="Z278" s="573">
        <f t="shared" si="49"/>
        <v>0</v>
      </c>
      <c r="AA278" s="573">
        <f t="shared" si="47"/>
        <v>0</v>
      </c>
      <c r="AB278" s="573">
        <f t="shared" si="50"/>
        <v>0</v>
      </c>
      <c r="AC278" s="573">
        <f t="shared" si="48"/>
        <v>0</v>
      </c>
      <c r="AD278" s="457">
        <f t="shared" si="51"/>
        <v>0</v>
      </c>
      <c r="AF278" s="472">
        <v>510</v>
      </c>
      <c r="AG278" s="475">
        <f t="shared" si="42"/>
        <v>0</v>
      </c>
      <c r="AH278" s="573">
        <f t="shared" si="43"/>
        <v>0</v>
      </c>
      <c r="AI278" s="457">
        <f t="shared" si="44"/>
        <v>0</v>
      </c>
      <c r="AJ278" s="469">
        <f t="shared" si="45"/>
        <v>0</v>
      </c>
    </row>
    <row r="279" spans="2:36" ht="15" hidden="1" customHeight="1">
      <c r="B279" s="1037">
        <f>SUBTOTAL(3,$I$225:I279)</f>
        <v>0</v>
      </c>
      <c r="C279" s="1037">
        <f t="shared" si="39"/>
        <v>0</v>
      </c>
      <c r="D279" s="1013" t="str">
        <f t="shared" si="37"/>
        <v xml:space="preserve"> </v>
      </c>
      <c r="E279" s="1013" t="str">
        <f t="shared" si="38"/>
        <v xml:space="preserve"> </v>
      </c>
      <c r="F279" s="1250" t="str">
        <f t="shared" si="40"/>
        <v>не требуется</v>
      </c>
      <c r="G279" s="1250"/>
      <c r="H279" s="1250"/>
      <c r="I279" s="1013">
        <f t="shared" si="41"/>
        <v>0</v>
      </c>
      <c r="J279" s="376"/>
      <c r="K279" s="376"/>
      <c r="L279" s="376"/>
      <c r="N279" s="1032">
        <f t="shared" si="52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6"/>
        <v>0</v>
      </c>
      <c r="Z279" s="573">
        <f t="shared" si="49"/>
        <v>0</v>
      </c>
      <c r="AA279" s="573">
        <f t="shared" si="47"/>
        <v>0</v>
      </c>
      <c r="AB279" s="573">
        <f t="shared" si="50"/>
        <v>0</v>
      </c>
      <c r="AC279" s="573">
        <f t="shared" si="48"/>
        <v>0</v>
      </c>
      <c r="AD279" s="457">
        <f t="shared" si="51"/>
        <v>0</v>
      </c>
      <c r="AF279" s="472">
        <v>520</v>
      </c>
      <c r="AG279" s="475">
        <f t="shared" si="42"/>
        <v>0</v>
      </c>
      <c r="AH279" s="573">
        <f t="shared" si="43"/>
        <v>0</v>
      </c>
      <c r="AI279" s="457">
        <f t="shared" si="44"/>
        <v>0</v>
      </c>
      <c r="AJ279" s="469">
        <f t="shared" si="45"/>
        <v>0</v>
      </c>
    </row>
    <row r="280" spans="2:36" ht="15" hidden="1" customHeight="1">
      <c r="B280" s="1037">
        <f>SUBTOTAL(3,$I$225:I280)</f>
        <v>0</v>
      </c>
      <c r="C280" s="1037">
        <f t="shared" si="39"/>
        <v>0</v>
      </c>
      <c r="D280" s="1013" t="str">
        <f t="shared" si="37"/>
        <v xml:space="preserve"> </v>
      </c>
      <c r="E280" s="1013" t="str">
        <f t="shared" si="38"/>
        <v xml:space="preserve"> </v>
      </c>
      <c r="F280" s="1250" t="str">
        <f t="shared" si="40"/>
        <v>не требуется</v>
      </c>
      <c r="G280" s="1250"/>
      <c r="H280" s="1250"/>
      <c r="I280" s="1013">
        <f t="shared" si="41"/>
        <v>0</v>
      </c>
      <c r="J280" s="376"/>
      <c r="K280" s="376"/>
      <c r="L280" s="376"/>
      <c r="N280" s="1032">
        <f t="shared" si="52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6"/>
        <v>0</v>
      </c>
      <c r="Z280" s="573">
        <f t="shared" si="49"/>
        <v>0</v>
      </c>
      <c r="AA280" s="573">
        <f t="shared" si="47"/>
        <v>0</v>
      </c>
      <c r="AB280" s="573">
        <f t="shared" si="50"/>
        <v>0</v>
      </c>
      <c r="AC280" s="573">
        <f t="shared" si="48"/>
        <v>0</v>
      </c>
      <c r="AD280" s="457">
        <f t="shared" si="51"/>
        <v>0</v>
      </c>
      <c r="AF280" s="472">
        <v>530</v>
      </c>
      <c r="AG280" s="475">
        <f t="shared" si="42"/>
        <v>0</v>
      </c>
      <c r="AH280" s="573">
        <f t="shared" si="43"/>
        <v>0</v>
      </c>
      <c r="AI280" s="457">
        <f t="shared" si="44"/>
        <v>0</v>
      </c>
      <c r="AJ280" s="469">
        <f t="shared" si="45"/>
        <v>0</v>
      </c>
    </row>
    <row r="281" spans="2:36" ht="15" hidden="1" customHeight="1">
      <c r="B281" s="1037">
        <f>SUBTOTAL(3,$I$225:I281)</f>
        <v>0</v>
      </c>
      <c r="C281" s="1037">
        <f t="shared" si="39"/>
        <v>0</v>
      </c>
      <c r="D281" s="1013" t="str">
        <f t="shared" si="37"/>
        <v xml:space="preserve"> </v>
      </c>
      <c r="E281" s="1013" t="str">
        <f t="shared" si="38"/>
        <v xml:space="preserve"> </v>
      </c>
      <c r="F281" s="1250" t="str">
        <f t="shared" si="40"/>
        <v>не требуется</v>
      </c>
      <c r="G281" s="1250"/>
      <c r="H281" s="1250"/>
      <c r="I281" s="1013">
        <f t="shared" si="41"/>
        <v>0</v>
      </c>
      <c r="J281" s="376"/>
      <c r="K281" s="376"/>
      <c r="L281" s="376"/>
      <c r="N281" s="1032">
        <f t="shared" si="52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6"/>
        <v>0</v>
      </c>
      <c r="Z281" s="573">
        <f t="shared" si="49"/>
        <v>0</v>
      </c>
      <c r="AA281" s="573">
        <f t="shared" si="47"/>
        <v>0</v>
      </c>
      <c r="AB281" s="573">
        <f t="shared" si="50"/>
        <v>0</v>
      </c>
      <c r="AC281" s="573">
        <f t="shared" si="48"/>
        <v>0</v>
      </c>
      <c r="AD281" s="457">
        <f t="shared" si="51"/>
        <v>0</v>
      </c>
      <c r="AF281" s="472">
        <v>540</v>
      </c>
      <c r="AG281" s="475">
        <f t="shared" si="42"/>
        <v>0</v>
      </c>
      <c r="AH281" s="573">
        <f t="shared" si="43"/>
        <v>0</v>
      </c>
      <c r="AI281" s="457">
        <f t="shared" si="44"/>
        <v>0</v>
      </c>
      <c r="AJ281" s="469">
        <f t="shared" si="45"/>
        <v>0</v>
      </c>
    </row>
    <row r="282" spans="2:36" ht="15" hidden="1" customHeight="1">
      <c r="B282" s="1037">
        <f>SUBTOTAL(3,$I$225:I282)</f>
        <v>0</v>
      </c>
      <c r="C282" s="1037">
        <f t="shared" si="39"/>
        <v>0</v>
      </c>
      <c r="D282" s="1013" t="str">
        <f t="shared" si="37"/>
        <v xml:space="preserve"> </v>
      </c>
      <c r="E282" s="1013" t="str">
        <f t="shared" si="38"/>
        <v xml:space="preserve"> </v>
      </c>
      <c r="F282" s="1250" t="str">
        <f t="shared" si="40"/>
        <v>не требуется</v>
      </c>
      <c r="G282" s="1250"/>
      <c r="H282" s="1250"/>
      <c r="I282" s="1013">
        <f t="shared" si="41"/>
        <v>0</v>
      </c>
      <c r="J282" s="376"/>
      <c r="K282" s="376"/>
      <c r="L282" s="376"/>
      <c r="N282" s="1032">
        <f t="shared" si="52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6"/>
        <v>0</v>
      </c>
      <c r="Z282" s="573">
        <f t="shared" si="49"/>
        <v>0</v>
      </c>
      <c r="AA282" s="573">
        <f t="shared" si="47"/>
        <v>0</v>
      </c>
      <c r="AB282" s="573">
        <f t="shared" si="50"/>
        <v>0</v>
      </c>
      <c r="AC282" s="573">
        <f t="shared" si="48"/>
        <v>0</v>
      </c>
      <c r="AD282" s="457">
        <f t="shared" si="51"/>
        <v>0</v>
      </c>
      <c r="AF282" s="472">
        <v>550</v>
      </c>
      <c r="AG282" s="475">
        <f t="shared" si="42"/>
        <v>0</v>
      </c>
      <c r="AH282" s="573">
        <f t="shared" si="43"/>
        <v>0</v>
      </c>
      <c r="AI282" s="457">
        <f t="shared" si="44"/>
        <v>0</v>
      </c>
      <c r="AJ282" s="469">
        <f t="shared" si="45"/>
        <v>0</v>
      </c>
    </row>
    <row r="283" spans="2:36" ht="15" hidden="1" customHeight="1">
      <c r="B283" s="1037">
        <f>SUBTOTAL(3,$I$225:I283)</f>
        <v>0</v>
      </c>
      <c r="C283" s="1037">
        <f t="shared" si="39"/>
        <v>0</v>
      </c>
      <c r="D283" s="1013" t="str">
        <f t="shared" si="37"/>
        <v xml:space="preserve"> </v>
      </c>
      <c r="E283" s="1013" t="str">
        <f t="shared" si="38"/>
        <v xml:space="preserve"> </v>
      </c>
      <c r="F283" s="1250" t="str">
        <f t="shared" si="40"/>
        <v>не требуется</v>
      </c>
      <c r="G283" s="1250"/>
      <c r="H283" s="1250"/>
      <c r="I283" s="1013">
        <f t="shared" si="41"/>
        <v>0</v>
      </c>
      <c r="J283" s="376"/>
      <c r="K283" s="376"/>
      <c r="L283" s="376"/>
      <c r="N283" s="1032">
        <f t="shared" si="52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6"/>
        <v>0</v>
      </c>
      <c r="Z283" s="573">
        <f t="shared" si="49"/>
        <v>0</v>
      </c>
      <c r="AA283" s="573">
        <f t="shared" si="47"/>
        <v>0</v>
      </c>
      <c r="AB283" s="573">
        <f t="shared" si="50"/>
        <v>0</v>
      </c>
      <c r="AC283" s="573">
        <f t="shared" si="48"/>
        <v>0</v>
      </c>
      <c r="AD283" s="457">
        <f t="shared" si="51"/>
        <v>0</v>
      </c>
      <c r="AF283" s="472">
        <v>560</v>
      </c>
      <c r="AG283" s="475">
        <f t="shared" si="42"/>
        <v>0</v>
      </c>
      <c r="AH283" s="573">
        <f t="shared" si="43"/>
        <v>0</v>
      </c>
      <c r="AI283" s="457">
        <f t="shared" si="44"/>
        <v>0</v>
      </c>
      <c r="AJ283" s="469">
        <f t="shared" si="45"/>
        <v>0</v>
      </c>
    </row>
    <row r="284" spans="2:36" ht="15" hidden="1" customHeight="1">
      <c r="B284" s="1037">
        <f>SUBTOTAL(3,$I$225:I284)</f>
        <v>0</v>
      </c>
      <c r="C284" s="1037">
        <f t="shared" si="39"/>
        <v>0</v>
      </c>
      <c r="D284" s="1013" t="str">
        <f t="shared" si="37"/>
        <v xml:space="preserve"> </v>
      </c>
      <c r="E284" s="1013" t="str">
        <f t="shared" si="38"/>
        <v xml:space="preserve"> </v>
      </c>
      <c r="F284" s="1250" t="str">
        <f t="shared" si="40"/>
        <v>не требуется</v>
      </c>
      <c r="G284" s="1250"/>
      <c r="H284" s="1250"/>
      <c r="I284" s="1013">
        <f t="shared" si="41"/>
        <v>0</v>
      </c>
      <c r="J284" s="376"/>
      <c r="K284" s="376"/>
      <c r="L284" s="376"/>
      <c r="N284" s="1032">
        <f t="shared" si="52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6"/>
        <v>0</v>
      </c>
      <c r="Z284" s="573">
        <f t="shared" si="49"/>
        <v>0</v>
      </c>
      <c r="AA284" s="573">
        <f t="shared" si="47"/>
        <v>0</v>
      </c>
      <c r="AB284" s="573">
        <f t="shared" si="50"/>
        <v>0</v>
      </c>
      <c r="AC284" s="573">
        <f t="shared" si="48"/>
        <v>0</v>
      </c>
      <c r="AD284" s="457">
        <f t="shared" si="51"/>
        <v>0</v>
      </c>
      <c r="AF284" s="472">
        <v>570</v>
      </c>
      <c r="AG284" s="475">
        <f t="shared" si="42"/>
        <v>0</v>
      </c>
      <c r="AH284" s="573">
        <f t="shared" si="43"/>
        <v>0</v>
      </c>
      <c r="AI284" s="457">
        <f t="shared" si="44"/>
        <v>0</v>
      </c>
      <c r="AJ284" s="469">
        <f t="shared" si="45"/>
        <v>0</v>
      </c>
    </row>
    <row r="285" spans="2:36" ht="15" hidden="1" customHeight="1">
      <c r="B285" s="1037">
        <f>SUBTOTAL(3,$I$225:I285)</f>
        <v>0</v>
      </c>
      <c r="C285" s="1037">
        <f t="shared" si="39"/>
        <v>0</v>
      </c>
      <c r="D285" s="1013" t="str">
        <f t="shared" si="37"/>
        <v xml:space="preserve"> </v>
      </c>
      <c r="E285" s="1013" t="str">
        <f t="shared" si="38"/>
        <v xml:space="preserve"> </v>
      </c>
      <c r="F285" s="1250" t="str">
        <f t="shared" si="40"/>
        <v>не требуется</v>
      </c>
      <c r="G285" s="1250"/>
      <c r="H285" s="1250"/>
      <c r="I285" s="1013">
        <f t="shared" si="41"/>
        <v>0</v>
      </c>
      <c r="J285" s="376"/>
      <c r="K285" s="376"/>
      <c r="L285" s="376"/>
      <c r="N285" s="1032">
        <f t="shared" si="52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6"/>
        <v>0</v>
      </c>
      <c r="Z285" s="573">
        <f t="shared" si="49"/>
        <v>0</v>
      </c>
      <c r="AA285" s="573">
        <f t="shared" si="47"/>
        <v>0</v>
      </c>
      <c r="AB285" s="573">
        <f t="shared" si="50"/>
        <v>0</v>
      </c>
      <c r="AC285" s="573">
        <f t="shared" si="48"/>
        <v>0</v>
      </c>
      <c r="AD285" s="457">
        <f t="shared" si="51"/>
        <v>0</v>
      </c>
      <c r="AF285" s="472">
        <v>580</v>
      </c>
      <c r="AG285" s="475">
        <f t="shared" si="42"/>
        <v>0</v>
      </c>
      <c r="AH285" s="573">
        <f t="shared" si="43"/>
        <v>0</v>
      </c>
      <c r="AI285" s="457">
        <f t="shared" si="44"/>
        <v>0</v>
      </c>
      <c r="AJ285" s="469">
        <f t="shared" si="45"/>
        <v>0</v>
      </c>
    </row>
    <row r="286" spans="2:36" ht="15" hidden="1" customHeight="1">
      <c r="B286" s="1037">
        <f>SUBTOTAL(3,$I$225:I286)</f>
        <v>0</v>
      </c>
      <c r="C286" s="1037">
        <f t="shared" si="39"/>
        <v>0</v>
      </c>
      <c r="D286" s="1013" t="str">
        <f t="shared" si="37"/>
        <v xml:space="preserve"> </v>
      </c>
      <c r="E286" s="1013" t="str">
        <f t="shared" si="38"/>
        <v xml:space="preserve"> </v>
      </c>
      <c r="F286" s="1250" t="str">
        <f t="shared" si="40"/>
        <v>не требуется</v>
      </c>
      <c r="G286" s="1250"/>
      <c r="H286" s="1250"/>
      <c r="I286" s="1013">
        <f t="shared" si="41"/>
        <v>0</v>
      </c>
      <c r="J286" s="376"/>
      <c r="K286" s="376"/>
      <c r="L286" s="376"/>
      <c r="N286" s="1032">
        <f t="shared" si="52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2"/>
        <v>0</v>
      </c>
      <c r="AH286" s="573">
        <f t="shared" si="43"/>
        <v>0</v>
      </c>
      <c r="AI286" s="457">
        <f t="shared" si="44"/>
        <v>0</v>
      </c>
      <c r="AJ286" s="469">
        <f t="shared" si="45"/>
        <v>0</v>
      </c>
    </row>
    <row r="287" spans="2:36" ht="15" hidden="1" customHeight="1" thickBot="1">
      <c r="B287" s="1037">
        <f>SUBTOTAL(3,$I$225:I287)</f>
        <v>0</v>
      </c>
      <c r="C287" s="1037">
        <f t="shared" si="39"/>
        <v>0</v>
      </c>
      <c r="D287" s="1013" t="str">
        <f t="shared" si="37"/>
        <v xml:space="preserve"> </v>
      </c>
      <c r="E287" s="1013" t="str">
        <f t="shared" si="38"/>
        <v xml:space="preserve"> </v>
      </c>
      <c r="F287" s="1250" t="str">
        <f t="shared" si="40"/>
        <v>не требуется</v>
      </c>
      <c r="G287" s="1250"/>
      <c r="H287" s="1250"/>
      <c r="I287" s="1013">
        <f t="shared" si="41"/>
        <v>0</v>
      </c>
      <c r="J287" s="376"/>
      <c r="K287" s="376"/>
      <c r="L287" s="376"/>
      <c r="N287" s="1032">
        <f t="shared" si="52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2"/>
        <v>0</v>
      </c>
      <c r="AH287" s="573">
        <f t="shared" si="43"/>
        <v>0</v>
      </c>
      <c r="AI287" s="457">
        <f t="shared" si="44"/>
        <v>0</v>
      </c>
      <c r="AJ287" s="469">
        <f t="shared" si="45"/>
        <v>0</v>
      </c>
    </row>
    <row r="288" spans="2:36" ht="15" hidden="1" customHeight="1">
      <c r="B288" s="1037">
        <f>SUBTOTAL(3,$I$225:I288)</f>
        <v>0</v>
      </c>
      <c r="C288" s="1037">
        <f t="shared" si="39"/>
        <v>0</v>
      </c>
      <c r="D288" s="1013" t="str">
        <f t="shared" si="37"/>
        <v xml:space="preserve"> </v>
      </c>
      <c r="E288" s="1013" t="str">
        <f t="shared" si="38"/>
        <v xml:space="preserve"> </v>
      </c>
      <c r="F288" s="1250" t="str">
        <f t="shared" si="40"/>
        <v>не требуется</v>
      </c>
      <c r="G288" s="1250"/>
      <c r="H288" s="1250"/>
      <c r="I288" s="1013">
        <f t="shared" si="41"/>
        <v>0</v>
      </c>
      <c r="J288" s="376"/>
      <c r="K288" s="376"/>
      <c r="L288" s="376"/>
      <c r="N288" s="1032">
        <f t="shared" si="52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2"/>
        <v>0</v>
      </c>
      <c r="AH288" s="573">
        <f t="shared" si="43"/>
        <v>0</v>
      </c>
      <c r="AI288" s="457">
        <f t="shared" si="44"/>
        <v>0</v>
      </c>
      <c r="AJ288" s="469">
        <f t="shared" si="45"/>
        <v>0</v>
      </c>
    </row>
    <row r="289" spans="1:60" ht="15" hidden="1" customHeight="1">
      <c r="B289" s="1037">
        <f>SUBTOTAL(3,$I$225:I289)</f>
        <v>0</v>
      </c>
      <c r="C289" s="1037">
        <f t="shared" si="39"/>
        <v>0</v>
      </c>
      <c r="D289" s="1013" t="str">
        <f t="shared" ref="D289:D295" si="53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4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40"/>
        <v>не требуется</v>
      </c>
      <c r="G289" s="1250"/>
      <c r="H289" s="1250"/>
      <c r="I289" s="1013">
        <f t="shared" si="41"/>
        <v>0</v>
      </c>
      <c r="J289" s="376"/>
      <c r="K289" s="376"/>
      <c r="L289" s="376"/>
      <c r="N289" s="1032">
        <f t="shared" si="52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2"/>
        <v>0</v>
      </c>
      <c r="AH289" s="573">
        <f t="shared" si="43"/>
        <v>0</v>
      </c>
      <c r="AI289" s="457">
        <f t="shared" si="44"/>
        <v>0</v>
      </c>
      <c r="AJ289" s="469">
        <f t="shared" si="45"/>
        <v>0</v>
      </c>
    </row>
    <row r="290" spans="1:60" ht="15" hidden="1" customHeight="1">
      <c r="B290" s="1037">
        <f>SUBTOTAL(3,$I$225:I290)</f>
        <v>0</v>
      </c>
      <c r="C290" s="1037">
        <f t="shared" ref="C290:C295" si="55">IF(OR($V$4=$AA$10,$V$4=$AA$11),AF292+_xlfn.CEILING.MATH($Y$222,10),0)</f>
        <v>0</v>
      </c>
      <c r="D290" s="1013" t="str">
        <f t="shared" si="53"/>
        <v xml:space="preserve"> </v>
      </c>
      <c r="E290" s="1013" t="str">
        <f t="shared" si="54"/>
        <v xml:space="preserve"> </v>
      </c>
      <c r="F290" s="1250" t="str">
        <f t="shared" si="40"/>
        <v>не требуется</v>
      </c>
      <c r="G290" s="1250"/>
      <c r="H290" s="1250"/>
      <c r="I290" s="1013">
        <f t="shared" si="41"/>
        <v>0</v>
      </c>
      <c r="J290" s="376"/>
      <c r="K290" s="376"/>
      <c r="L290" s="376"/>
      <c r="N290" s="1032">
        <f t="shared" si="52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2"/>
        <v>0</v>
      </c>
      <c r="AH290" s="573">
        <f t="shared" si="43"/>
        <v>0</v>
      </c>
      <c r="AI290" s="457">
        <f t="shared" si="44"/>
        <v>0</v>
      </c>
      <c r="AJ290" s="469">
        <f t="shared" si="45"/>
        <v>0</v>
      </c>
    </row>
    <row r="291" spans="1:60" ht="15" hidden="1" customHeight="1">
      <c r="B291" s="1037">
        <f>SUBTOTAL(3,$I$225:I291)</f>
        <v>0</v>
      </c>
      <c r="C291" s="1037">
        <f t="shared" si="55"/>
        <v>0</v>
      </c>
      <c r="D291" s="1013" t="str">
        <f t="shared" si="53"/>
        <v xml:space="preserve"> </v>
      </c>
      <c r="E291" s="1013" t="str">
        <f t="shared" si="54"/>
        <v xml:space="preserve"> </v>
      </c>
      <c r="F291" s="1250" t="str">
        <f t="shared" ref="F291:F295" si="56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2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2"/>
        <v>0</v>
      </c>
      <c r="AH291" s="573">
        <f t="shared" si="43"/>
        <v>0</v>
      </c>
      <c r="AI291" s="457">
        <f t="shared" si="44"/>
        <v>0</v>
      </c>
      <c r="AJ291" s="469">
        <f t="shared" si="45"/>
        <v>0</v>
      </c>
    </row>
    <row r="292" spans="1:60" ht="15" hidden="1" customHeight="1">
      <c r="B292" s="1037">
        <f>SUBTOTAL(3,$I$225:I292)</f>
        <v>0</v>
      </c>
      <c r="C292" s="1037">
        <f t="shared" si="55"/>
        <v>0</v>
      </c>
      <c r="D292" s="1013" t="str">
        <f t="shared" si="53"/>
        <v xml:space="preserve"> </v>
      </c>
      <c r="E292" s="1013" t="str">
        <f t="shared" si="54"/>
        <v xml:space="preserve"> </v>
      </c>
      <c r="F292" s="1250" t="str">
        <f t="shared" si="56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2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7">SUMIF($Y$233:$Y$285,AF292,$Z$233:$Z$285)</f>
        <v>0</v>
      </c>
      <c r="AH292" s="573">
        <f t="shared" ref="AH292:AH297" si="58">SUMIF($AA$233:$AA$285,AF292,$AB$233:$AB$285)</f>
        <v>0</v>
      </c>
      <c r="AI292" s="457">
        <f t="shared" ref="AI292:AI297" si="59">SUMIF($AC$233:$AC$285,AF292,$AD$233:$AD$285)</f>
        <v>0</v>
      </c>
      <c r="AJ292" s="469">
        <f t="shared" ref="AJ292:AJ297" si="60">AI292+AH292+AG292</f>
        <v>0</v>
      </c>
    </row>
    <row r="293" spans="1:60" ht="15" hidden="1" customHeight="1">
      <c r="B293" s="1037">
        <f>SUBTOTAL(3,$I$225:I293)</f>
        <v>0</v>
      </c>
      <c r="C293" s="1037">
        <f t="shared" si="55"/>
        <v>0</v>
      </c>
      <c r="D293" s="1013" t="str">
        <f t="shared" si="53"/>
        <v xml:space="preserve"> </v>
      </c>
      <c r="E293" s="1013" t="str">
        <f t="shared" si="54"/>
        <v xml:space="preserve"> </v>
      </c>
      <c r="F293" s="1250" t="str">
        <f t="shared" si="56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2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7"/>
        <v>0</v>
      </c>
      <c r="AH293" s="573">
        <f t="shared" si="58"/>
        <v>0</v>
      </c>
      <c r="AI293" s="457">
        <f t="shared" si="59"/>
        <v>0</v>
      </c>
      <c r="AJ293" s="469">
        <f t="shared" si="60"/>
        <v>0</v>
      </c>
    </row>
    <row r="294" spans="1:60" ht="15" hidden="1" customHeight="1">
      <c r="B294" s="1037">
        <f>SUBTOTAL(3,$I$225:I294)</f>
        <v>0</v>
      </c>
      <c r="C294" s="1037">
        <f t="shared" si="55"/>
        <v>0</v>
      </c>
      <c r="D294" s="1013" t="str">
        <f t="shared" si="53"/>
        <v xml:space="preserve"> </v>
      </c>
      <c r="E294" s="1013" t="str">
        <f t="shared" si="54"/>
        <v xml:space="preserve"> </v>
      </c>
      <c r="F294" s="1250" t="str">
        <f t="shared" si="56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2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7"/>
        <v>0</v>
      </c>
      <c r="AH294" s="573">
        <f t="shared" si="58"/>
        <v>0</v>
      </c>
      <c r="AI294" s="457">
        <f t="shared" si="59"/>
        <v>0</v>
      </c>
      <c r="AJ294" s="469">
        <f t="shared" si="60"/>
        <v>0</v>
      </c>
    </row>
    <row r="295" spans="1:60" ht="15" hidden="1" customHeight="1">
      <c r="B295" s="1037">
        <f>SUBTOTAL(3,$I$225:I295)</f>
        <v>0</v>
      </c>
      <c r="C295" s="1037">
        <f t="shared" si="55"/>
        <v>0</v>
      </c>
      <c r="D295" s="1013" t="str">
        <f t="shared" si="53"/>
        <v xml:space="preserve"> </v>
      </c>
      <c r="E295" s="1013" t="str">
        <f t="shared" si="54"/>
        <v xml:space="preserve"> </v>
      </c>
      <c r="F295" s="1250" t="str">
        <f t="shared" si="56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2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7"/>
        <v>0</v>
      </c>
      <c r="AH295" s="573">
        <f t="shared" si="58"/>
        <v>0</v>
      </c>
      <c r="AI295" s="457">
        <f t="shared" si="59"/>
        <v>0</v>
      </c>
      <c r="AJ295" s="469">
        <f t="shared" si="60"/>
        <v>0</v>
      </c>
    </row>
    <row r="296" spans="1:60" ht="15" hidden="1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7"/>
        <v>0</v>
      </c>
      <c r="AH296" s="573">
        <f t="shared" si="58"/>
        <v>0</v>
      </c>
      <c r="AI296" s="457">
        <f t="shared" si="59"/>
        <v>0</v>
      </c>
      <c r="AJ296" s="469">
        <f t="shared" si="60"/>
        <v>0</v>
      </c>
    </row>
    <row r="297" spans="1:60" ht="15" hidden="1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7"/>
        <v>0</v>
      </c>
      <c r="AH297" s="459">
        <f t="shared" si="58"/>
        <v>0</v>
      </c>
      <c r="AI297" s="460">
        <f t="shared" si="59"/>
        <v>0</v>
      </c>
      <c r="AJ297" s="470">
        <f t="shared" si="60"/>
        <v>0</v>
      </c>
    </row>
    <row r="298" spans="1:60" ht="15" hidden="1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1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61">IF($V$3=$Y$2,0,1)</f>
        <v>1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61"/>
        <v>1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>K5</f>
        <v>Кровля 
(без участков в осях 
7-9 / Ж-И и 12-14 / Ж-И)</v>
      </c>
      <c r="L302" s="1230"/>
      <c r="N302" s="1032">
        <f t="shared" si="61"/>
        <v>1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61"/>
        <v>1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61"/>
        <v>1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61"/>
        <v>1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61"/>
        <v>1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61"/>
        <v>1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61"/>
        <v>1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hidden="1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hidden="1" customHeight="1">
      <c r="B310" s="1037">
        <f>SUBTOTAL(3,$I$310:I310)</f>
        <v>0</v>
      </c>
      <c r="C310" s="686" t="s">
        <v>207</v>
      </c>
      <c r="D310" s="632"/>
      <c r="E310" s="632"/>
      <c r="F310" s="632"/>
      <c r="G310" s="632" t="str">
        <f t="shared" ref="G310:G316" si="62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3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hidden="1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3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hidden="1" customHeight="1">
      <c r="B312" s="1037">
        <f>SUBTOTAL(3,$I$310:I312)</f>
        <v>0</v>
      </c>
      <c r="C312" s="632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312" s="632"/>
      <c r="E312" s="632"/>
      <c r="F312" s="632"/>
      <c r="G312" s="632" t="str">
        <f t="shared" si="62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4">IFERROR(I312*K312,0)</f>
        <v>0</v>
      </c>
      <c r="N312" s="1032">
        <f t="shared" si="63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hidden="1" customHeight="1">
      <c r="B313" s="1037">
        <f>SUBTOTAL(3,$I$310:I313)</f>
        <v>0</v>
      </c>
      <c r="C313" s="687" t="s">
        <v>559</v>
      </c>
      <c r="D313" s="627"/>
      <c r="E313" s="627"/>
      <c r="F313" s="627"/>
      <c r="G313" s="628" t="str">
        <f t="shared" si="62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4"/>
        <v>0</v>
      </c>
      <c r="N313" s="1032">
        <f t="shared" si="63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hidden="1" customHeight="1">
      <c r="B314" s="1037">
        <f>SUBTOTAL(3,$I$310:I314)</f>
        <v>0</v>
      </c>
      <c r="C314" s="686" t="s">
        <v>189</v>
      </c>
      <c r="D314" s="632"/>
      <c r="E314" s="632"/>
      <c r="F314" s="632"/>
      <c r="G314" s="632" t="str">
        <f t="shared" si="62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4"/>
        <v>0</v>
      </c>
      <c r="N314" s="1032">
        <f t="shared" si="63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hidden="1" customHeight="1">
      <c r="B315" s="1037">
        <f>SUBTOTAL(3,$I$310:I315)</f>
        <v>0</v>
      </c>
      <c r="C315" s="687" t="s">
        <v>1459</v>
      </c>
      <c r="D315" s="627"/>
      <c r="E315" s="627"/>
      <c r="F315" s="627"/>
      <c r="G315" s="628" t="str">
        <f t="shared" si="62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4"/>
        <v>0</v>
      </c>
      <c r="N315" s="1032">
        <f t="shared" si="63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hidden="1" customHeight="1">
      <c r="B316" s="1037">
        <f>SUBTOTAL(3,$I$310:I316)</f>
        <v>0</v>
      </c>
      <c r="C316" s="686" t="s">
        <v>192</v>
      </c>
      <c r="D316" s="632"/>
      <c r="E316" s="632"/>
      <c r="F316" s="632"/>
      <c r="G316" s="632" t="str">
        <f t="shared" si="62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4"/>
        <v>0</v>
      </c>
      <c r="N316" s="1032">
        <f t="shared" si="63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hidden="1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4"/>
        <v>0</v>
      </c>
      <c r="N317" s="1032">
        <f t="shared" si="63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hidden="1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4"/>
        <v>0</v>
      </c>
      <c r="N318" s="1032">
        <f t="shared" si="63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hidden="1" customHeight="1">
      <c r="B319" s="1037">
        <f>SUBTOTAL(3,$I$310:I319)</f>
        <v>0</v>
      </c>
      <c r="C319" s="687" t="str">
        <f ca="1">ПВХ_мембрана</f>
        <v>ПВХ мембрана LOGICROOF V-RP (1.2 мм)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4"/>
        <v>0</v>
      </c>
      <c r="N319" s="1032">
        <f t="shared" si="63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hidden="1" customHeight="1">
      <c r="B320" s="1037">
        <f>SUBTOTAL(3,$I$310:I320)</f>
        <v>0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4"/>
        <v>0</v>
      </c>
      <c r="N320" s="1032">
        <f t="shared" si="63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hidden="1" customHeight="1">
      <c r="B321" s="1037">
        <f>SUBTOTAL(3,$I$310:I321)</f>
        <v>0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4"/>
        <v>0</v>
      </c>
      <c r="N321" s="1032">
        <f t="shared" si="63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hidden="1" customHeight="1">
      <c r="B322" s="1037">
        <f>SUBTOTAL(3,$I$310:I322)</f>
        <v>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4"/>
        <v>0</v>
      </c>
      <c r="N322" s="1032">
        <f t="shared" si="63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hidden="1" customHeight="1">
      <c r="B323" s="645">
        <f>SUBTOTAL(3,$I$310:I323)</f>
        <v>0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4"/>
        <v>0</v>
      </c>
      <c r="N323" s="1032">
        <f t="shared" si="63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hidden="1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hidden="1" customHeight="1">
      <c r="B325" s="1037">
        <f>SUBTOTAL(3,$I$310:I325)</f>
        <v>0</v>
      </c>
      <c r="C325" s="627" t="s">
        <v>207</v>
      </c>
      <c r="D325" s="627"/>
      <c r="E325" s="627"/>
      <c r="F325" s="627"/>
      <c r="G325" s="628" t="str">
        <f t="shared" ref="G325:G331" si="65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6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hidden="1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6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hidden="1" customHeight="1">
      <c r="B327" s="1037">
        <f>SUBTOTAL(3,$I$310:I327)</f>
        <v>0</v>
      </c>
      <c r="C327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327" s="627"/>
      <c r="E327" s="627"/>
      <c r="F327" s="627"/>
      <c r="G327" s="628" t="str">
        <f t="shared" si="65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7">IFERROR(I327*K327,0)</f>
        <v>0</v>
      </c>
      <c r="N327" s="1032">
        <f t="shared" si="66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hidden="1" customHeight="1">
      <c r="B328" s="1037">
        <f>SUBTOTAL(3,$I$310:I328)</f>
        <v>0</v>
      </c>
      <c r="C328" s="632" t="s">
        <v>559</v>
      </c>
      <c r="D328" s="632"/>
      <c r="E328" s="632"/>
      <c r="F328" s="632"/>
      <c r="G328" s="632" t="str">
        <f t="shared" si="65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7"/>
        <v>0</v>
      </c>
      <c r="N328" s="1032">
        <f t="shared" si="66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hidden="1" customHeight="1">
      <c r="B329" s="1037">
        <f>SUBTOTAL(3,$I$310:I329)</f>
        <v>0</v>
      </c>
      <c r="C329" s="627" t="s">
        <v>189</v>
      </c>
      <c r="D329" s="627"/>
      <c r="E329" s="627"/>
      <c r="F329" s="627"/>
      <c r="G329" s="628" t="str">
        <f t="shared" si="65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7"/>
        <v>0</v>
      </c>
      <c r="N329" s="1032">
        <f t="shared" si="66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hidden="1" customHeight="1">
      <c r="B330" s="1037">
        <f>SUBTOTAL(3,$I$310:I330)</f>
        <v>0</v>
      </c>
      <c r="C330" s="632" t="s">
        <v>1459</v>
      </c>
      <c r="D330" s="632"/>
      <c r="E330" s="632"/>
      <c r="F330" s="632"/>
      <c r="G330" s="632" t="str">
        <f t="shared" si="65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7"/>
        <v>0</v>
      </c>
      <c r="N330" s="1032">
        <f t="shared" si="66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hidden="1" customHeight="1">
      <c r="B331" s="1037">
        <f>SUBTOTAL(3,$I$310:I331)</f>
        <v>0</v>
      </c>
      <c r="C331" s="627" t="s">
        <v>192</v>
      </c>
      <c r="D331" s="627"/>
      <c r="E331" s="627"/>
      <c r="F331" s="627"/>
      <c r="G331" s="628" t="str">
        <f t="shared" si="65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7"/>
        <v>0</v>
      </c>
      <c r="N331" s="1032">
        <f t="shared" si="66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hidden="1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7"/>
        <v>0</v>
      </c>
      <c r="N332" s="1032">
        <f t="shared" si="66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hidden="1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7"/>
        <v>0</v>
      </c>
      <c r="N333" s="1032">
        <f t="shared" si="66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hidden="1" customHeight="1">
      <c r="B334" s="1037">
        <f>SUBTOTAL(3,$I$310:I334)</f>
        <v>0</v>
      </c>
      <c r="C334" s="632" t="str">
        <f ca="1">ПВХ_мембрана</f>
        <v>ПВХ мембрана LOGICROOF V-RP (1.2 мм)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7"/>
        <v>0</v>
      </c>
      <c r="N334" s="1032">
        <f t="shared" si="66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hidden="1" customHeight="1">
      <c r="B335" s="1037">
        <f>SUBTOTAL(3,$I$310:I335)</f>
        <v>0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7"/>
        <v>0</v>
      </c>
      <c r="N335" s="1032">
        <f t="shared" si="66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hidden="1" customHeight="1">
      <c r="B336" s="1037">
        <f>SUBTOTAL(3,$I$310:I336)</f>
        <v>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7"/>
        <v>0</v>
      </c>
      <c r="N336" s="1032">
        <f t="shared" si="66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hidden="1" customHeight="1">
      <c r="B337" s="1037">
        <f>SUBTOTAL(3,$I$310:I337)</f>
        <v>0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7"/>
        <v>0</v>
      </c>
      <c r="N337" s="1032">
        <f t="shared" si="66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hidden="1" customHeight="1">
      <c r="B338" s="1037">
        <f>SUBTOTAL(3,$I$310:I338)</f>
        <v>0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7"/>
        <v>0</v>
      </c>
      <c r="N338" s="1032">
        <f t="shared" si="66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hidden="1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hidden="1" customHeight="1">
      <c r="B340" s="1037">
        <f>SUBTOTAL(3,$I$310:I340)</f>
        <v>0</v>
      </c>
      <c r="C340" s="627" t="s">
        <v>207</v>
      </c>
      <c r="D340" s="627"/>
      <c r="E340" s="627"/>
      <c r="F340" s="627"/>
      <c r="G340" s="628" t="str">
        <f t="shared" ref="G340:G346" si="68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9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hidden="1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9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hidden="1" customHeight="1">
      <c r="B342" s="1037">
        <f>SUBTOTAL(3,$I$310:I342)</f>
        <v>0</v>
      </c>
      <c r="C342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342" s="627"/>
      <c r="E342" s="627"/>
      <c r="F342" s="627"/>
      <c r="G342" s="628" t="str">
        <f t="shared" si="68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70">IFERROR(I342*K342,0)</f>
        <v>0</v>
      </c>
      <c r="N342" s="1032">
        <f t="shared" si="69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hidden="1" customHeight="1">
      <c r="B343" s="1037">
        <f>SUBTOTAL(3,$I$310:I343)</f>
        <v>0</v>
      </c>
      <c r="C343" s="632" t="s">
        <v>559</v>
      </c>
      <c r="D343" s="632"/>
      <c r="E343" s="632"/>
      <c r="F343" s="632"/>
      <c r="G343" s="632" t="str">
        <f t="shared" si="68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70"/>
        <v>0</v>
      </c>
      <c r="N343" s="1032">
        <f t="shared" si="69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hidden="1" customHeight="1">
      <c r="B344" s="1037">
        <f>SUBTOTAL(3,$I$310:I344)</f>
        <v>0</v>
      </c>
      <c r="C344" s="627" t="s">
        <v>189</v>
      </c>
      <c r="D344" s="627"/>
      <c r="E344" s="627"/>
      <c r="F344" s="627"/>
      <c r="G344" s="628" t="str">
        <f t="shared" si="68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70"/>
        <v>0</v>
      </c>
      <c r="N344" s="1032">
        <f t="shared" si="69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hidden="1" customHeight="1">
      <c r="B345" s="1037">
        <f>SUBTOTAL(3,$I$310:I345)</f>
        <v>0</v>
      </c>
      <c r="C345" s="632" t="s">
        <v>1459</v>
      </c>
      <c r="D345" s="632"/>
      <c r="E345" s="632"/>
      <c r="F345" s="632"/>
      <c r="G345" s="632" t="str">
        <f t="shared" si="68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70"/>
        <v>0</v>
      </c>
      <c r="N345" s="1032">
        <f t="shared" si="69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hidden="1" customHeight="1">
      <c r="B346" s="1037">
        <f>SUBTOTAL(3,$I$310:I346)</f>
        <v>0</v>
      </c>
      <c r="C346" s="627" t="s">
        <v>192</v>
      </c>
      <c r="D346" s="627"/>
      <c r="E346" s="627"/>
      <c r="F346" s="627"/>
      <c r="G346" s="628" t="str">
        <f t="shared" si="68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70"/>
        <v>0</v>
      </c>
      <c r="N346" s="1032">
        <f t="shared" si="69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hidden="1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70"/>
        <v>0</v>
      </c>
      <c r="N347" s="1032">
        <f t="shared" si="69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hidden="1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70"/>
        <v>0</v>
      </c>
      <c r="N348" s="1032">
        <f t="shared" si="69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hidden="1" customHeight="1">
      <c r="B349" s="1037">
        <f>SUBTOTAL(3,$I$310:I349)</f>
        <v>0</v>
      </c>
      <c r="C349" s="632" t="str">
        <f ca="1">ПВХ_мембрана</f>
        <v>ПВХ мембрана LOGICROOF V-RP (1.2 мм)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70"/>
        <v>0</v>
      </c>
      <c r="N349" s="1032">
        <f t="shared" si="69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hidden="1" customHeight="1">
      <c r="B350" s="1037">
        <f>SUBTOTAL(3,$I$310:I350)</f>
        <v>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70"/>
        <v>0</v>
      </c>
      <c r="N350" s="1032">
        <f t="shared" si="69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hidden="1" customHeight="1">
      <c r="B351" s="1037">
        <f>SUBTOTAL(3,$I$310:I351)</f>
        <v>0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70"/>
        <v>0</v>
      </c>
      <c r="N351" s="1032">
        <f t="shared" si="69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hidden="1" customHeight="1">
      <c r="B352" s="1037">
        <f>SUBTOTAL(3,$I$310:I352)</f>
        <v>0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70"/>
        <v>0</v>
      </c>
      <c r="N352" s="1032">
        <f t="shared" si="69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hidden="1" customHeight="1">
      <c r="B353" s="645">
        <f>SUBTOTAL(3,$I$310:I353)</f>
        <v>0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70"/>
        <v>0</v>
      </c>
      <c r="N353" s="1032">
        <f t="shared" si="69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hidden="1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hidden="1" customHeight="1">
      <c r="B355" s="1037">
        <f>SUBTOTAL(3,$I$310:I355)</f>
        <v>0</v>
      </c>
      <c r="C355" s="632" t="s">
        <v>207</v>
      </c>
      <c r="D355" s="632"/>
      <c r="E355" s="632"/>
      <c r="F355" s="632"/>
      <c r="G355" s="632" t="str">
        <f t="shared" ref="G355:G361" si="71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2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hidden="1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2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hidden="1" customHeight="1">
      <c r="B357" s="1037">
        <f>SUBTOTAL(3,$I$310:I357)</f>
        <v>0</v>
      </c>
      <c r="C357" s="632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357" s="632"/>
      <c r="E357" s="632"/>
      <c r="F357" s="632"/>
      <c r="G357" s="632" t="str">
        <f t="shared" si="71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3">IFERROR(I357*K357,0)</f>
        <v>0</v>
      </c>
      <c r="N357" s="1032">
        <f t="shared" si="72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hidden="1" customHeight="1">
      <c r="B358" s="1037">
        <f>SUBTOTAL(3,$I$310:I358)</f>
        <v>0</v>
      </c>
      <c r="C358" s="627" t="s">
        <v>559</v>
      </c>
      <c r="D358" s="627"/>
      <c r="E358" s="627"/>
      <c r="F358" s="627"/>
      <c r="G358" s="627" t="str">
        <f t="shared" si="71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3"/>
        <v>0</v>
      </c>
      <c r="N358" s="1032">
        <f t="shared" si="72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hidden="1" customHeight="1">
      <c r="B359" s="1037">
        <f>SUBTOTAL(3,$I$310:I359)</f>
        <v>0</v>
      </c>
      <c r="C359" s="632" t="s">
        <v>189</v>
      </c>
      <c r="D359" s="632"/>
      <c r="E359" s="632"/>
      <c r="F359" s="632"/>
      <c r="G359" s="632" t="str">
        <f t="shared" si="71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3"/>
        <v>0</v>
      </c>
      <c r="N359" s="1032">
        <f t="shared" si="72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hidden="1" customHeight="1">
      <c r="B360" s="1037">
        <f>SUBTOTAL(3,$I$310:I360)</f>
        <v>0</v>
      </c>
      <c r="C360" s="627" t="s">
        <v>1459</v>
      </c>
      <c r="D360" s="627"/>
      <c r="E360" s="627"/>
      <c r="F360" s="627"/>
      <c r="G360" s="627" t="str">
        <f t="shared" si="71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3"/>
        <v>0</v>
      </c>
      <c r="N360" s="1032">
        <f t="shared" si="72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hidden="1" customHeight="1">
      <c r="B361" s="1037">
        <f>SUBTOTAL(3,$I$310:I361)</f>
        <v>0</v>
      </c>
      <c r="C361" s="632" t="s">
        <v>192</v>
      </c>
      <c r="D361" s="632"/>
      <c r="E361" s="632"/>
      <c r="F361" s="632"/>
      <c r="G361" s="632" t="str">
        <f t="shared" si="71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3"/>
        <v>0</v>
      </c>
      <c r="N361" s="1032">
        <f t="shared" si="72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hidden="1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3"/>
        <v>0</v>
      </c>
      <c r="N362" s="1032">
        <f t="shared" si="72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hidden="1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3"/>
        <v>0</v>
      </c>
      <c r="N363" s="1032">
        <f t="shared" si="72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hidden="1" customHeight="1">
      <c r="B364" s="1037">
        <f>SUBTOTAL(3,$I$310:I364)</f>
        <v>0</v>
      </c>
      <c r="C364" s="627" t="str">
        <f ca="1">ПВХ_мембрана</f>
        <v>ПВХ мембрана LOGICROOF V-RP (1.2 мм)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3"/>
        <v>0</v>
      </c>
      <c r="N364" s="1032">
        <f t="shared" si="72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hidden="1" customHeight="1">
      <c r="B365" s="1037">
        <f>SUBTOTAL(3,$I$310:I365)</f>
        <v>0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3"/>
        <v>0</v>
      </c>
      <c r="N365" s="1032">
        <f t="shared" si="72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hidden="1" customHeight="1">
      <c r="B366" s="1037">
        <f>SUBTOTAL(3,$I$310:I366)</f>
        <v>0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3"/>
        <v>0</v>
      </c>
      <c r="N366" s="1032">
        <f t="shared" si="72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hidden="1" customHeight="1">
      <c r="B367" s="1037">
        <f>SUBTOTAL(3,$I$310:I367)</f>
        <v>0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3"/>
        <v>0</v>
      </c>
      <c r="N367" s="1032">
        <f t="shared" si="72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hidden="1" customHeight="1">
      <c r="B368" s="1037">
        <f>SUBTOTAL(3,$I$310:I368)</f>
        <v>0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3"/>
        <v>0</v>
      </c>
      <c r="N368" s="1032">
        <f t="shared" si="72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hidden="1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hidden="1" customHeight="1">
      <c r="B370" s="1037">
        <f>SUBTOTAL(3,$I$310:I370)</f>
        <v>0</v>
      </c>
      <c r="C370" s="627" t="s">
        <v>207</v>
      </c>
      <c r="D370" s="627"/>
      <c r="E370" s="627"/>
      <c r="F370" s="656"/>
      <c r="G370" s="627" t="str">
        <f t="shared" ref="G370:G376" si="74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5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hidden="1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5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hidden="1" customHeight="1">
      <c r="B372" s="1037">
        <f>SUBTOTAL(3,$I$310:I372)</f>
        <v>0</v>
      </c>
      <c r="C372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372" s="627"/>
      <c r="E372" s="627"/>
      <c r="F372" s="656"/>
      <c r="G372" s="627" t="str">
        <f t="shared" si="74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6">IFERROR(I372*K372,0)</f>
        <v>0</v>
      </c>
      <c r="N372" s="1032">
        <f t="shared" si="75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hidden="1" customHeight="1">
      <c r="B373" s="1037">
        <f>SUBTOTAL(3,$I$310:I373)</f>
        <v>0</v>
      </c>
      <c r="C373" s="627" t="s">
        <v>559</v>
      </c>
      <c r="D373" s="627"/>
      <c r="E373" s="627"/>
      <c r="F373" s="656"/>
      <c r="G373" s="627" t="str">
        <f t="shared" si="74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6"/>
        <v>0</v>
      </c>
      <c r="N373" s="1032">
        <f t="shared" si="75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hidden="1" customHeight="1">
      <c r="B374" s="1037">
        <f>SUBTOTAL(3,$I$310:I374)</f>
        <v>0</v>
      </c>
      <c r="C374" s="627" t="s">
        <v>189</v>
      </c>
      <c r="D374" s="627"/>
      <c r="E374" s="627"/>
      <c r="F374" s="656"/>
      <c r="G374" s="627" t="str">
        <f t="shared" si="74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6"/>
        <v>0</v>
      </c>
      <c r="N374" s="1032">
        <f t="shared" si="75"/>
        <v>0</v>
      </c>
    </row>
    <row r="375" spans="1:60" ht="15" hidden="1" customHeight="1">
      <c r="B375" s="1037">
        <f>SUBTOTAL(3,$I$310:I375)</f>
        <v>0</v>
      </c>
      <c r="C375" s="627" t="s">
        <v>1459</v>
      </c>
      <c r="D375" s="627"/>
      <c r="E375" s="627"/>
      <c r="F375" s="656"/>
      <c r="G375" s="627" t="str">
        <f t="shared" si="74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6"/>
        <v>0</v>
      </c>
      <c r="N375" s="1032">
        <f t="shared" si="75"/>
        <v>0</v>
      </c>
    </row>
    <row r="376" spans="1:60" ht="15" hidden="1" customHeight="1">
      <c r="B376" s="1037">
        <f>SUBTOTAL(3,$I$310:I376)</f>
        <v>0</v>
      </c>
      <c r="C376" s="627" t="s">
        <v>192</v>
      </c>
      <c r="D376" s="627"/>
      <c r="E376" s="627"/>
      <c r="F376" s="656"/>
      <c r="G376" s="627" t="str">
        <f t="shared" si="74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6"/>
        <v>0</v>
      </c>
      <c r="N376" s="1032">
        <f t="shared" si="75"/>
        <v>0</v>
      </c>
    </row>
    <row r="377" spans="1:60" ht="15" hidden="1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6"/>
        <v>0</v>
      </c>
      <c r="N377" s="1032">
        <f t="shared" si="75"/>
        <v>0</v>
      </c>
    </row>
    <row r="378" spans="1:60" ht="15" hidden="1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6"/>
        <v>0</v>
      </c>
      <c r="N378" s="1032">
        <f t="shared" si="75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hidden="1" customHeight="1">
      <c r="B379" s="1037">
        <f>SUBTOTAL(3,$I$310:I379)</f>
        <v>0</v>
      </c>
      <c r="C379" s="627" t="str">
        <f ca="1">ПВХ_мембрана</f>
        <v>ПВХ мембрана LOGICROOF V-RP (1.2 мм)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6"/>
        <v>0</v>
      </c>
      <c r="N379" s="1032">
        <f t="shared" si="75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hidden="1" customHeight="1">
      <c r="B380" s="1037">
        <f>SUBTOTAL(3,$I$310:I380)</f>
        <v>0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6"/>
        <v>0</v>
      </c>
      <c r="N380" s="1032">
        <f t="shared" si="75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hidden="1" customHeight="1">
      <c r="B381" s="1037">
        <f>SUBTOTAL(3,$I$310:I381)</f>
        <v>0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6"/>
        <v>0</v>
      </c>
      <c r="N381" s="1032">
        <f t="shared" si="75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hidden="1" customHeight="1">
      <c r="B382" s="1037">
        <f>SUBTOTAL(3,$I$310:I382)</f>
        <v>0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6"/>
        <v>0</v>
      </c>
      <c r="N382" s="1032">
        <f t="shared" si="75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hidden="1" customHeight="1">
      <c r="B383" s="1037">
        <f>SUBTOTAL(3,$I$310:I383)</f>
        <v>0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6"/>
        <v>0</v>
      </c>
      <c r="N383" s="1032">
        <f t="shared" si="75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hidden="1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hidden="1" customHeight="1">
      <c r="B385" s="1037">
        <f>SUBTOTAL(3,$I$310:I385)</f>
        <v>0</v>
      </c>
      <c r="C385" s="627" t="s">
        <v>207</v>
      </c>
      <c r="D385" s="627"/>
      <c r="E385" s="627"/>
      <c r="F385" s="656"/>
      <c r="G385" s="627" t="str">
        <f t="shared" ref="G385:G391" si="77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8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hidden="1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8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hidden="1" customHeight="1">
      <c r="B387" s="1037">
        <f>SUBTOTAL(3,$I$310:I387)</f>
        <v>0</v>
      </c>
      <c r="C387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387" s="627"/>
      <c r="E387" s="627"/>
      <c r="F387" s="656"/>
      <c r="G387" s="627" t="str">
        <f t="shared" si="77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9">IFERROR(I387*K387,0)</f>
        <v>0</v>
      </c>
      <c r="N387" s="1032">
        <f t="shared" si="78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hidden="1" customHeight="1">
      <c r="B388" s="1037">
        <f>SUBTOTAL(3,$I$310:I388)</f>
        <v>0</v>
      </c>
      <c r="C388" s="627" t="s">
        <v>559</v>
      </c>
      <c r="D388" s="627"/>
      <c r="E388" s="627"/>
      <c r="F388" s="656"/>
      <c r="G388" s="627" t="str">
        <f t="shared" si="77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9"/>
        <v>0</v>
      </c>
      <c r="N388" s="1032">
        <f t="shared" si="78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80">AK388-AN388</f>
        <v>0</v>
      </c>
      <c r="AQ388" s="1011">
        <f t="shared" si="80"/>
        <v>0</v>
      </c>
    </row>
    <row r="389" spans="1:43" ht="15" hidden="1" customHeight="1">
      <c r="B389" s="1037">
        <f>SUBTOTAL(3,$I$310:I389)</f>
        <v>0</v>
      </c>
      <c r="C389" s="627" t="s">
        <v>189</v>
      </c>
      <c r="D389" s="627"/>
      <c r="E389" s="627"/>
      <c r="F389" s="656"/>
      <c r="G389" s="627" t="str">
        <f t="shared" si="77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9"/>
        <v>0</v>
      </c>
      <c r="N389" s="1032">
        <f t="shared" si="78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80"/>
        <v>0</v>
      </c>
      <c r="AQ389" s="1011">
        <f t="shared" si="80"/>
        <v>0</v>
      </c>
    </row>
    <row r="390" spans="1:43" ht="15" hidden="1" customHeight="1">
      <c r="B390" s="1037">
        <f>SUBTOTAL(3,$I$310:I390)</f>
        <v>0</v>
      </c>
      <c r="C390" s="627" t="s">
        <v>1459</v>
      </c>
      <c r="D390" s="627"/>
      <c r="E390" s="627"/>
      <c r="F390" s="656"/>
      <c r="G390" s="627" t="str">
        <f t="shared" si="77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9"/>
        <v>0</v>
      </c>
      <c r="N390" s="1032">
        <f t="shared" si="78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80"/>
        <v>0</v>
      </c>
      <c r="AQ390" s="1011">
        <f t="shared" si="80"/>
        <v>0</v>
      </c>
    </row>
    <row r="391" spans="1:43" ht="15" hidden="1" customHeight="1">
      <c r="B391" s="1037">
        <f>SUBTOTAL(3,$I$310:I391)</f>
        <v>0</v>
      </c>
      <c r="C391" s="627" t="s">
        <v>192</v>
      </c>
      <c r="D391" s="627"/>
      <c r="E391" s="627"/>
      <c r="F391" s="656"/>
      <c r="G391" s="627" t="str">
        <f t="shared" si="77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9"/>
        <v>0</v>
      </c>
      <c r="N391" s="1032">
        <f t="shared" si="78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80"/>
        <v>0</v>
      </c>
      <c r="AQ391" s="1011">
        <f t="shared" si="80"/>
        <v>0</v>
      </c>
    </row>
    <row r="392" spans="1:43" ht="15" hidden="1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9"/>
        <v>0</v>
      </c>
      <c r="N392" s="1032">
        <f t="shared" si="78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80"/>
        <v>0</v>
      </c>
      <c r="AQ392" s="1011">
        <f t="shared" si="80"/>
        <v>0</v>
      </c>
    </row>
    <row r="393" spans="1:43" ht="15" hidden="1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9"/>
        <v>0</v>
      </c>
      <c r="N393" s="1032">
        <f t="shared" si="78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80"/>
        <v>0</v>
      </c>
      <c r="AQ393" s="1011">
        <f t="shared" si="80"/>
        <v>0</v>
      </c>
    </row>
    <row r="394" spans="1:43" ht="15" hidden="1" customHeight="1">
      <c r="B394" s="1037">
        <f>SUBTOTAL(3,$I$310:I394)</f>
        <v>0</v>
      </c>
      <c r="C394" s="627" t="str">
        <f ca="1">ПВХ_мембрана</f>
        <v>ПВХ мембрана LOGICROOF V-RP (1.2 мм)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9"/>
        <v>0</v>
      </c>
      <c r="N394" s="1032">
        <f t="shared" si="78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80"/>
        <v>0</v>
      </c>
      <c r="AQ394" s="1011">
        <f t="shared" si="80"/>
        <v>0</v>
      </c>
    </row>
    <row r="395" spans="1:43" ht="15" hidden="1" customHeight="1">
      <c r="B395" s="1037">
        <f>SUBTOTAL(3,$I$310:I395)</f>
        <v>0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9"/>
        <v>0</v>
      </c>
      <c r="N395" s="1032">
        <f t="shared" si="78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80"/>
        <v>0</v>
      </c>
      <c r="AQ395" s="1011">
        <f t="shared" si="80"/>
        <v>0</v>
      </c>
    </row>
    <row r="396" spans="1:43" ht="15" hidden="1" customHeight="1">
      <c r="B396" s="1037">
        <f>SUBTOTAL(3,$I$310:I396)</f>
        <v>0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9"/>
        <v>0</v>
      </c>
      <c r="N396" s="1032">
        <f t="shared" si="78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80"/>
        <v>0</v>
      </c>
      <c r="AQ396" s="1011">
        <f t="shared" si="80"/>
        <v>0</v>
      </c>
    </row>
    <row r="397" spans="1:43" ht="15" hidden="1" customHeight="1">
      <c r="B397" s="1037">
        <f>SUBTOTAL(3,$I$310:I397)</f>
        <v>0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9"/>
        <v>0</v>
      </c>
      <c r="N397" s="1032">
        <f t="shared" si="78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80"/>
        <v>0</v>
      </c>
      <c r="AQ397" s="1011">
        <f t="shared" si="80"/>
        <v>0</v>
      </c>
    </row>
    <row r="398" spans="1:43" ht="15" hidden="1" customHeight="1">
      <c r="B398" s="1037">
        <f>SUBTOTAL(3,$I$310:I398)</f>
        <v>0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9"/>
        <v>0</v>
      </c>
      <c r="N398" s="1032">
        <f t="shared" si="78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80"/>
        <v>0</v>
      </c>
      <c r="AQ398" s="1011">
        <f t="shared" si="80"/>
        <v>0</v>
      </c>
    </row>
    <row r="399" spans="1:43" ht="30" hidden="1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80"/>
        <v>0</v>
      </c>
      <c r="AQ399" s="1011">
        <f t="shared" si="80"/>
        <v>0</v>
      </c>
    </row>
    <row r="400" spans="1:43" ht="15" hidden="1" customHeight="1">
      <c r="B400" s="1037">
        <f>SUBTOTAL(3,$I$310:I400)</f>
        <v>0</v>
      </c>
      <c r="C400" s="627" t="s">
        <v>207</v>
      </c>
      <c r="D400" s="627"/>
      <c r="E400" s="627"/>
      <c r="F400" s="656"/>
      <c r="G400" s="627" t="str">
        <f t="shared" ref="G400:G406" si="81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2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80"/>
        <v>0</v>
      </c>
      <c r="AQ400" s="1011">
        <f t="shared" si="80"/>
        <v>0</v>
      </c>
    </row>
    <row r="401" spans="1:43" ht="15" hidden="1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2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80"/>
        <v>0</v>
      </c>
      <c r="AQ401" s="1011">
        <f t="shared" si="80"/>
        <v>0</v>
      </c>
    </row>
    <row r="402" spans="1:43" ht="15" hidden="1" customHeight="1">
      <c r="B402" s="1037">
        <f>SUBTOTAL(3,$I$310:I402)</f>
        <v>0</v>
      </c>
      <c r="C402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02" s="627"/>
      <c r="E402" s="627"/>
      <c r="F402" s="656"/>
      <c r="G402" s="627" t="str">
        <f t="shared" si="81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3">IFERROR(I402*K402,0)</f>
        <v>0</v>
      </c>
      <c r="N402" s="1032">
        <f t="shared" si="82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80"/>
        <v>0</v>
      </c>
      <c r="AQ402" s="1011">
        <f t="shared" si="80"/>
        <v>0</v>
      </c>
    </row>
    <row r="403" spans="1:43" ht="15" hidden="1" customHeight="1">
      <c r="B403" s="1037">
        <f>SUBTOTAL(3,$I$310:I403)</f>
        <v>0</v>
      </c>
      <c r="C403" s="627" t="s">
        <v>559</v>
      </c>
      <c r="D403" s="627"/>
      <c r="E403" s="627"/>
      <c r="F403" s="656"/>
      <c r="G403" s="627" t="str">
        <f t="shared" si="81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3"/>
        <v>0</v>
      </c>
      <c r="N403" s="1032">
        <f t="shared" si="82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80"/>
        <v>0</v>
      </c>
      <c r="AQ403" s="1011">
        <f t="shared" si="80"/>
        <v>0</v>
      </c>
    </row>
    <row r="404" spans="1:43" ht="15" hidden="1" customHeight="1">
      <c r="B404" s="1037">
        <f>SUBTOTAL(3,$I$310:I404)</f>
        <v>0</v>
      </c>
      <c r="C404" s="627" t="s">
        <v>189</v>
      </c>
      <c r="D404" s="627"/>
      <c r="E404" s="627"/>
      <c r="F404" s="656"/>
      <c r="G404" s="627" t="str">
        <f t="shared" si="81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3"/>
        <v>0</v>
      </c>
      <c r="N404" s="1032">
        <f t="shared" si="82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80"/>
        <v>0</v>
      </c>
      <c r="AQ404" s="1011">
        <f t="shared" si="80"/>
        <v>0</v>
      </c>
    </row>
    <row r="405" spans="1:43" ht="15" hidden="1" customHeight="1">
      <c r="B405" s="1037">
        <f>SUBTOTAL(3,$I$310:I405)</f>
        <v>0</v>
      </c>
      <c r="C405" s="627" t="s">
        <v>1459</v>
      </c>
      <c r="D405" s="627"/>
      <c r="E405" s="627"/>
      <c r="F405" s="656"/>
      <c r="G405" s="627" t="str">
        <f t="shared" si="81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3"/>
        <v>0</v>
      </c>
      <c r="N405" s="1032">
        <f t="shared" si="82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80"/>
        <v>0</v>
      </c>
      <c r="AQ405" s="1011">
        <f t="shared" si="80"/>
        <v>0</v>
      </c>
    </row>
    <row r="406" spans="1:43" ht="15" hidden="1" customHeight="1">
      <c r="B406" s="1037">
        <f>SUBTOTAL(3,$I$310:I406)</f>
        <v>0</v>
      </c>
      <c r="C406" s="627" t="s">
        <v>192</v>
      </c>
      <c r="D406" s="627"/>
      <c r="E406" s="627"/>
      <c r="F406" s="656"/>
      <c r="G406" s="627" t="str">
        <f t="shared" si="81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3"/>
        <v>0</v>
      </c>
      <c r="N406" s="1032">
        <f t="shared" si="82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80"/>
        <v>0</v>
      </c>
      <c r="AQ406" s="1011">
        <f t="shared" si="80"/>
        <v>0</v>
      </c>
    </row>
    <row r="407" spans="1:43" ht="15" hidden="1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3"/>
        <v>0</v>
      </c>
      <c r="N407" s="1032">
        <f t="shared" si="82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80"/>
        <v>0</v>
      </c>
      <c r="AQ407" s="1011">
        <f t="shared" si="80"/>
        <v>0</v>
      </c>
    </row>
    <row r="408" spans="1:43" ht="15" hidden="1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3"/>
        <v>0</v>
      </c>
      <c r="N408" s="1032">
        <f t="shared" si="82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80"/>
        <v>0</v>
      </c>
      <c r="AQ408" s="1011">
        <f t="shared" si="80"/>
        <v>0</v>
      </c>
    </row>
    <row r="409" spans="1:43" ht="15" hidden="1" customHeight="1">
      <c r="B409" s="1037">
        <f>SUBTOTAL(3,$I$310:I409)</f>
        <v>0</v>
      </c>
      <c r="C409" s="627" t="str">
        <f ca="1">ПВХ_мембрана</f>
        <v>ПВХ мембрана LOGICROOF V-RP (1.2 мм)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3"/>
        <v>0</v>
      </c>
      <c r="N409" s="1032">
        <f t="shared" si="82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80"/>
        <v>0</v>
      </c>
      <c r="AQ409" s="1011">
        <f t="shared" si="80"/>
        <v>0</v>
      </c>
    </row>
    <row r="410" spans="1:43" ht="15" hidden="1" customHeight="1">
      <c r="B410" s="1037">
        <f>SUBTOTAL(3,$I$310:I410)</f>
        <v>0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3"/>
        <v>0</v>
      </c>
      <c r="N410" s="1032">
        <f t="shared" si="82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80"/>
        <v>0</v>
      </c>
      <c r="AQ410" s="1011">
        <f t="shared" si="80"/>
        <v>0</v>
      </c>
    </row>
    <row r="411" spans="1:43" ht="15" hidden="1" customHeight="1">
      <c r="B411" s="1037">
        <f>SUBTOTAL(3,$I$310:I411)</f>
        <v>0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3"/>
        <v>0</v>
      </c>
      <c r="N411" s="1032">
        <f t="shared" si="82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80"/>
        <v>0</v>
      </c>
      <c r="AQ411" s="1011">
        <f t="shared" si="80"/>
        <v>0</v>
      </c>
    </row>
    <row r="412" spans="1:43" ht="15" hidden="1" customHeight="1">
      <c r="B412" s="1037">
        <f>SUBTOTAL(3,$I$310:I412)</f>
        <v>0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3"/>
        <v>0</v>
      </c>
      <c r="N412" s="1032">
        <f t="shared" si="82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80"/>
        <v>0</v>
      </c>
      <c r="AQ412" s="1011">
        <f t="shared" si="80"/>
        <v>0</v>
      </c>
    </row>
    <row r="413" spans="1:43" ht="15" hidden="1" customHeight="1">
      <c r="B413" s="1037">
        <f>SUBTOTAL(3,$I$310:I413)</f>
        <v>0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3"/>
        <v>0</v>
      </c>
      <c r="N413" s="1032">
        <f t="shared" si="82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80"/>
        <v>0</v>
      </c>
      <c r="AQ413" s="1011">
        <f t="shared" si="80"/>
        <v>0</v>
      </c>
    </row>
    <row r="414" spans="1:43" ht="30" hidden="1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80"/>
        <v>0</v>
      </c>
      <c r="AQ414" s="1011">
        <f t="shared" si="80"/>
        <v>0</v>
      </c>
    </row>
    <row r="415" spans="1:43" ht="15" hidden="1" customHeight="1">
      <c r="B415" s="1037">
        <f>SUBTOTAL(3,$I$310:I415)</f>
        <v>0</v>
      </c>
      <c r="C415" s="627" t="s">
        <v>207</v>
      </c>
      <c r="D415" s="627"/>
      <c r="E415" s="627"/>
      <c r="F415" s="656"/>
      <c r="G415" s="627" t="str">
        <f t="shared" ref="G415:G421" si="84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5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80"/>
        <v>0</v>
      </c>
      <c r="AQ415" s="1011">
        <f t="shared" si="80"/>
        <v>0</v>
      </c>
    </row>
    <row r="416" spans="1:43" ht="15" hidden="1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5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80"/>
        <v>0</v>
      </c>
      <c r="AQ416" s="1011">
        <f t="shared" si="80"/>
        <v>0</v>
      </c>
    </row>
    <row r="417" spans="1:43" ht="15" hidden="1" customHeight="1">
      <c r="B417" s="1037">
        <f>SUBTOTAL(3,$I$310:I417)</f>
        <v>0</v>
      </c>
      <c r="C417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17" s="627"/>
      <c r="E417" s="627"/>
      <c r="F417" s="656"/>
      <c r="G417" s="627" t="str">
        <f t="shared" si="84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6">IFERROR(I417*K417,0)</f>
        <v>0</v>
      </c>
      <c r="N417" s="1032">
        <f t="shared" si="85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80"/>
        <v>0</v>
      </c>
      <c r="AQ417" s="1011">
        <f t="shared" si="80"/>
        <v>0</v>
      </c>
    </row>
    <row r="418" spans="1:43" ht="15" hidden="1" customHeight="1">
      <c r="B418" s="1037">
        <f>SUBTOTAL(3,$I$310:I418)</f>
        <v>0</v>
      </c>
      <c r="C418" s="627" t="s">
        <v>559</v>
      </c>
      <c r="D418" s="627"/>
      <c r="E418" s="627"/>
      <c r="F418" s="656"/>
      <c r="G418" s="627" t="str">
        <f t="shared" si="84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6"/>
        <v>0</v>
      </c>
      <c r="N418" s="1032">
        <f t="shared" si="85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80"/>
        <v>0</v>
      </c>
      <c r="AQ418" s="1011">
        <f t="shared" si="80"/>
        <v>0</v>
      </c>
    </row>
    <row r="419" spans="1:43" ht="15" hidden="1" customHeight="1">
      <c r="B419" s="1037">
        <f>SUBTOTAL(3,$I$310:I419)</f>
        <v>0</v>
      </c>
      <c r="C419" s="627" t="s">
        <v>189</v>
      </c>
      <c r="D419" s="627"/>
      <c r="E419" s="627"/>
      <c r="F419" s="656"/>
      <c r="G419" s="627" t="str">
        <f t="shared" si="84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6"/>
        <v>0</v>
      </c>
      <c r="N419" s="1032">
        <f t="shared" si="85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80"/>
        <v>0</v>
      </c>
      <c r="AQ419" s="1011">
        <f t="shared" si="80"/>
        <v>0</v>
      </c>
    </row>
    <row r="420" spans="1:43" ht="15" hidden="1" customHeight="1">
      <c r="B420" s="1037">
        <f>SUBTOTAL(3,$I$310:I420)</f>
        <v>0</v>
      </c>
      <c r="C420" s="627" t="s">
        <v>1459</v>
      </c>
      <c r="D420" s="627"/>
      <c r="E420" s="627"/>
      <c r="F420" s="656"/>
      <c r="G420" s="627" t="str">
        <f t="shared" si="84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6"/>
        <v>0</v>
      </c>
      <c r="N420" s="1032">
        <f t="shared" si="85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80"/>
        <v>0</v>
      </c>
      <c r="AQ420" s="1011">
        <f t="shared" si="80"/>
        <v>0</v>
      </c>
    </row>
    <row r="421" spans="1:43" ht="15" hidden="1" customHeight="1">
      <c r="B421" s="1037">
        <f>SUBTOTAL(3,$I$310:I421)</f>
        <v>0</v>
      </c>
      <c r="C421" s="627" t="s">
        <v>192</v>
      </c>
      <c r="D421" s="627"/>
      <c r="E421" s="627"/>
      <c r="F421" s="656"/>
      <c r="G421" s="627" t="str">
        <f t="shared" si="84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6"/>
        <v>0</v>
      </c>
      <c r="N421" s="1032">
        <f t="shared" si="85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80"/>
        <v>0</v>
      </c>
      <c r="AQ421" s="1011">
        <f t="shared" si="80"/>
        <v>0</v>
      </c>
    </row>
    <row r="422" spans="1:43" ht="15" hidden="1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6"/>
        <v>0</v>
      </c>
      <c r="N422" s="1032">
        <f t="shared" si="85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80"/>
        <v>0</v>
      </c>
      <c r="AQ422" s="1011">
        <f t="shared" si="80"/>
        <v>0</v>
      </c>
    </row>
    <row r="423" spans="1:43" ht="15" hidden="1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6"/>
        <v>0</v>
      </c>
      <c r="N423" s="1032">
        <f t="shared" si="85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80"/>
        <v>0</v>
      </c>
      <c r="AQ423" s="1011">
        <f t="shared" si="80"/>
        <v>0</v>
      </c>
    </row>
    <row r="424" spans="1:43" ht="15" hidden="1" customHeight="1">
      <c r="B424" s="1037">
        <f>SUBTOTAL(3,$I$310:I424)</f>
        <v>0</v>
      </c>
      <c r="C424" s="627" t="str">
        <f ca="1">ПВХ_мембрана</f>
        <v>ПВХ мембрана LOGICROOF V-RP (1.2 мм)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6"/>
        <v>0</v>
      </c>
      <c r="N424" s="1032">
        <f t="shared" si="85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80"/>
        <v>0</v>
      </c>
      <c r="AQ424" s="1011">
        <f t="shared" si="80"/>
        <v>0</v>
      </c>
    </row>
    <row r="425" spans="1:43" ht="15" hidden="1" customHeight="1">
      <c r="B425" s="1037">
        <f>SUBTOTAL(3,$I$310:I425)</f>
        <v>0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6"/>
        <v>0</v>
      </c>
      <c r="N425" s="1032">
        <f t="shared" si="85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80"/>
        <v>0</v>
      </c>
      <c r="AQ425" s="1011">
        <f t="shared" si="80"/>
        <v>0</v>
      </c>
    </row>
    <row r="426" spans="1:43" ht="15" hidden="1" customHeight="1">
      <c r="B426" s="1037">
        <f>SUBTOTAL(3,$I$310:I426)</f>
        <v>0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6"/>
        <v>0</v>
      </c>
      <c r="N426" s="1032">
        <f t="shared" si="85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80"/>
        <v>0</v>
      </c>
      <c r="AQ426" s="1011">
        <f t="shared" si="80"/>
        <v>0</v>
      </c>
    </row>
    <row r="427" spans="1:43" ht="15" hidden="1" customHeight="1">
      <c r="B427" s="1037">
        <f>SUBTOTAL(3,$I$310:I427)</f>
        <v>0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6"/>
        <v>0</v>
      </c>
      <c r="N427" s="1032">
        <f t="shared" si="85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80"/>
        <v>75</v>
      </c>
      <c r="AQ427" s="1011">
        <f t="shared" si="80"/>
        <v>-100</v>
      </c>
    </row>
    <row r="428" spans="1:43" ht="15" hidden="1" customHeight="1">
      <c r="B428" s="1037">
        <f>SUBTOTAL(3,$I$310:I428)</f>
        <v>0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6"/>
        <v>0</v>
      </c>
      <c r="N428" s="1032">
        <f t="shared" si="85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80"/>
        <v>75</v>
      </c>
      <c r="AQ428" s="1011">
        <f t="shared" si="80"/>
        <v>-100</v>
      </c>
    </row>
    <row r="429" spans="1:43" ht="30" hidden="1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80"/>
        <v>75</v>
      </c>
      <c r="AQ429" s="1011">
        <f t="shared" si="80"/>
        <v>-80</v>
      </c>
    </row>
    <row r="430" spans="1:43" ht="15" hidden="1" customHeight="1">
      <c r="B430" s="1037">
        <f>SUBTOTAL(3,$I$310:I430)</f>
        <v>0</v>
      </c>
      <c r="C430" s="627" t="s">
        <v>207</v>
      </c>
      <c r="D430" s="627"/>
      <c r="E430" s="627"/>
      <c r="F430" s="627"/>
      <c r="G430" s="627" t="str">
        <f t="shared" ref="G430:G436" si="87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8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80"/>
        <v>75</v>
      </c>
      <c r="AQ430" s="1011">
        <f t="shared" si="80"/>
        <v>-80</v>
      </c>
    </row>
    <row r="431" spans="1:43" ht="15" hidden="1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8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80"/>
        <v>75</v>
      </c>
      <c r="AQ431" s="1011">
        <f t="shared" si="80"/>
        <v>-40</v>
      </c>
    </row>
    <row r="432" spans="1:43" ht="15" hidden="1" customHeight="1">
      <c r="B432" s="1037">
        <f>SUBTOTAL(3,$I$310:I432)</f>
        <v>0</v>
      </c>
      <c r="C432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32" s="627"/>
      <c r="E432" s="627"/>
      <c r="F432" s="627"/>
      <c r="G432" s="627" t="str">
        <f t="shared" si="87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9">IFERROR(I432*K432,0)</f>
        <v>0</v>
      </c>
      <c r="N432" s="1032">
        <f t="shared" si="88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hidden="1" customHeight="1">
      <c r="B433" s="1037">
        <f>SUBTOTAL(3,$I$310:I433)</f>
        <v>0</v>
      </c>
      <c r="C433" s="627" t="s">
        <v>559</v>
      </c>
      <c r="D433" s="627"/>
      <c r="E433" s="627"/>
      <c r="F433" s="627"/>
      <c r="G433" s="627" t="str">
        <f t="shared" si="87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9"/>
        <v>0</v>
      </c>
      <c r="N433" s="1032">
        <f t="shared" si="88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hidden="1" customHeight="1">
      <c r="B434" s="1037">
        <f>SUBTOTAL(3,$I$310:I434)</f>
        <v>0</v>
      </c>
      <c r="C434" s="627" t="s">
        <v>189</v>
      </c>
      <c r="D434" s="627"/>
      <c r="E434" s="627"/>
      <c r="F434" s="627"/>
      <c r="G434" s="627" t="str">
        <f t="shared" si="87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9"/>
        <v>0</v>
      </c>
      <c r="N434" s="1032">
        <f t="shared" si="88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hidden="1" customHeight="1">
      <c r="B435" s="1037">
        <f>SUBTOTAL(3,$I$310:I435)</f>
        <v>0</v>
      </c>
      <c r="C435" s="627" t="s">
        <v>1459</v>
      </c>
      <c r="D435" s="627"/>
      <c r="E435" s="627"/>
      <c r="F435" s="627"/>
      <c r="G435" s="627" t="str">
        <f t="shared" si="87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9"/>
        <v>0</v>
      </c>
      <c r="N435" s="1032">
        <f t="shared" si="88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hidden="1" customHeight="1">
      <c r="B436" s="1037">
        <f>SUBTOTAL(3,$I$310:I436)</f>
        <v>0</v>
      </c>
      <c r="C436" s="627" t="s">
        <v>192</v>
      </c>
      <c r="D436" s="627"/>
      <c r="E436" s="627"/>
      <c r="F436" s="627"/>
      <c r="G436" s="627" t="str">
        <f t="shared" si="87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9"/>
        <v>0</v>
      </c>
      <c r="N436" s="1032">
        <f t="shared" si="88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hidden="1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9"/>
        <v>0</v>
      </c>
      <c r="N437" s="1032">
        <f t="shared" si="88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hidden="1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9"/>
        <v>0</v>
      </c>
      <c r="N438" s="1032">
        <f t="shared" si="88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hidden="1" customHeight="1">
      <c r="B439" s="1037">
        <f>SUBTOTAL(3,$I$310:I439)</f>
        <v>0</v>
      </c>
      <c r="C439" s="627" t="str">
        <f ca="1">ПВХ_мембрана</f>
        <v>ПВХ мембрана LOGICROOF V-RP (1.2 мм)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9"/>
        <v>0</v>
      </c>
      <c r="N439" s="1032">
        <f t="shared" si="88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hidden="1" customHeight="1">
      <c r="B440" s="1037">
        <f>SUBTOTAL(3,$I$310:I440)</f>
        <v>0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9"/>
        <v>0</v>
      </c>
      <c r="N440" s="1032">
        <f t="shared" si="88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hidden="1" customHeight="1">
      <c r="B441" s="1037">
        <f>SUBTOTAL(3,$I$310:I441)</f>
        <v>0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9"/>
        <v>0</v>
      </c>
      <c r="N441" s="1032">
        <f t="shared" si="88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hidden="1" customHeight="1">
      <c r="B442" s="1037">
        <f>SUBTOTAL(3,$I$310:I442)</f>
        <v>0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9"/>
        <v>0</v>
      </c>
      <c r="N442" s="1032">
        <f t="shared" si="88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hidden="1" customHeight="1">
      <c r="B443" s="1037">
        <f>SUBTOTAL(3,$I$310:I443)</f>
        <v>0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9"/>
        <v>0</v>
      </c>
      <c r="N443" s="1032">
        <f t="shared" si="88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hidden="1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hidden="1" customHeight="1">
      <c r="B445" s="1037">
        <f>SUBTOTAL(3,$I$310:I445)</f>
        <v>0</v>
      </c>
      <c r="C445" s="627" t="s">
        <v>207</v>
      </c>
      <c r="D445" s="627"/>
      <c r="E445" s="627"/>
      <c r="F445" s="627"/>
      <c r="G445" s="627" t="str">
        <f t="shared" ref="G445:G451" si="90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91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hidden="1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91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hidden="1" customHeight="1">
      <c r="B447" s="1037">
        <f>SUBTOTAL(3,$I$310:I447)</f>
        <v>0</v>
      </c>
      <c r="C447" s="627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47" s="627"/>
      <c r="E447" s="627"/>
      <c r="F447" s="627"/>
      <c r="G447" s="627" t="str">
        <f t="shared" si="90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2">IFERROR(I447*K447,0)</f>
        <v>0</v>
      </c>
      <c r="N447" s="1032">
        <f t="shared" si="91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hidden="1" customHeight="1">
      <c r="B448" s="1037">
        <f>SUBTOTAL(3,$I$310:I448)</f>
        <v>0</v>
      </c>
      <c r="C448" s="627" t="s">
        <v>559</v>
      </c>
      <c r="D448" s="627"/>
      <c r="E448" s="627"/>
      <c r="F448" s="627"/>
      <c r="G448" s="627" t="str">
        <f t="shared" si="90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2"/>
        <v>0</v>
      </c>
      <c r="N448" s="1032">
        <f t="shared" si="91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hidden="1" customHeight="1">
      <c r="B449" s="1037">
        <f>SUBTOTAL(3,$I$310:I449)</f>
        <v>0</v>
      </c>
      <c r="C449" s="627" t="s">
        <v>189</v>
      </c>
      <c r="D449" s="627"/>
      <c r="E449" s="627"/>
      <c r="F449" s="627"/>
      <c r="G449" s="627" t="str">
        <f t="shared" si="90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2"/>
        <v>0</v>
      </c>
      <c r="N449" s="1032">
        <f t="shared" si="91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hidden="1" customHeight="1">
      <c r="B450" s="1037">
        <f>SUBTOTAL(3,$I$310:I450)</f>
        <v>0</v>
      </c>
      <c r="C450" s="627" t="s">
        <v>1459</v>
      </c>
      <c r="D450" s="627"/>
      <c r="E450" s="627"/>
      <c r="F450" s="627"/>
      <c r="G450" s="627" t="str">
        <f t="shared" si="90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2"/>
        <v>0</v>
      </c>
      <c r="N450" s="1032">
        <f t="shared" si="91"/>
        <v>0</v>
      </c>
    </row>
    <row r="451" spans="2:38" ht="15" hidden="1" customHeight="1">
      <c r="B451" s="1037">
        <f>SUBTOTAL(3,$I$310:I451)</f>
        <v>0</v>
      </c>
      <c r="C451" s="627" t="s">
        <v>192</v>
      </c>
      <c r="D451" s="627"/>
      <c r="E451" s="627"/>
      <c r="F451" s="627"/>
      <c r="G451" s="627" t="str">
        <f t="shared" si="90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2"/>
        <v>0</v>
      </c>
      <c r="N451" s="1032">
        <f t="shared" si="91"/>
        <v>0</v>
      </c>
    </row>
    <row r="452" spans="2:38" ht="15" hidden="1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2"/>
        <v>0</v>
      </c>
      <c r="N452" s="1032">
        <f t="shared" si="91"/>
        <v>0</v>
      </c>
    </row>
    <row r="453" spans="2:38" ht="15" hidden="1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2"/>
        <v>0</v>
      </c>
      <c r="N453" s="1032">
        <f t="shared" si="91"/>
        <v>0</v>
      </c>
    </row>
    <row r="454" spans="2:38" ht="15" hidden="1" customHeight="1">
      <c r="B454" s="1037">
        <f>SUBTOTAL(3,$I$310:I454)</f>
        <v>0</v>
      </c>
      <c r="C454" s="627" t="str">
        <f ca="1">ПВХ_мембрана</f>
        <v>ПВХ мембрана LOGICROOF V-RP (1.2 мм)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2"/>
        <v>0</v>
      </c>
      <c r="N454" s="1032">
        <f t="shared" si="91"/>
        <v>0</v>
      </c>
    </row>
    <row r="455" spans="2:38" ht="15" hidden="1" customHeight="1">
      <c r="B455" s="1037">
        <f>SUBTOTAL(3,$I$310:I455)</f>
        <v>0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2"/>
        <v>0</v>
      </c>
      <c r="N455" s="1032">
        <f t="shared" si="91"/>
        <v>0</v>
      </c>
    </row>
    <row r="456" spans="2:38" ht="15" hidden="1" customHeight="1">
      <c r="B456" s="1037">
        <f>SUBTOTAL(3,$I$310:I456)</f>
        <v>0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2"/>
        <v>0</v>
      </c>
      <c r="N456" s="1032">
        <f t="shared" si="91"/>
        <v>0</v>
      </c>
    </row>
    <row r="457" spans="2:38" ht="15" hidden="1" customHeight="1">
      <c r="B457" s="1037">
        <f>SUBTOTAL(3,$I$310:I457)</f>
        <v>0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2"/>
        <v>0</v>
      </c>
      <c r="N457" s="1032">
        <f t="shared" si="91"/>
        <v>0</v>
      </c>
    </row>
    <row r="458" spans="2:38" ht="15" hidden="1" customHeight="1">
      <c r="B458" s="1037">
        <f>SUBTOTAL(3,$I$310:I458)</f>
        <v>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2"/>
        <v>0</v>
      </c>
      <c r="N458" s="1032">
        <f t="shared" si="91"/>
        <v>0</v>
      </c>
    </row>
    <row r="459" spans="2:38" ht="30" customHeight="1">
      <c r="B459" s="691"/>
      <c r="C459" s="1183" t="str">
        <f>CONCATENATE($Q$95,$AE$9,$T$95,$AF$9)</f>
        <v>1. Общая длина примыкания- 21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1</v>
      </c>
    </row>
    <row r="460" spans="2:38" ht="15" hidden="1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3">IF(I460&gt;0,1,0)</f>
        <v>0</v>
      </c>
    </row>
    <row r="461" spans="2:38" ht="15" customHeight="1">
      <c r="B461" s="1013">
        <f>SUBTOTAL(3,$I$310:I461)</f>
        <v>1</v>
      </c>
      <c r="C461" s="626" t="str">
        <f>IF(ТИП2!ПЛ&lt;1000,"Рейка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461" s="627"/>
      <c r="E461" s="627"/>
      <c r="F461" s="627"/>
      <c r="G461" s="627" t="str">
        <f t="shared" ref="G461:G467" si="94">" "</f>
        <v xml:space="preserve"> </v>
      </c>
      <c r="H461" s="608">
        <v>1.03</v>
      </c>
      <c r="I461" s="614">
        <f>IFERROR(ROUNDUP($AA$95*H461,2),0)</f>
        <v>21.63</v>
      </c>
      <c r="J461" s="1013" t="s">
        <v>264</v>
      </c>
      <c r="K461" s="610"/>
      <c r="L461" s="610">
        <f>IFERROR(I461*K461,0)</f>
        <v>0</v>
      </c>
      <c r="N461" s="1032">
        <f t="shared" si="93"/>
        <v>1</v>
      </c>
    </row>
    <row r="462" spans="2:38" ht="15" customHeight="1">
      <c r="B462" s="1013">
        <f>SUBTOTAL(3,$I$310:I462)</f>
        <v>2</v>
      </c>
      <c r="C462" s="626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62" s="627"/>
      <c r="E462" s="627"/>
      <c r="F462" s="627"/>
      <c r="G462" s="627" t="str">
        <f t="shared" si="94"/>
        <v xml:space="preserve"> </v>
      </c>
      <c r="H462" s="608">
        <v>1.03</v>
      </c>
      <c r="I462" s="614">
        <f>IFERROR(ROUNDUP($Z$95*H462,2),0)</f>
        <v>21.63</v>
      </c>
      <c r="J462" s="1013" t="s">
        <v>264</v>
      </c>
      <c r="K462" s="610"/>
      <c r="L462" s="610">
        <f t="shared" ref="L462:L473" si="95">IFERROR(I462*K462,0)</f>
        <v>0</v>
      </c>
      <c r="N462" s="1032">
        <f t="shared" si="93"/>
        <v>1</v>
      </c>
    </row>
    <row r="463" spans="2:38" ht="15" hidden="1" customHeight="1">
      <c r="B463" s="1013">
        <f>SUBTOTAL(3,$I$310:I463)</f>
        <v>2</v>
      </c>
      <c r="C463" s="627" t="s">
        <v>559</v>
      </c>
      <c r="D463" s="627"/>
      <c r="E463" s="627"/>
      <c r="F463" s="627"/>
      <c r="G463" s="627" t="str">
        <f t="shared" si="94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5"/>
        <v>0</v>
      </c>
      <c r="N463" s="1032">
        <f t="shared" si="93"/>
        <v>0</v>
      </c>
    </row>
    <row r="464" spans="2:38" ht="15" customHeight="1">
      <c r="B464" s="1013">
        <f>SUBTOTAL(3,$I$310:I464)</f>
        <v>3</v>
      </c>
      <c r="C464" s="627" t="s">
        <v>189</v>
      </c>
      <c r="D464" s="627"/>
      <c r="E464" s="627"/>
      <c r="F464" s="627"/>
      <c r="G464" s="627" t="str">
        <f t="shared" si="94"/>
        <v xml:space="preserve"> </v>
      </c>
      <c r="H464" s="608">
        <v>5</v>
      </c>
      <c r="I464" s="611">
        <f>IFERROR($AE$95,0)</f>
        <v>293</v>
      </c>
      <c r="J464" s="1013" t="s">
        <v>151</v>
      </c>
      <c r="K464" s="610"/>
      <c r="L464" s="610">
        <f t="shared" si="95"/>
        <v>0</v>
      </c>
      <c r="N464" s="1032">
        <f t="shared" si="93"/>
        <v>1</v>
      </c>
    </row>
    <row r="465" spans="2:14" ht="15" customHeight="1">
      <c r="B465" s="1013">
        <f>SUBTOTAL(3,$I$310:I465)</f>
        <v>4</v>
      </c>
      <c r="C465" s="627" t="s">
        <v>1459</v>
      </c>
      <c r="D465" s="627"/>
      <c r="E465" s="627"/>
      <c r="F465" s="627"/>
      <c r="G465" s="627" t="str">
        <f t="shared" si="94"/>
        <v xml:space="preserve"> </v>
      </c>
      <c r="H465" s="608">
        <v>5</v>
      </c>
      <c r="I465" s="611">
        <f>IFERROR($AD$95*H465*1.03,0)</f>
        <v>216.3</v>
      </c>
      <c r="J465" s="1013" t="s">
        <v>151</v>
      </c>
      <c r="K465" s="610"/>
      <c r="L465" s="610">
        <f t="shared" si="95"/>
        <v>0</v>
      </c>
      <c r="N465" s="1032">
        <f t="shared" si="93"/>
        <v>1</v>
      </c>
    </row>
    <row r="466" spans="2:14" ht="15" customHeight="1">
      <c r="B466" s="1013">
        <f>SUBTOTAL(3,$I$310:I466)</f>
        <v>5</v>
      </c>
      <c r="C466" s="627" t="s">
        <v>192</v>
      </c>
      <c r="D466" s="627"/>
      <c r="E466" s="627"/>
      <c r="F466" s="627"/>
      <c r="G466" s="627" t="str">
        <f t="shared" si="94"/>
        <v xml:space="preserve"> </v>
      </c>
      <c r="H466" s="608">
        <v>1.1000000000000001</v>
      </c>
      <c r="I466" s="609">
        <f>IFERROR(ROUNDUP($AB$95*H466,0),0)</f>
        <v>3</v>
      </c>
      <c r="J466" s="1013" t="s">
        <v>112</v>
      </c>
      <c r="K466" s="610"/>
      <c r="L466" s="610">
        <f t="shared" si="95"/>
        <v>0</v>
      </c>
      <c r="N466" s="1032">
        <f t="shared" si="93"/>
        <v>1</v>
      </c>
    </row>
    <row r="467" spans="2:14" ht="15" customHeight="1">
      <c r="B467" s="1013">
        <f>SUBTOTAL(3,$I$310:I467)</f>
        <v>6</v>
      </c>
      <c r="C467" s="627" t="s">
        <v>936</v>
      </c>
      <c r="D467" s="627"/>
      <c r="E467" s="627"/>
      <c r="F467" s="627"/>
      <c r="G467" s="627" t="str">
        <f t="shared" si="94"/>
        <v xml:space="preserve"> </v>
      </c>
      <c r="H467" s="608">
        <v>0.15</v>
      </c>
      <c r="I467" s="611">
        <f>IFERROR(ROUNDUP($AA$95*H467/600*1000,0),0)</f>
        <v>6</v>
      </c>
      <c r="J467" s="1013" t="s">
        <v>151</v>
      </c>
      <c r="K467" s="610"/>
      <c r="L467" s="610">
        <f t="shared" si="95"/>
        <v>0</v>
      </c>
      <c r="N467" s="1032">
        <f t="shared" si="93"/>
        <v>1</v>
      </c>
    </row>
    <row r="468" spans="2:14" ht="15" hidden="1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5"/>
        <v>0</v>
      </c>
      <c r="N468" s="1032">
        <f t="shared" si="93"/>
        <v>0</v>
      </c>
    </row>
    <row r="469" spans="2:14" ht="15" customHeight="1">
      <c r="B469" s="1037">
        <f>SUBTOTAL(3,$I$310:I469)</f>
        <v>7</v>
      </c>
      <c r="C469" s="627" t="str">
        <f ca="1">ПВХ_мембрана</f>
        <v>ПВХ мембрана LOGICROOF V-RP (1.2 мм)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24</v>
      </c>
      <c r="J469" s="1013" t="s">
        <v>112</v>
      </c>
      <c r="K469" s="610"/>
      <c r="L469" s="610">
        <f t="shared" si="95"/>
        <v>0</v>
      </c>
      <c r="N469" s="1032">
        <f t="shared" si="93"/>
        <v>1</v>
      </c>
    </row>
    <row r="470" spans="2:14" ht="15" customHeight="1">
      <c r="B470" s="1037">
        <f>SUBTOTAL(3,$I$310:I470)</f>
        <v>8</v>
      </c>
      <c r="C470" s="627" t="s">
        <v>337</v>
      </c>
      <c r="D470" s="627"/>
      <c r="E470" s="627"/>
      <c r="F470" s="627">
        <f>$AG$95</f>
        <v>100</v>
      </c>
      <c r="G470" s="627" t="s">
        <v>150</v>
      </c>
      <c r="H470" s="608" t="str">
        <f>" "</f>
        <v xml:space="preserve"> </v>
      </c>
      <c r="I470" s="611">
        <f>IFERROR($AH$95,0)</f>
        <v>76</v>
      </c>
      <c r="J470" s="1013" t="s">
        <v>190</v>
      </c>
      <c r="K470" s="610"/>
      <c r="L470" s="610">
        <f t="shared" si="95"/>
        <v>0</v>
      </c>
      <c r="N470" s="1032">
        <f t="shared" si="93"/>
        <v>1</v>
      </c>
    </row>
    <row r="471" spans="2:14" ht="15" hidden="1" customHeight="1">
      <c r="B471" s="1037">
        <f>SUBTOTAL(3,$I$310:I471)</f>
        <v>8</v>
      </c>
      <c r="C471" s="627" t="s">
        <v>337</v>
      </c>
      <c r="D471" s="627"/>
      <c r="E471" s="627"/>
      <c r="F471" s="627">
        <f>$AK$95</f>
        <v>100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5"/>
        <v>0</v>
      </c>
      <c r="N471" s="1032">
        <f t="shared" si="93"/>
        <v>0</v>
      </c>
    </row>
    <row r="472" spans="2:14" ht="15" customHeight="1">
      <c r="B472" s="1037">
        <f>SUBTOTAL(3,$I$310:I472)</f>
        <v>9</v>
      </c>
      <c r="C472" s="627" t="s">
        <v>268</v>
      </c>
      <c r="D472" s="627"/>
      <c r="E472" s="627"/>
      <c r="F472" s="627">
        <f>$AI$95</f>
        <v>20</v>
      </c>
      <c r="G472" s="627" t="s">
        <v>150</v>
      </c>
      <c r="H472" s="608" t="str">
        <f>" "</f>
        <v xml:space="preserve"> </v>
      </c>
      <c r="I472" s="611">
        <f>IFERROR($AJ$95,0)</f>
        <v>76</v>
      </c>
      <c r="J472" s="1013" t="s">
        <v>190</v>
      </c>
      <c r="K472" s="610"/>
      <c r="L472" s="610">
        <f t="shared" si="95"/>
        <v>0</v>
      </c>
      <c r="N472" s="1032">
        <f t="shared" si="93"/>
        <v>1</v>
      </c>
    </row>
    <row r="473" spans="2:14" ht="15" customHeight="1">
      <c r="B473" s="1037">
        <f>SUBTOTAL(3,$I$310:I473)</f>
        <v>10</v>
      </c>
      <c r="C473" s="627" t="str">
        <f>$W$95</f>
        <v>ТЕХНОРУФ Н ПРОФ</v>
      </c>
      <c r="D473" s="627"/>
      <c r="E473" s="627"/>
      <c r="F473" s="627">
        <f>$V$95</f>
        <v>50</v>
      </c>
      <c r="G473" s="627" t="s">
        <v>150</v>
      </c>
      <c r="H473" s="608">
        <v>1.03</v>
      </c>
      <c r="I473" s="609">
        <f>$AF$95</f>
        <v>0.6</v>
      </c>
      <c r="J473" s="1013" t="s">
        <v>178</v>
      </c>
      <c r="K473" s="610"/>
      <c r="L473" s="610">
        <f t="shared" si="95"/>
        <v>0</v>
      </c>
      <c r="N473" s="1032">
        <f t="shared" si="93"/>
        <v>1</v>
      </c>
    </row>
    <row r="474" spans="2:14" ht="30" customHeight="1">
      <c r="B474" s="691"/>
      <c r="C474" s="1183" t="str">
        <f>CONCATENATE($Q$96,$AE$9,$T$96,$AF$9)</f>
        <v>2. Общая длина примыкания- 45,9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1</v>
      </c>
    </row>
    <row r="475" spans="2:14" ht="15" hidden="1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6">IF(I475&gt;0,1,0)</f>
        <v>0</v>
      </c>
    </row>
    <row r="476" spans="2:14" ht="15" customHeight="1">
      <c r="B476" s="1013">
        <f>SUBTOTAL(3,$I$310:I476)</f>
        <v>11</v>
      </c>
      <c r="C476" s="626" t="str">
        <f>IF(ТИП2!ПЛ&lt;1000,"Рейка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476" s="627"/>
      <c r="E476" s="627"/>
      <c r="F476" s="627"/>
      <c r="G476" s="627" t="str">
        <f t="shared" ref="G476:G482" si="97">" "</f>
        <v xml:space="preserve"> </v>
      </c>
      <c r="H476" s="608">
        <v>1.03</v>
      </c>
      <c r="I476" s="614">
        <f>IFERROR(ROUNDUP($AA$96*H476,2),0)</f>
        <v>47.28</v>
      </c>
      <c r="J476" s="1013" t="s">
        <v>264</v>
      </c>
      <c r="K476" s="610"/>
      <c r="L476" s="610">
        <f>IFERROR(I476*K476,0)</f>
        <v>0</v>
      </c>
      <c r="N476" s="1032">
        <f t="shared" si="96"/>
        <v>1</v>
      </c>
    </row>
    <row r="477" spans="2:14" ht="15" customHeight="1">
      <c r="B477" s="1013">
        <f>SUBTOTAL(3,$I$310:I477)</f>
        <v>12</v>
      </c>
      <c r="C477" s="626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77" s="627"/>
      <c r="E477" s="627"/>
      <c r="F477" s="627"/>
      <c r="G477" s="627" t="str">
        <f t="shared" si="97"/>
        <v xml:space="preserve"> </v>
      </c>
      <c r="H477" s="608">
        <v>1.03</v>
      </c>
      <c r="I477" s="614">
        <f>IFERROR(ROUNDUP($Z$96*H477,2),0)</f>
        <v>47.28</v>
      </c>
      <c r="J477" s="1013" t="s">
        <v>264</v>
      </c>
      <c r="K477" s="610"/>
      <c r="L477" s="610">
        <f t="shared" ref="L477:L488" si="98">IFERROR(I477*K477,0)</f>
        <v>0</v>
      </c>
      <c r="N477" s="1032">
        <f t="shared" si="96"/>
        <v>1</v>
      </c>
    </row>
    <row r="478" spans="2:14" ht="15" customHeight="1">
      <c r="B478" s="1013">
        <f>SUBTOTAL(3,$I$310:I478)</f>
        <v>13</v>
      </c>
      <c r="C478" s="627" t="s">
        <v>559</v>
      </c>
      <c r="D478" s="627"/>
      <c r="E478" s="627"/>
      <c r="F478" s="627"/>
      <c r="G478" s="627" t="str">
        <f t="shared" si="97"/>
        <v xml:space="preserve"> </v>
      </c>
      <c r="H478" s="608">
        <v>5</v>
      </c>
      <c r="I478" s="611">
        <f>IFERROR($AC$96*H478*1.03,0)</f>
        <v>473.8</v>
      </c>
      <c r="J478" s="1013" t="s">
        <v>151</v>
      </c>
      <c r="K478" s="610"/>
      <c r="L478" s="610">
        <f t="shared" si="98"/>
        <v>0</v>
      </c>
      <c r="N478" s="1032">
        <f t="shared" si="96"/>
        <v>1</v>
      </c>
    </row>
    <row r="479" spans="2:14" ht="15" hidden="1" customHeight="1">
      <c r="B479" s="1013">
        <f>SUBTOTAL(3,$I$310:I479)</f>
        <v>13</v>
      </c>
      <c r="C479" s="627" t="s">
        <v>189</v>
      </c>
      <c r="D479" s="627"/>
      <c r="E479" s="627"/>
      <c r="F479" s="627"/>
      <c r="G479" s="627" t="str">
        <f t="shared" si="97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8"/>
        <v>0</v>
      </c>
      <c r="N479" s="1032">
        <f t="shared" si="96"/>
        <v>0</v>
      </c>
    </row>
    <row r="480" spans="2:14" ht="15" hidden="1" customHeight="1">
      <c r="B480" s="1013">
        <f>SUBTOTAL(3,$I$310:I480)</f>
        <v>13</v>
      </c>
      <c r="C480" s="627" t="s">
        <v>1459</v>
      </c>
      <c r="D480" s="627"/>
      <c r="E480" s="627"/>
      <c r="F480" s="627"/>
      <c r="G480" s="627" t="str">
        <f t="shared" si="97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8"/>
        <v>0</v>
      </c>
      <c r="N480" s="1032">
        <f t="shared" si="96"/>
        <v>0</v>
      </c>
    </row>
    <row r="481" spans="2:14" ht="15" hidden="1" customHeight="1">
      <c r="B481" s="1013">
        <f>SUBTOTAL(3,$I$310:I481)</f>
        <v>13</v>
      </c>
      <c r="C481" s="627" t="s">
        <v>192</v>
      </c>
      <c r="D481" s="627"/>
      <c r="E481" s="627"/>
      <c r="F481" s="627"/>
      <c r="G481" s="627" t="str">
        <f t="shared" si="97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8"/>
        <v>0</v>
      </c>
      <c r="N481" s="1032">
        <f t="shared" si="96"/>
        <v>0</v>
      </c>
    </row>
    <row r="482" spans="2:14" ht="15" customHeight="1">
      <c r="B482" s="1013">
        <f>SUBTOTAL(3,$I$310:I482)</f>
        <v>14</v>
      </c>
      <c r="C482" s="627" t="s">
        <v>936</v>
      </c>
      <c r="D482" s="627"/>
      <c r="E482" s="627"/>
      <c r="F482" s="627"/>
      <c r="G482" s="627" t="str">
        <f t="shared" si="97"/>
        <v xml:space="preserve"> </v>
      </c>
      <c r="H482" s="608">
        <v>0.15</v>
      </c>
      <c r="I482" s="611">
        <f>IFERROR(ROUNDUP($AA$96*H482/600*1000,0),0)</f>
        <v>12</v>
      </c>
      <c r="J482" s="1013" t="s">
        <v>151</v>
      </c>
      <c r="K482" s="610"/>
      <c r="L482" s="610">
        <f t="shared" si="98"/>
        <v>0</v>
      </c>
      <c r="N482" s="1032">
        <f t="shared" si="96"/>
        <v>1</v>
      </c>
    </row>
    <row r="483" spans="2:14" ht="15" hidden="1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8"/>
        <v>0</v>
      </c>
      <c r="N483" s="1032">
        <f t="shared" si="96"/>
        <v>0</v>
      </c>
    </row>
    <row r="484" spans="2:14" ht="15" customHeight="1">
      <c r="B484" s="1037">
        <f>SUBTOTAL(3,$I$310:I484)</f>
        <v>15</v>
      </c>
      <c r="C484" s="627" t="str">
        <f ca="1">ПВХ_мембрана</f>
        <v>ПВХ мембрана LOGICROOF V-RP (1.2 мм)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52</v>
      </c>
      <c r="J484" s="1013" t="s">
        <v>112</v>
      </c>
      <c r="K484" s="610"/>
      <c r="L484" s="610">
        <f t="shared" si="98"/>
        <v>0</v>
      </c>
      <c r="N484" s="1032">
        <f t="shared" si="96"/>
        <v>1</v>
      </c>
    </row>
    <row r="485" spans="2:14" ht="15" customHeight="1">
      <c r="B485" s="1037">
        <f>SUBTOTAL(3,$I$310:I485)</f>
        <v>16</v>
      </c>
      <c r="C485" s="627" t="s">
        <v>337</v>
      </c>
      <c r="D485" s="627"/>
      <c r="E485" s="627"/>
      <c r="F485" s="627">
        <f>$AG$96</f>
        <v>70</v>
      </c>
      <c r="G485" s="627" t="s">
        <v>150</v>
      </c>
      <c r="H485" s="608" t="str">
        <f>" "</f>
        <v xml:space="preserve"> </v>
      </c>
      <c r="I485" s="611">
        <f>IFERROR($AH$96,0)</f>
        <v>166</v>
      </c>
      <c r="J485" s="1013" t="s">
        <v>190</v>
      </c>
      <c r="K485" s="610"/>
      <c r="L485" s="610">
        <f t="shared" si="98"/>
        <v>0</v>
      </c>
      <c r="N485" s="1032">
        <f t="shared" si="96"/>
        <v>1</v>
      </c>
    </row>
    <row r="486" spans="2:14" ht="15" hidden="1" customHeight="1">
      <c r="B486" s="1037">
        <f>SUBTOTAL(3,$I$310:I486)</f>
        <v>16</v>
      </c>
      <c r="C486" s="627" t="s">
        <v>337</v>
      </c>
      <c r="D486" s="627"/>
      <c r="E486" s="627"/>
      <c r="F486" s="627">
        <f>$AK$96</f>
        <v>80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8"/>
        <v>0</v>
      </c>
      <c r="N486" s="1032">
        <f t="shared" si="96"/>
        <v>0</v>
      </c>
    </row>
    <row r="487" spans="2:14" ht="15" customHeight="1">
      <c r="B487" s="1037">
        <f>SUBTOTAL(3,$I$310:I487)</f>
        <v>17</v>
      </c>
      <c r="C487" s="627" t="s">
        <v>268</v>
      </c>
      <c r="D487" s="627"/>
      <c r="E487" s="627"/>
      <c r="F487" s="627">
        <f>$AI$96</f>
        <v>20</v>
      </c>
      <c r="G487" s="627" t="s">
        <v>150</v>
      </c>
      <c r="H487" s="608" t="str">
        <f>" "</f>
        <v xml:space="preserve"> </v>
      </c>
      <c r="I487" s="611">
        <f>IFERROR($AJ$96,0)</f>
        <v>166</v>
      </c>
      <c r="J487" s="1013" t="s">
        <v>190</v>
      </c>
      <c r="K487" s="610"/>
      <c r="L487" s="610">
        <f t="shared" si="98"/>
        <v>0</v>
      </c>
      <c r="N487" s="1032">
        <f t="shared" si="96"/>
        <v>1</v>
      </c>
    </row>
    <row r="488" spans="2:14" ht="15" customHeight="1">
      <c r="B488" s="1037">
        <f>SUBTOTAL(3,$I$310:I488)</f>
        <v>18</v>
      </c>
      <c r="C488" s="627" t="str">
        <f>$W$96</f>
        <v>ТЕХНОРУФ Н ПРОФ</v>
      </c>
      <c r="D488" s="627"/>
      <c r="E488" s="627"/>
      <c r="F488" s="627">
        <f>$V$96</f>
        <v>50</v>
      </c>
      <c r="G488" s="627" t="s">
        <v>150</v>
      </c>
      <c r="H488" s="608">
        <v>1.03</v>
      </c>
      <c r="I488" s="609">
        <f>$AF$96</f>
        <v>1.2000000000000002</v>
      </c>
      <c r="J488" s="1013" t="s">
        <v>178</v>
      </c>
      <c r="K488" s="610"/>
      <c r="L488" s="610">
        <f t="shared" si="98"/>
        <v>0</v>
      </c>
      <c r="N488" s="1032">
        <f t="shared" si="96"/>
        <v>1</v>
      </c>
    </row>
    <row r="489" spans="2:14" ht="30" customHeight="1">
      <c r="B489" s="691"/>
      <c r="C489" s="1183" t="str">
        <f>CONCATENATE($Q$97,$AE$9,$T$97,$AF$9)</f>
        <v>3. Общая длина примыкания- 35,1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1</v>
      </c>
    </row>
    <row r="490" spans="2:14" ht="15" hidden="1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9">IF(I490&gt;0,1,0)</f>
        <v>0</v>
      </c>
    </row>
    <row r="491" spans="2:14" ht="15" customHeight="1">
      <c r="B491" s="1013">
        <f>SUBTOTAL(3,$I$310:I491)</f>
        <v>19</v>
      </c>
      <c r="C491" s="626" t="str">
        <f>IF(ТИП2!ПЛ&lt;1000,"Рейка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491" s="627"/>
      <c r="E491" s="627"/>
      <c r="F491" s="627"/>
      <c r="G491" s="627" t="str">
        <f t="shared" ref="G491:G497" si="100">" "</f>
        <v xml:space="preserve"> </v>
      </c>
      <c r="H491" s="608">
        <v>1.03</v>
      </c>
      <c r="I491" s="614">
        <f>IFERROR(ROUNDUP($AA$97*H491,2),0)</f>
        <v>36.159999999999997</v>
      </c>
      <c r="J491" s="1013" t="s">
        <v>264</v>
      </c>
      <c r="K491" s="692"/>
      <c r="L491" s="610">
        <f>IFERROR(I491*K491,0)</f>
        <v>0</v>
      </c>
      <c r="N491" s="1032">
        <f t="shared" si="99"/>
        <v>1</v>
      </c>
    </row>
    <row r="492" spans="2:14" ht="15" customHeight="1">
      <c r="B492" s="1013">
        <f>SUBTOTAL(3,$I$310:I492)</f>
        <v>20</v>
      </c>
      <c r="C492" s="626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492" s="627"/>
      <c r="E492" s="627"/>
      <c r="F492" s="627"/>
      <c r="G492" s="627" t="str">
        <f t="shared" si="100"/>
        <v xml:space="preserve"> </v>
      </c>
      <c r="H492" s="608">
        <v>1.03</v>
      </c>
      <c r="I492" s="614">
        <f>IFERROR(ROUNDUP($Z$97*H492,2),0)</f>
        <v>36.159999999999997</v>
      </c>
      <c r="J492" s="1013" t="s">
        <v>264</v>
      </c>
      <c r="K492" s="692"/>
      <c r="L492" s="610">
        <f t="shared" ref="L492:L503" si="101">IFERROR(I492*K492,0)</f>
        <v>0</v>
      </c>
      <c r="N492" s="1032">
        <f t="shared" si="99"/>
        <v>1</v>
      </c>
    </row>
    <row r="493" spans="2:14" ht="15" customHeight="1">
      <c r="B493" s="1013">
        <f>SUBTOTAL(3,$I$310:I493)</f>
        <v>21</v>
      </c>
      <c r="C493" s="627" t="s">
        <v>559</v>
      </c>
      <c r="D493" s="627"/>
      <c r="E493" s="627"/>
      <c r="F493" s="627"/>
      <c r="G493" s="627" t="str">
        <f t="shared" si="100"/>
        <v xml:space="preserve"> </v>
      </c>
      <c r="H493" s="608">
        <v>5</v>
      </c>
      <c r="I493" s="611">
        <f>IFERROR($AC$97*H493*1.03,0)</f>
        <v>365.65000000000003</v>
      </c>
      <c r="J493" s="1013" t="s">
        <v>151</v>
      </c>
      <c r="K493" s="692"/>
      <c r="L493" s="610">
        <f t="shared" si="101"/>
        <v>0</v>
      </c>
      <c r="N493" s="1032">
        <f t="shared" si="99"/>
        <v>1</v>
      </c>
    </row>
    <row r="494" spans="2:14" ht="15" hidden="1" customHeight="1">
      <c r="B494" s="1013">
        <f>SUBTOTAL(3,$I$310:I494)</f>
        <v>21</v>
      </c>
      <c r="C494" s="627" t="s">
        <v>189</v>
      </c>
      <c r="D494" s="627"/>
      <c r="E494" s="627"/>
      <c r="F494" s="627"/>
      <c r="G494" s="627" t="str">
        <f t="shared" si="100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101"/>
        <v>0</v>
      </c>
      <c r="N494" s="1032">
        <f t="shared" si="99"/>
        <v>0</v>
      </c>
    </row>
    <row r="495" spans="2:14" ht="15" hidden="1" customHeight="1">
      <c r="B495" s="1013">
        <f>SUBTOTAL(3,$I$310:I495)</f>
        <v>21</v>
      </c>
      <c r="C495" s="627" t="s">
        <v>1459</v>
      </c>
      <c r="D495" s="627"/>
      <c r="E495" s="627"/>
      <c r="F495" s="627"/>
      <c r="G495" s="627" t="str">
        <f t="shared" si="100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101"/>
        <v>0</v>
      </c>
      <c r="N495" s="1032">
        <f t="shared" si="99"/>
        <v>0</v>
      </c>
    </row>
    <row r="496" spans="2:14" ht="15" hidden="1" customHeight="1">
      <c r="B496" s="1013">
        <f>SUBTOTAL(3,$I$310:I496)</f>
        <v>21</v>
      </c>
      <c r="C496" s="627" t="s">
        <v>192</v>
      </c>
      <c r="D496" s="627"/>
      <c r="E496" s="627"/>
      <c r="F496" s="627"/>
      <c r="G496" s="627" t="str">
        <f t="shared" si="100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101"/>
        <v>0</v>
      </c>
      <c r="N496" s="1032">
        <f t="shared" si="99"/>
        <v>0</v>
      </c>
    </row>
    <row r="497" spans="2:14" ht="15" customHeight="1">
      <c r="B497" s="1013">
        <f>SUBTOTAL(3,$I$310:I497)</f>
        <v>22</v>
      </c>
      <c r="C497" s="627" t="s">
        <v>936</v>
      </c>
      <c r="D497" s="627"/>
      <c r="E497" s="627"/>
      <c r="F497" s="627"/>
      <c r="G497" s="627" t="str">
        <f t="shared" si="100"/>
        <v xml:space="preserve"> </v>
      </c>
      <c r="H497" s="608">
        <v>0.15</v>
      </c>
      <c r="I497" s="611">
        <f>IFERROR(ROUNDUP($AA$97*H497/600*1000,0),0)</f>
        <v>9</v>
      </c>
      <c r="J497" s="1013" t="s">
        <v>151</v>
      </c>
      <c r="K497" s="692"/>
      <c r="L497" s="610">
        <f t="shared" si="101"/>
        <v>0</v>
      </c>
      <c r="N497" s="1032">
        <f t="shared" si="99"/>
        <v>1</v>
      </c>
    </row>
    <row r="498" spans="2:14" ht="15" hidden="1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101"/>
        <v>0</v>
      </c>
      <c r="N498" s="1032">
        <f t="shared" si="99"/>
        <v>0</v>
      </c>
    </row>
    <row r="499" spans="2:14" ht="15" customHeight="1">
      <c r="B499" s="1037">
        <f>SUBTOTAL(3,$I$310:I499)</f>
        <v>23</v>
      </c>
      <c r="C499" s="627" t="str">
        <f ca="1">ПВХ_мембрана</f>
        <v>ПВХ мембрана LOGICROOF V-RP (1.2 мм)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36</v>
      </c>
      <c r="J499" s="1013" t="s">
        <v>112</v>
      </c>
      <c r="K499" s="692"/>
      <c r="L499" s="610">
        <f t="shared" si="101"/>
        <v>0</v>
      </c>
      <c r="N499" s="1032">
        <f t="shared" si="99"/>
        <v>1</v>
      </c>
    </row>
    <row r="500" spans="2:14" ht="15" hidden="1" customHeight="1">
      <c r="B500" s="1037">
        <f>SUBTOTAL(3,$I$310:I500)</f>
        <v>23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101"/>
        <v>0</v>
      </c>
      <c r="N500" s="1032">
        <f t="shared" si="99"/>
        <v>0</v>
      </c>
    </row>
    <row r="501" spans="2:14" ht="15" hidden="1" customHeight="1">
      <c r="B501" s="1037">
        <f>SUBTOTAL(3,$I$310:I501)</f>
        <v>23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101"/>
        <v>0</v>
      </c>
      <c r="N501" s="1032">
        <f t="shared" si="99"/>
        <v>0</v>
      </c>
    </row>
    <row r="502" spans="2:14" ht="15" hidden="1" customHeight="1">
      <c r="B502" s="1037">
        <f>SUBTOTAL(3,$I$310:I502)</f>
        <v>23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101"/>
        <v>0</v>
      </c>
      <c r="N502" s="1032">
        <f t="shared" si="99"/>
        <v>0</v>
      </c>
    </row>
    <row r="503" spans="2:14" ht="15" hidden="1" customHeight="1">
      <c r="B503" s="1037">
        <f>SUBTOTAL(3,$I$310:I503)</f>
        <v>23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101"/>
        <v>0</v>
      </c>
      <c r="N503" s="1032">
        <f t="shared" si="99"/>
        <v>0</v>
      </c>
    </row>
    <row r="504" spans="2:14" ht="30" hidden="1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hidden="1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2">IF(I505&gt;0,1,0)</f>
        <v>0</v>
      </c>
    </row>
    <row r="506" spans="2:14" ht="15" hidden="1" customHeight="1">
      <c r="B506" s="1013">
        <f>SUBTOTAL(3,$I$310:I506)</f>
        <v>23</v>
      </c>
      <c r="C506" s="626" t="str">
        <f>IF(ТИП2!ПЛ&lt;1000,"Рейка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506" s="627"/>
      <c r="E506" s="627"/>
      <c r="F506" s="627"/>
      <c r="G506" s="627" t="str">
        <f t="shared" ref="G506:G512" si="103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2"/>
        <v>0</v>
      </c>
    </row>
    <row r="507" spans="2:14" ht="15" hidden="1" customHeight="1">
      <c r="B507" s="1013">
        <f>SUBTOTAL(3,$I$310:I507)</f>
        <v>23</v>
      </c>
      <c r="C507" s="626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507" s="627"/>
      <c r="E507" s="627"/>
      <c r="F507" s="627"/>
      <c r="G507" s="627" t="str">
        <f t="shared" si="103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4">IFERROR(I507*K507,0)</f>
        <v>0</v>
      </c>
      <c r="N507" s="1032">
        <f t="shared" si="102"/>
        <v>0</v>
      </c>
    </row>
    <row r="508" spans="2:14" ht="15" hidden="1" customHeight="1">
      <c r="B508" s="1013">
        <f>SUBTOTAL(3,$I$310:I508)</f>
        <v>23</v>
      </c>
      <c r="C508" s="627" t="s">
        <v>559</v>
      </c>
      <c r="D508" s="627"/>
      <c r="E508" s="627"/>
      <c r="F508" s="627"/>
      <c r="G508" s="627" t="str">
        <f t="shared" si="103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4"/>
        <v>0</v>
      </c>
      <c r="N508" s="1032">
        <f t="shared" si="102"/>
        <v>0</v>
      </c>
    </row>
    <row r="509" spans="2:14" ht="15" hidden="1" customHeight="1">
      <c r="B509" s="1013">
        <f>SUBTOTAL(3,$I$310:I509)</f>
        <v>23</v>
      </c>
      <c r="C509" s="627" t="s">
        <v>189</v>
      </c>
      <c r="D509" s="627"/>
      <c r="E509" s="627"/>
      <c r="F509" s="627"/>
      <c r="G509" s="627" t="str">
        <f t="shared" si="103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4"/>
        <v>0</v>
      </c>
      <c r="N509" s="1032">
        <f t="shared" si="102"/>
        <v>0</v>
      </c>
    </row>
    <row r="510" spans="2:14" ht="15" hidden="1" customHeight="1">
      <c r="B510" s="1013">
        <f>SUBTOTAL(3,$I$310:I510)</f>
        <v>23</v>
      </c>
      <c r="C510" s="627" t="s">
        <v>1459</v>
      </c>
      <c r="D510" s="627"/>
      <c r="E510" s="627"/>
      <c r="F510" s="627"/>
      <c r="G510" s="627" t="str">
        <f t="shared" si="103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4"/>
        <v>0</v>
      </c>
      <c r="N510" s="1032">
        <f t="shared" si="102"/>
        <v>0</v>
      </c>
    </row>
    <row r="511" spans="2:14" ht="15" hidden="1" customHeight="1">
      <c r="B511" s="1013">
        <f>SUBTOTAL(3,$I$310:I511)</f>
        <v>23</v>
      </c>
      <c r="C511" s="627" t="s">
        <v>192</v>
      </c>
      <c r="D511" s="627"/>
      <c r="E511" s="627"/>
      <c r="F511" s="627"/>
      <c r="G511" s="627" t="str">
        <f t="shared" si="103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4"/>
        <v>0</v>
      </c>
      <c r="N511" s="1032">
        <f t="shared" si="102"/>
        <v>0</v>
      </c>
    </row>
    <row r="512" spans="2:14" ht="15" hidden="1" customHeight="1">
      <c r="B512" s="1013">
        <f>SUBTOTAL(3,$I$310:I512)</f>
        <v>23</v>
      </c>
      <c r="C512" s="627" t="s">
        <v>936</v>
      </c>
      <c r="D512" s="627"/>
      <c r="E512" s="627"/>
      <c r="F512" s="627"/>
      <c r="G512" s="627" t="str">
        <f t="shared" si="103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4"/>
        <v>0</v>
      </c>
      <c r="N512" s="1032">
        <f t="shared" si="102"/>
        <v>0</v>
      </c>
    </row>
    <row r="513" spans="1:14" ht="15" hidden="1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4"/>
        <v>0</v>
      </c>
      <c r="N513" s="1032">
        <f t="shared" si="102"/>
        <v>0</v>
      </c>
    </row>
    <row r="514" spans="1:14" ht="15" hidden="1" customHeight="1">
      <c r="B514" s="1037">
        <f>SUBTOTAL(3,$I$310:I514)</f>
        <v>23</v>
      </c>
      <c r="C514" s="627" t="str">
        <f ca="1">ПВХ_мембрана</f>
        <v>ПВХ мембрана LOGICROOF V-RP (1.2 мм)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4"/>
        <v>0</v>
      </c>
      <c r="N514" s="1032">
        <f t="shared" si="102"/>
        <v>0</v>
      </c>
    </row>
    <row r="515" spans="1:14" ht="15" hidden="1" customHeight="1">
      <c r="B515" s="1037">
        <f>SUBTOTAL(3,$I$310:I515)</f>
        <v>23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4"/>
        <v>0</v>
      </c>
      <c r="N515" s="1032">
        <f t="shared" si="102"/>
        <v>0</v>
      </c>
    </row>
    <row r="516" spans="1:14" ht="15" hidden="1" customHeight="1">
      <c r="B516" s="1037">
        <f>SUBTOTAL(3,$I$310:I516)</f>
        <v>23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4"/>
        <v>0</v>
      </c>
      <c r="N516" s="1032">
        <f t="shared" si="102"/>
        <v>0</v>
      </c>
    </row>
    <row r="517" spans="1:14" ht="15" hidden="1" customHeight="1">
      <c r="B517" s="1037">
        <f>SUBTOTAL(3,$I$310:I517)</f>
        <v>23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4"/>
        <v>0</v>
      </c>
      <c r="N517" s="1032">
        <f t="shared" si="102"/>
        <v>0</v>
      </c>
    </row>
    <row r="518" spans="1:14" ht="15" hidden="1" customHeight="1">
      <c r="B518" s="1037">
        <f>SUBTOTAL(3,$I$310:I518)</f>
        <v>23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4"/>
        <v>0</v>
      </c>
      <c r="N518" s="1032">
        <f t="shared" si="102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1. Общая длина примыкания- 304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1</v>
      </c>
    </row>
    <row r="520" spans="1:14" ht="15" customHeight="1">
      <c r="B520" s="1013">
        <f>SUBTOTAL(3,$I$310:I520)</f>
        <v>24</v>
      </c>
      <c r="C520" s="627" t="s">
        <v>207</v>
      </c>
      <c r="D520" s="627"/>
      <c r="E520" s="627"/>
      <c r="F520" s="627"/>
      <c r="G520" s="627" t="str">
        <f t="shared" ref="G520:G525" si="105">" "</f>
        <v xml:space="preserve"> </v>
      </c>
      <c r="H520" s="608">
        <v>5</v>
      </c>
      <c r="I520" s="611">
        <f>IFERROR($Z$101*H520,0)</f>
        <v>1520</v>
      </c>
      <c r="J520" s="1013" t="s">
        <v>151</v>
      </c>
      <c r="K520" s="610"/>
      <c r="L520" s="610">
        <f>IFERROR(I520*K520,0)</f>
        <v>0</v>
      </c>
      <c r="N520" s="1032">
        <f t="shared" ref="N520:N533" si="106">IF(I520&gt;0,1,0)</f>
        <v>1</v>
      </c>
    </row>
    <row r="521" spans="1:14" ht="15" hidden="1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6"/>
        <v>0</v>
      </c>
    </row>
    <row r="522" spans="1:14" ht="15" hidden="1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7">IFERROR(I522*K522,0)</f>
        <v>0</v>
      </c>
      <c r="N522" s="1032">
        <f t="shared" si="106"/>
        <v>0</v>
      </c>
    </row>
    <row r="523" spans="1:14" ht="15" customHeight="1">
      <c r="B523" s="1013">
        <f>SUBTOTAL(3,$I$310:I523)</f>
        <v>25</v>
      </c>
      <c r="C523" s="627" t="s">
        <v>559</v>
      </c>
      <c r="D523" s="627"/>
      <c r="E523" s="627"/>
      <c r="F523" s="627"/>
      <c r="G523" s="627" t="str">
        <f t="shared" si="105"/>
        <v xml:space="preserve"> </v>
      </c>
      <c r="H523" s="608">
        <v>5</v>
      </c>
      <c r="I523" s="611">
        <f>IFERROR($AA$101*H523*1.03,0)</f>
        <v>1565.6000000000001</v>
      </c>
      <c r="J523" s="1013" t="s">
        <v>151</v>
      </c>
      <c r="K523" s="610"/>
      <c r="L523" s="610">
        <f t="shared" si="107"/>
        <v>0</v>
      </c>
      <c r="N523" s="1032">
        <f t="shared" si="106"/>
        <v>1</v>
      </c>
    </row>
    <row r="524" spans="1:14" ht="15" hidden="1" customHeight="1">
      <c r="B524" s="1013">
        <f>SUBTOTAL(3,$I$310:I524)</f>
        <v>25</v>
      </c>
      <c r="C524" s="627" t="s">
        <v>189</v>
      </c>
      <c r="D524" s="627"/>
      <c r="E524" s="627"/>
      <c r="F524" s="627"/>
      <c r="G524" s="627" t="str">
        <f t="shared" si="105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7"/>
        <v>0</v>
      </c>
      <c r="N524" s="1032">
        <f t="shared" si="106"/>
        <v>0</v>
      </c>
    </row>
    <row r="525" spans="1:14" ht="15" hidden="1" customHeight="1">
      <c r="B525" s="1013">
        <f>SUBTOTAL(3,$I$310:I525)</f>
        <v>25</v>
      </c>
      <c r="C525" s="627" t="s">
        <v>1459</v>
      </c>
      <c r="D525" s="627"/>
      <c r="E525" s="627"/>
      <c r="F525" s="627"/>
      <c r="G525" s="627" t="str">
        <f t="shared" si="105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7"/>
        <v>0</v>
      </c>
      <c r="N525" s="1032">
        <f t="shared" si="106"/>
        <v>0</v>
      </c>
    </row>
    <row r="526" spans="1:14" ht="15" hidden="1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7"/>
        <v>0</v>
      </c>
      <c r="N526" s="1032">
        <f t="shared" si="106"/>
        <v>0</v>
      </c>
    </row>
    <row r="527" spans="1:14" ht="15" hidden="1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7"/>
        <v>0</v>
      </c>
      <c r="N527" s="1032">
        <f t="shared" si="106"/>
        <v>0</v>
      </c>
    </row>
    <row r="528" spans="1:14" ht="15" customHeight="1">
      <c r="B528" s="1013">
        <f>SUBTOTAL(3,$I$310:I528)</f>
        <v>26</v>
      </c>
      <c r="C528" s="627" t="s">
        <v>208</v>
      </c>
      <c r="D528" s="627"/>
      <c r="E528" s="627"/>
      <c r="F528" s="627">
        <f>$S$101</f>
        <v>304</v>
      </c>
      <c r="G528" s="627" t="s">
        <v>240</v>
      </c>
      <c r="H528" s="608">
        <v>1.05</v>
      </c>
      <c r="I528" s="614">
        <f>ROUNDUP(F528*H528*0.33,2)</f>
        <v>105.34</v>
      </c>
      <c r="J528" s="1013" t="s">
        <v>112</v>
      </c>
      <c r="K528" s="610"/>
      <c r="L528" s="610">
        <f t="shared" si="107"/>
        <v>0</v>
      </c>
      <c r="N528" s="1032">
        <f t="shared" si="106"/>
        <v>1</v>
      </c>
    </row>
    <row r="529" spans="2:14" ht="15" customHeight="1">
      <c r="B529" s="1037">
        <f>SUBTOTAL(3,$I$310:I529)</f>
        <v>27</v>
      </c>
      <c r="C529" s="627" t="str">
        <f ca="1">ПВХ_мембрана</f>
        <v>ПВХ мембрана LOGICROOF V-RP (1.2 мм)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105</v>
      </c>
      <c r="J529" s="1013" t="s">
        <v>112</v>
      </c>
      <c r="K529" s="610"/>
      <c r="L529" s="610">
        <f t="shared" si="107"/>
        <v>0</v>
      </c>
      <c r="N529" s="1032">
        <f t="shared" si="106"/>
        <v>1</v>
      </c>
    </row>
    <row r="530" spans="2:14" ht="15" hidden="1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7"/>
        <v>0</v>
      </c>
      <c r="N530" s="1032">
        <f t="shared" si="106"/>
        <v>0</v>
      </c>
    </row>
    <row r="531" spans="2:14" ht="15" hidden="1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7"/>
        <v>0</v>
      </c>
      <c r="N531" s="1032">
        <f t="shared" si="106"/>
        <v>0</v>
      </c>
    </row>
    <row r="532" spans="2:14" ht="15" hidden="1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7"/>
        <v>0</v>
      </c>
      <c r="N532" s="1032">
        <f t="shared" si="106"/>
        <v>0</v>
      </c>
    </row>
    <row r="533" spans="2:14" ht="15" hidden="1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7"/>
        <v>0</v>
      </c>
      <c r="N533" s="1032">
        <f t="shared" si="106"/>
        <v>0</v>
      </c>
    </row>
    <row r="534" spans="2:14" ht="30" hidden="1" customHeight="1">
      <c r="B534" s="691"/>
      <c r="C534" s="1183" t="str">
        <f>CONCATENATE($P$103,$AE$9,$Q$106,$AF$9)</f>
        <v>НАЗВАНИЕ ПАРАПЕТА.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hidden="1" customHeight="1">
      <c r="B535" s="1013">
        <f>SUBTOTAL(3,$I$310:I535)</f>
        <v>27</v>
      </c>
      <c r="C535" s="627" t="s">
        <v>207</v>
      </c>
      <c r="D535" s="627"/>
      <c r="E535" s="627"/>
      <c r="F535" s="627"/>
      <c r="G535" s="627" t="str">
        <f t="shared" ref="G535:G542" si="108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9">IF(I535&gt;0,1,0)</f>
        <v>0</v>
      </c>
    </row>
    <row r="536" spans="2:14" ht="15" hidden="1" customHeight="1">
      <c r="B536" s="1013">
        <f>SUBTOTAL(3,$I$310:I536)</f>
        <v>27</v>
      </c>
      <c r="C536" s="626" t="str">
        <f>IF(ТИП2!ПЛ&lt;1000,"Рейка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536" s="627"/>
      <c r="E536" s="627"/>
      <c r="F536" s="627"/>
      <c r="G536" s="627" t="str">
        <f t="shared" si="108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9"/>
        <v>0</v>
      </c>
    </row>
    <row r="537" spans="2:14" ht="15" hidden="1" customHeight="1">
      <c r="B537" s="1013">
        <f>SUBTOTAL(3,$I$310:I537)</f>
        <v>27</v>
      </c>
      <c r="C537" s="626" t="str">
        <f>IF(ТИП2!ПЛ&lt;1000,"Рейка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537" s="627"/>
      <c r="E537" s="627"/>
      <c r="F537" s="627"/>
      <c r="G537" s="627" t="str">
        <f t="shared" si="108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10">IFERROR(I537*K537,0)</f>
        <v>0</v>
      </c>
      <c r="N537" s="1032">
        <f t="shared" si="109"/>
        <v>0</v>
      </c>
    </row>
    <row r="538" spans="2:14" ht="15" hidden="1" customHeight="1">
      <c r="B538" s="1013">
        <f>SUBTOTAL(3,$I$310:I538)</f>
        <v>27</v>
      </c>
      <c r="C538" s="627" t="s">
        <v>559</v>
      </c>
      <c r="D538" s="627"/>
      <c r="E538" s="627"/>
      <c r="F538" s="627"/>
      <c r="G538" s="627" t="str">
        <f t="shared" si="108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10"/>
        <v>0</v>
      </c>
      <c r="N538" s="1032">
        <f t="shared" si="109"/>
        <v>0</v>
      </c>
    </row>
    <row r="539" spans="2:14" ht="15" hidden="1" customHeight="1">
      <c r="B539" s="1013">
        <f>SUBTOTAL(3,$I$310:I539)</f>
        <v>27</v>
      </c>
      <c r="C539" s="627" t="s">
        <v>189</v>
      </c>
      <c r="D539" s="627"/>
      <c r="E539" s="627"/>
      <c r="F539" s="627"/>
      <c r="G539" s="627" t="str">
        <f t="shared" si="108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10"/>
        <v>0</v>
      </c>
      <c r="N539" s="1032">
        <f t="shared" si="109"/>
        <v>0</v>
      </c>
    </row>
    <row r="540" spans="2:14" ht="15" hidden="1" customHeight="1">
      <c r="B540" s="1013">
        <f>SUBTOTAL(3,$I$310:I540)</f>
        <v>27</v>
      </c>
      <c r="C540" s="627" t="s">
        <v>1459</v>
      </c>
      <c r="D540" s="627"/>
      <c r="E540" s="627"/>
      <c r="F540" s="627"/>
      <c r="G540" s="627" t="str">
        <f t="shared" si="108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10"/>
        <v>0</v>
      </c>
      <c r="N540" s="1032">
        <f t="shared" si="109"/>
        <v>0</v>
      </c>
    </row>
    <row r="541" spans="2:14" ht="15" hidden="1" customHeight="1">
      <c r="B541" s="1013">
        <f>SUBTOTAL(3,$I$310:I541)</f>
        <v>27</v>
      </c>
      <c r="C541" s="627" t="s">
        <v>192</v>
      </c>
      <c r="D541" s="627"/>
      <c r="E541" s="627"/>
      <c r="F541" s="627"/>
      <c r="G541" s="627" t="str">
        <f t="shared" si="108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10"/>
        <v>0</v>
      </c>
      <c r="N541" s="1032">
        <f t="shared" si="109"/>
        <v>0</v>
      </c>
    </row>
    <row r="542" spans="2:14" ht="15" hidden="1" customHeight="1">
      <c r="B542" s="1013">
        <f>SUBTOTAL(3,$I$310:I542)</f>
        <v>27</v>
      </c>
      <c r="C542" s="627" t="s">
        <v>936</v>
      </c>
      <c r="D542" s="627"/>
      <c r="E542" s="627"/>
      <c r="F542" s="627"/>
      <c r="G542" s="627" t="str">
        <f t="shared" si="108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10"/>
        <v>0</v>
      </c>
      <c r="N542" s="1032">
        <f t="shared" si="109"/>
        <v>0</v>
      </c>
    </row>
    <row r="543" spans="2:14" ht="15" hidden="1" customHeight="1">
      <c r="B543" s="1013">
        <f>SUBTOTAL(3,$I$310:I543)</f>
        <v>27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10"/>
        <v>0</v>
      </c>
      <c r="N543" s="1032">
        <f t="shared" si="109"/>
        <v>0</v>
      </c>
    </row>
    <row r="544" spans="2:14" ht="15" hidden="1" customHeight="1">
      <c r="B544" s="1037">
        <f>SUBTOTAL(3,$I$310:I544)</f>
        <v>27</v>
      </c>
      <c r="C544" s="627" t="str">
        <f ca="1">ПВХ_мембрана</f>
        <v>ПВХ мембрана LOGICROOF V-RP (1.2 мм)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10"/>
        <v>0</v>
      </c>
      <c r="N544" s="1032">
        <f t="shared" si="109"/>
        <v>0</v>
      </c>
    </row>
    <row r="545" spans="2:14" ht="15" hidden="1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10"/>
        <v>0</v>
      </c>
      <c r="N545" s="1032">
        <f t="shared" si="109"/>
        <v>0</v>
      </c>
    </row>
    <row r="546" spans="2:14" ht="15" hidden="1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10"/>
        <v>0</v>
      </c>
      <c r="N546" s="1032">
        <f t="shared" si="109"/>
        <v>0</v>
      </c>
    </row>
    <row r="547" spans="2:14" ht="15" hidden="1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10"/>
        <v>0</v>
      </c>
      <c r="N547" s="1032">
        <f t="shared" si="109"/>
        <v>0</v>
      </c>
    </row>
    <row r="548" spans="2:14" ht="15" hidden="1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10"/>
        <v>0</v>
      </c>
      <c r="N548" s="1032">
        <f t="shared" si="109"/>
        <v>0</v>
      </c>
    </row>
    <row r="549" spans="2:14" ht="30" hidden="1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hidden="1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11">IF(I550&gt;0,1,0)</f>
        <v>0</v>
      </c>
    </row>
    <row r="551" spans="2:14" ht="15" hidden="1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11"/>
        <v>0</v>
      </c>
    </row>
    <row r="552" spans="2:14" ht="15" hidden="1" customHeight="1">
      <c r="B552" s="1013">
        <f>SUBTOTAL(3,$I$310:I552)</f>
        <v>27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2">IFERROR(I552*K552,0)</f>
        <v>0</v>
      </c>
      <c r="N552" s="1032">
        <f t="shared" si="111"/>
        <v>0</v>
      </c>
    </row>
    <row r="553" spans="2:14" ht="15" hidden="1" customHeight="1">
      <c r="B553" s="1013">
        <f>SUBTOTAL(3,$I$310:I553)</f>
        <v>27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2"/>
        <v>0</v>
      </c>
      <c r="N553" s="1032">
        <f t="shared" si="111"/>
        <v>0</v>
      </c>
    </row>
    <row r="554" spans="2:14" ht="15" hidden="1" customHeight="1">
      <c r="B554" s="1013">
        <f>SUBTOTAL(3,$I$310:I554)</f>
        <v>27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2"/>
        <v>0</v>
      </c>
      <c r="N554" s="1032">
        <f t="shared" si="111"/>
        <v>0</v>
      </c>
    </row>
    <row r="555" spans="2:14" ht="15" hidden="1" customHeight="1">
      <c r="B555" s="1013">
        <f>SUBTOTAL(3,$I$310:I555)</f>
        <v>27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2"/>
        <v>0</v>
      </c>
      <c r="N555" s="1032">
        <f t="shared" si="111"/>
        <v>0</v>
      </c>
    </row>
    <row r="556" spans="2:14" ht="15" hidden="1" customHeight="1">
      <c r="B556" s="1013">
        <f>SUBTOTAL(3,$I$310:I556)</f>
        <v>27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2"/>
        <v>0</v>
      </c>
      <c r="N556" s="1032">
        <f t="shared" si="111"/>
        <v>0</v>
      </c>
    </row>
    <row r="557" spans="2:14" ht="15" hidden="1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2"/>
        <v>0</v>
      </c>
      <c r="N557" s="1032">
        <f t="shared" si="111"/>
        <v>0</v>
      </c>
    </row>
    <row r="558" spans="2:14" ht="15" hidden="1" customHeight="1">
      <c r="B558" s="1013">
        <f>SUBTOTAL(3,$I$310:I558)</f>
        <v>27</v>
      </c>
      <c r="C558" s="627" t="e">
        <f ca="1"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2"/>
        <v>0</v>
      </c>
      <c r="N558" s="1032">
        <f t="shared" si="111"/>
        <v>0</v>
      </c>
    </row>
    <row r="559" spans="2:14" ht="15" hidden="1" customHeight="1">
      <c r="B559" s="1013">
        <f>SUBTOTAL(3,$I$310:I559)</f>
        <v>27</v>
      </c>
      <c r="C559" s="627" t="e">
        <f ca="1"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2"/>
        <v>0</v>
      </c>
      <c r="N559" s="1032">
        <f t="shared" si="111"/>
        <v>0</v>
      </c>
    </row>
    <row r="560" spans="2:14" ht="15" hidden="1" customHeight="1">
      <c r="B560" s="1013">
        <f>SUBTOTAL(3,$I$310:I560)</f>
        <v>27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2"/>
        <v>0</v>
      </c>
      <c r="N560" s="1032">
        <f t="shared" si="111"/>
        <v>0</v>
      </c>
    </row>
    <row r="561" spans="2:14" ht="15" hidden="1" customHeight="1">
      <c r="B561" s="1013">
        <f>SUBTOTAL(3,$I$310:I561)</f>
        <v>27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2"/>
        <v>0</v>
      </c>
      <c r="N561" s="1032">
        <f t="shared" si="111"/>
        <v>0</v>
      </c>
    </row>
    <row r="562" spans="2:14" ht="15" hidden="1" customHeight="1">
      <c r="B562" s="1013">
        <f>SUBTOTAL(3,$I$310:I562)</f>
        <v>27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2"/>
        <v>0</v>
      </c>
      <c r="N562" s="1032">
        <f t="shared" si="111"/>
        <v>0</v>
      </c>
    </row>
    <row r="563" spans="2:14" ht="15" hidden="1" customHeight="1">
      <c r="B563" s="1013">
        <f>SUBTOTAL(3,$I$310:I563)</f>
        <v>27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2"/>
        <v>0</v>
      </c>
      <c r="N563" s="1032">
        <f t="shared" si="111"/>
        <v>0</v>
      </c>
    </row>
    <row r="564" spans="2:14" ht="30" hidden="1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hidden="1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3">IF(I565&gt;0,1,0)</f>
        <v>0</v>
      </c>
    </row>
    <row r="566" spans="2:14" ht="15" hidden="1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3"/>
        <v>0</v>
      </c>
    </row>
    <row r="567" spans="2:14" ht="15" hidden="1" customHeight="1">
      <c r="B567" s="1013">
        <f>SUBTOTAL(3,$I$310:I567)</f>
        <v>27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4">IFERROR(I567*K567,0)</f>
        <v>0</v>
      </c>
      <c r="N567" s="1032">
        <f t="shared" si="113"/>
        <v>0</v>
      </c>
    </row>
    <row r="568" spans="2:14" ht="15" hidden="1" customHeight="1">
      <c r="B568" s="1013">
        <f>SUBTOTAL(3,$I$310:I568)</f>
        <v>27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4"/>
        <v>0</v>
      </c>
      <c r="N568" s="1032">
        <f t="shared" si="113"/>
        <v>0</v>
      </c>
    </row>
    <row r="569" spans="2:14" ht="15" hidden="1" customHeight="1">
      <c r="B569" s="1013">
        <f>SUBTOTAL(3,$I$310:I569)</f>
        <v>27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4"/>
        <v>0</v>
      </c>
      <c r="N569" s="1032">
        <f t="shared" si="113"/>
        <v>0</v>
      </c>
    </row>
    <row r="570" spans="2:14" ht="15" hidden="1" customHeight="1">
      <c r="B570" s="1013">
        <f>SUBTOTAL(3,$I$310:I570)</f>
        <v>27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4"/>
        <v>0</v>
      </c>
      <c r="N570" s="1032">
        <f t="shared" si="113"/>
        <v>0</v>
      </c>
    </row>
    <row r="571" spans="2:14" ht="15" hidden="1" customHeight="1">
      <c r="B571" s="1013">
        <f>SUBTOTAL(3,$I$310:I571)</f>
        <v>27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4"/>
        <v>0</v>
      </c>
      <c r="N571" s="1032">
        <f t="shared" si="113"/>
        <v>0</v>
      </c>
    </row>
    <row r="572" spans="2:14" ht="15" hidden="1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4"/>
        <v>0</v>
      </c>
      <c r="N572" s="1032">
        <f t="shared" si="113"/>
        <v>0</v>
      </c>
    </row>
    <row r="573" spans="2:14" ht="15" hidden="1" customHeight="1">
      <c r="B573" s="1013">
        <f>SUBTOTAL(3,$I$310:I573)</f>
        <v>27</v>
      </c>
      <c r="C573" s="627" t="e">
        <f ca="1"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4"/>
        <v>0</v>
      </c>
      <c r="N573" s="1032">
        <f t="shared" si="113"/>
        <v>0</v>
      </c>
    </row>
    <row r="574" spans="2:14" ht="15" hidden="1" customHeight="1">
      <c r="B574" s="1013">
        <f>SUBTOTAL(3,$I$310:I574)</f>
        <v>27</v>
      </c>
      <c r="C574" s="627" t="e">
        <f ca="1"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4"/>
        <v>0</v>
      </c>
      <c r="N574" s="1032">
        <f t="shared" si="113"/>
        <v>0</v>
      </c>
    </row>
    <row r="575" spans="2:14" ht="15" hidden="1" customHeight="1">
      <c r="B575" s="1013">
        <f>SUBTOTAL(3,$I$310:I575)</f>
        <v>27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4"/>
        <v>0</v>
      </c>
      <c r="N575" s="1032">
        <f t="shared" si="113"/>
        <v>0</v>
      </c>
    </row>
    <row r="576" spans="2:14" ht="15" hidden="1" customHeight="1">
      <c r="B576" s="1013">
        <f>SUBTOTAL(3,$I$310:I576)</f>
        <v>27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4"/>
        <v>0</v>
      </c>
      <c r="N576" s="1032">
        <f t="shared" si="113"/>
        <v>0</v>
      </c>
    </row>
    <row r="577" spans="2:14" ht="15" hidden="1" customHeight="1">
      <c r="B577" s="1013">
        <f>SUBTOTAL(3,$I$310:I577)</f>
        <v>27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4"/>
        <v>0</v>
      </c>
      <c r="N577" s="1032">
        <f t="shared" si="113"/>
        <v>0</v>
      </c>
    </row>
    <row r="578" spans="2:14" ht="15" hidden="1" customHeight="1">
      <c r="B578" s="1013">
        <f>SUBTOTAL(3,$I$310:I578)</f>
        <v>27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4"/>
        <v>0</v>
      </c>
      <c r="N578" s="1032">
        <f t="shared" si="113"/>
        <v>0</v>
      </c>
    </row>
    <row r="579" spans="2:14" ht="30" hidden="1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hidden="1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5">IF(I580&gt;0,1,0)</f>
        <v>0</v>
      </c>
    </row>
    <row r="581" spans="2:14" ht="15" hidden="1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5"/>
        <v>0</v>
      </c>
    </row>
    <row r="582" spans="2:14" ht="15" hidden="1" customHeight="1">
      <c r="B582" s="1013">
        <f>SUBTOTAL(3,$I$310:I582)</f>
        <v>27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6">IFERROR(I582*K582,0)</f>
        <v>0</v>
      </c>
      <c r="N582" s="1032">
        <f t="shared" si="115"/>
        <v>0</v>
      </c>
    </row>
    <row r="583" spans="2:14" ht="15" hidden="1" customHeight="1">
      <c r="B583" s="1013">
        <f>SUBTOTAL(3,$I$310:I583)</f>
        <v>27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6"/>
        <v>0</v>
      </c>
      <c r="N583" s="1032">
        <f t="shared" si="115"/>
        <v>0</v>
      </c>
    </row>
    <row r="584" spans="2:14" ht="15" hidden="1" customHeight="1">
      <c r="B584" s="1013">
        <f>SUBTOTAL(3,$I$310:I584)</f>
        <v>27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6"/>
        <v>0</v>
      </c>
      <c r="N584" s="1032">
        <f t="shared" si="115"/>
        <v>0</v>
      </c>
    </row>
    <row r="585" spans="2:14" ht="15" hidden="1" customHeight="1">
      <c r="B585" s="1013">
        <f>SUBTOTAL(3,$I$310:I585)</f>
        <v>27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6"/>
        <v>0</v>
      </c>
      <c r="N585" s="1032">
        <f t="shared" si="115"/>
        <v>0</v>
      </c>
    </row>
    <row r="586" spans="2:14" ht="15" hidden="1" customHeight="1">
      <c r="B586" s="1013">
        <f>SUBTOTAL(3,$I$310:I586)</f>
        <v>27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6"/>
        <v>0</v>
      </c>
      <c r="N586" s="1032">
        <f t="shared" si="115"/>
        <v>0</v>
      </c>
    </row>
    <row r="587" spans="2:14" ht="15" hidden="1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6"/>
        <v>0</v>
      </c>
      <c r="N587" s="1032">
        <f t="shared" si="115"/>
        <v>0</v>
      </c>
    </row>
    <row r="588" spans="2:14" ht="15" hidden="1" customHeight="1">
      <c r="B588" s="1013">
        <f>SUBTOTAL(3,$I$310:I588)</f>
        <v>27</v>
      </c>
      <c r="C588" s="627" t="e">
        <f ca="1"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6"/>
        <v>0</v>
      </c>
      <c r="N588" s="1032">
        <f t="shared" si="115"/>
        <v>0</v>
      </c>
    </row>
    <row r="589" spans="2:14" ht="15" hidden="1" customHeight="1">
      <c r="B589" s="1013">
        <f>SUBTOTAL(3,$I$310:I589)</f>
        <v>27</v>
      </c>
      <c r="C589" s="627" t="e">
        <f ca="1"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6"/>
        <v>0</v>
      </c>
      <c r="N589" s="1032">
        <f t="shared" si="115"/>
        <v>0</v>
      </c>
    </row>
    <row r="590" spans="2:14" ht="15" hidden="1" customHeight="1">
      <c r="B590" s="1013">
        <f>SUBTOTAL(3,$I$310:I590)</f>
        <v>27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6"/>
        <v>0</v>
      </c>
      <c r="N590" s="1032">
        <f t="shared" si="115"/>
        <v>0</v>
      </c>
    </row>
    <row r="591" spans="2:14" ht="15" hidden="1" customHeight="1">
      <c r="B591" s="1013">
        <f>SUBTOTAL(3,$I$310:I591)</f>
        <v>27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6"/>
        <v>0</v>
      </c>
      <c r="N591" s="1032">
        <f t="shared" si="115"/>
        <v>0</v>
      </c>
    </row>
    <row r="592" spans="2:14" ht="15" hidden="1" customHeight="1">
      <c r="B592" s="1013">
        <f>SUBTOTAL(3,$I$310:I592)</f>
        <v>27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6"/>
        <v>0</v>
      </c>
      <c r="N592" s="1032">
        <f t="shared" si="115"/>
        <v>0</v>
      </c>
    </row>
    <row r="593" spans="2:14" ht="15" hidden="1" customHeight="1">
      <c r="B593" s="1013">
        <f>SUBTOTAL(3,$I$310:I593)</f>
        <v>27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6"/>
        <v>0</v>
      </c>
      <c r="N593" s="1032">
        <f t="shared" si="115"/>
        <v>0</v>
      </c>
    </row>
    <row r="594" spans="2:14" ht="30" hidden="1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hidden="1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7">IF(I595&gt;0,1,0)</f>
        <v>0</v>
      </c>
    </row>
    <row r="596" spans="2:14" ht="15" hidden="1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7"/>
        <v>0</v>
      </c>
    </row>
    <row r="597" spans="2:14" ht="15" hidden="1" customHeight="1">
      <c r="B597" s="1013">
        <f>SUBTOTAL(3,$I$310:I597)</f>
        <v>27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8">IFERROR(I597*K597,0)</f>
        <v>0</v>
      </c>
      <c r="N597" s="1032">
        <f t="shared" si="117"/>
        <v>0</v>
      </c>
    </row>
    <row r="598" spans="2:14" ht="15" hidden="1" customHeight="1">
      <c r="B598" s="1013">
        <f>SUBTOTAL(3,$I$310:I598)</f>
        <v>27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8"/>
        <v>0</v>
      </c>
      <c r="N598" s="1032">
        <f t="shared" si="117"/>
        <v>0</v>
      </c>
    </row>
    <row r="599" spans="2:14" ht="15" hidden="1" customHeight="1">
      <c r="B599" s="1013">
        <f>SUBTOTAL(3,$I$310:I599)</f>
        <v>27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8"/>
        <v>0</v>
      </c>
      <c r="N599" s="1032">
        <f t="shared" si="117"/>
        <v>0</v>
      </c>
    </row>
    <row r="600" spans="2:14" ht="15" hidden="1" customHeight="1">
      <c r="B600" s="1013">
        <f>SUBTOTAL(3,$I$310:I600)</f>
        <v>27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8"/>
        <v>0</v>
      </c>
      <c r="N600" s="1032">
        <f t="shared" si="117"/>
        <v>0</v>
      </c>
    </row>
    <row r="601" spans="2:14" ht="15" hidden="1" customHeight="1">
      <c r="B601" s="1013">
        <f>SUBTOTAL(3,$I$310:I601)</f>
        <v>27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8"/>
        <v>0</v>
      </c>
      <c r="N601" s="1032">
        <f t="shared" si="117"/>
        <v>0</v>
      </c>
    </row>
    <row r="602" spans="2:14" ht="15" hidden="1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8"/>
        <v>0</v>
      </c>
      <c r="N602" s="1032">
        <f t="shared" si="117"/>
        <v>0</v>
      </c>
    </row>
    <row r="603" spans="2:14" ht="15" hidden="1" customHeight="1">
      <c r="B603" s="1013">
        <f>SUBTOTAL(3,$I$310:I603)</f>
        <v>27</v>
      </c>
      <c r="C603" s="627" t="e">
        <f ca="1"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8"/>
        <v>0</v>
      </c>
      <c r="N603" s="1032">
        <f t="shared" si="117"/>
        <v>0</v>
      </c>
    </row>
    <row r="604" spans="2:14" ht="15" hidden="1" customHeight="1">
      <c r="B604" s="1013">
        <f>SUBTOTAL(3,$I$310:I604)</f>
        <v>27</v>
      </c>
      <c r="C604" s="627" t="e">
        <f ca="1"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8"/>
        <v>0</v>
      </c>
      <c r="N604" s="1032">
        <f t="shared" si="117"/>
        <v>0</v>
      </c>
    </row>
    <row r="605" spans="2:14" ht="15" hidden="1" customHeight="1">
      <c r="B605" s="1013">
        <f>SUBTOTAL(3,$I$310:I605)</f>
        <v>27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8"/>
        <v>0</v>
      </c>
      <c r="N605" s="1032">
        <f t="shared" si="117"/>
        <v>0</v>
      </c>
    </row>
    <row r="606" spans="2:14" ht="15" hidden="1" customHeight="1">
      <c r="B606" s="1013">
        <f>SUBTOTAL(3,$I$310:I606)</f>
        <v>27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8"/>
        <v>0</v>
      </c>
      <c r="N606" s="1032">
        <f t="shared" si="117"/>
        <v>0</v>
      </c>
    </row>
    <row r="607" spans="2:14" ht="15" hidden="1" customHeight="1">
      <c r="B607" s="1013">
        <f>SUBTOTAL(3,$I$310:I607)</f>
        <v>27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8"/>
        <v>0</v>
      </c>
      <c r="N607" s="1032">
        <f t="shared" si="117"/>
        <v>0</v>
      </c>
    </row>
    <row r="608" spans="2:14" ht="15" hidden="1" customHeight="1">
      <c r="B608" s="1013">
        <f>SUBTOTAL(3,$I$310:I608)</f>
        <v>27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8"/>
        <v>0</v>
      </c>
      <c r="N608" s="1032">
        <f t="shared" si="117"/>
        <v>0</v>
      </c>
    </row>
    <row r="609" spans="2:14" ht="30" hidden="1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hidden="1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9">IF(I610&gt;0,1,0)</f>
        <v>0</v>
      </c>
    </row>
    <row r="611" spans="2:14" ht="15" hidden="1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9"/>
        <v>0</v>
      </c>
    </row>
    <row r="612" spans="2:14" ht="15" hidden="1" customHeight="1">
      <c r="B612" s="1013">
        <f>SUBTOTAL(3,$I$310:I612)</f>
        <v>27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20">IFERROR(I612*K612,0)</f>
        <v>0</v>
      </c>
      <c r="N612" s="1032">
        <f t="shared" si="119"/>
        <v>0</v>
      </c>
    </row>
    <row r="613" spans="2:14" ht="15" hidden="1" customHeight="1">
      <c r="B613" s="1013">
        <f>SUBTOTAL(3,$I$310:I613)</f>
        <v>27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20"/>
        <v>0</v>
      </c>
      <c r="N613" s="1032">
        <f t="shared" si="119"/>
        <v>0</v>
      </c>
    </row>
    <row r="614" spans="2:14" ht="15" hidden="1" customHeight="1">
      <c r="B614" s="1013">
        <f>SUBTOTAL(3,$I$310:I614)</f>
        <v>27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20"/>
        <v>0</v>
      </c>
      <c r="N614" s="1032">
        <f t="shared" si="119"/>
        <v>0</v>
      </c>
    </row>
    <row r="615" spans="2:14" ht="15" hidden="1" customHeight="1">
      <c r="B615" s="1013">
        <f>SUBTOTAL(3,$I$310:I615)</f>
        <v>27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20"/>
        <v>0</v>
      </c>
      <c r="N615" s="1032">
        <f t="shared" si="119"/>
        <v>0</v>
      </c>
    </row>
    <row r="616" spans="2:14" ht="15" hidden="1" customHeight="1">
      <c r="B616" s="1013">
        <f>SUBTOTAL(3,$I$310:I616)</f>
        <v>27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20"/>
        <v>0</v>
      </c>
      <c r="N616" s="1032">
        <f t="shared" si="119"/>
        <v>0</v>
      </c>
    </row>
    <row r="617" spans="2:14" ht="15" hidden="1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20"/>
        <v>0</v>
      </c>
      <c r="N617" s="1032">
        <f t="shared" si="119"/>
        <v>0</v>
      </c>
    </row>
    <row r="618" spans="2:14" ht="15" hidden="1" customHeight="1">
      <c r="B618" s="1013">
        <f>SUBTOTAL(3,$I$310:I618)</f>
        <v>27</v>
      </c>
      <c r="C618" s="627" t="e">
        <f ca="1"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20"/>
        <v>0</v>
      </c>
      <c r="N618" s="1032">
        <f t="shared" si="119"/>
        <v>0</v>
      </c>
    </row>
    <row r="619" spans="2:14" ht="15" hidden="1" customHeight="1">
      <c r="B619" s="1013">
        <f>SUBTOTAL(3,$I$310:I619)</f>
        <v>27</v>
      </c>
      <c r="C619" s="627" t="e">
        <f ca="1"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20"/>
        <v>0</v>
      </c>
      <c r="N619" s="1032">
        <f t="shared" si="119"/>
        <v>0</v>
      </c>
    </row>
    <row r="620" spans="2:14" ht="15" hidden="1" customHeight="1">
      <c r="B620" s="1013">
        <f>SUBTOTAL(3,$I$310:I620)</f>
        <v>27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20"/>
        <v>0</v>
      </c>
      <c r="N620" s="1032">
        <f t="shared" si="119"/>
        <v>0</v>
      </c>
    </row>
    <row r="621" spans="2:14" ht="15" hidden="1" customHeight="1">
      <c r="B621" s="1013">
        <f>SUBTOTAL(3,$I$310:I621)</f>
        <v>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20"/>
        <v>0</v>
      </c>
      <c r="N621" s="1032">
        <f t="shared" si="119"/>
        <v>0</v>
      </c>
    </row>
    <row r="622" spans="2:14" ht="15" hidden="1" customHeight="1">
      <c r="B622" s="1013">
        <f>SUBTOTAL(3,$I$310:I622)</f>
        <v>27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20"/>
        <v>0</v>
      </c>
      <c r="N622" s="1032">
        <f t="shared" si="119"/>
        <v>0</v>
      </c>
    </row>
    <row r="623" spans="2:14" ht="15" hidden="1" customHeight="1">
      <c r="B623" s="1013">
        <f>SUBTOTAL(3,$I$310:I623)</f>
        <v>27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20"/>
        <v>0</v>
      </c>
      <c r="N623" s="1032">
        <f t="shared" si="119"/>
        <v>0</v>
      </c>
    </row>
    <row r="624" spans="2:14" ht="30" hidden="1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hidden="1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21">IF(I625&gt;0,1,0)</f>
        <v>0</v>
      </c>
    </row>
    <row r="626" spans="2:16" ht="15" hidden="1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21"/>
        <v>0</v>
      </c>
    </row>
    <row r="627" spans="2:16" ht="15" hidden="1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2">IFERROR(I627*K627,0)</f>
        <v>0</v>
      </c>
      <c r="N627" s="1032">
        <f t="shared" si="121"/>
        <v>0</v>
      </c>
    </row>
    <row r="628" spans="2:16" ht="15" hidden="1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2"/>
        <v>0</v>
      </c>
      <c r="N628" s="1032">
        <f t="shared" si="121"/>
        <v>0</v>
      </c>
    </row>
    <row r="629" spans="2:16" ht="15" hidden="1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2"/>
        <v>0</v>
      </c>
      <c r="N629" s="1032">
        <f t="shared" si="121"/>
        <v>0</v>
      </c>
    </row>
    <row r="630" spans="2:16" ht="15" hidden="1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2"/>
        <v>0</v>
      </c>
      <c r="N630" s="1032">
        <f t="shared" si="121"/>
        <v>0</v>
      </c>
    </row>
    <row r="631" spans="2:16" ht="15" hidden="1" customHeight="1">
      <c r="B631" s="1013">
        <f>SUBTOTAL(3,$I$310:I631)</f>
        <v>27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2"/>
        <v>0</v>
      </c>
      <c r="N631" s="1032">
        <f t="shared" si="121"/>
        <v>0</v>
      </c>
      <c r="P631" s="384"/>
    </row>
    <row r="632" spans="2:16" ht="15" hidden="1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2"/>
        <v>0</v>
      </c>
      <c r="N632" s="1032">
        <f t="shared" si="121"/>
        <v>0</v>
      </c>
    </row>
    <row r="633" spans="2:16" ht="15" hidden="1" customHeight="1">
      <c r="B633" s="1013">
        <f>SUBTOTAL(3,$I$310:I633)</f>
        <v>27</v>
      </c>
      <c r="C633" s="627" t="e">
        <f ca="1"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2"/>
        <v>0</v>
      </c>
      <c r="N633" s="1032">
        <f t="shared" si="121"/>
        <v>0</v>
      </c>
    </row>
    <row r="634" spans="2:16" ht="15" hidden="1" customHeight="1">
      <c r="B634" s="1013">
        <f>SUBTOTAL(3,$I$310:I634)</f>
        <v>27</v>
      </c>
      <c r="C634" s="627" t="e">
        <f ca="1"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2"/>
        <v>0</v>
      </c>
      <c r="N634" s="1032">
        <f t="shared" si="121"/>
        <v>0</v>
      </c>
    </row>
    <row r="635" spans="2:16" ht="15" hidden="1" customHeight="1">
      <c r="B635" s="1013">
        <f>SUBTOTAL(3,$I$310:I635)</f>
        <v>27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2"/>
        <v>0</v>
      </c>
      <c r="N635" s="1032">
        <f t="shared" si="121"/>
        <v>0</v>
      </c>
    </row>
    <row r="636" spans="2:16" ht="15" hidden="1" customHeight="1">
      <c r="B636" s="1013">
        <f>SUBTOTAL(3,$I$310:I636)</f>
        <v>27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2"/>
        <v>0</v>
      </c>
      <c r="N636" s="1032">
        <f t="shared" si="121"/>
        <v>0</v>
      </c>
    </row>
    <row r="637" spans="2:16" ht="15" hidden="1" customHeight="1">
      <c r="B637" s="1013">
        <f>SUBTOTAL(3,$I$310:I637)</f>
        <v>27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2"/>
        <v>0</v>
      </c>
      <c r="N637" s="1032">
        <f t="shared" si="121"/>
        <v>0</v>
      </c>
    </row>
    <row r="638" spans="2:16" ht="15" hidden="1" customHeight="1">
      <c r="B638" s="1013">
        <f>SUBTOTAL(3,$I$310:I638)</f>
        <v>27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2"/>
        <v>0</v>
      </c>
      <c r="N638" s="1032">
        <f t="shared" si="121"/>
        <v>0</v>
      </c>
    </row>
    <row r="639" spans="2:16" ht="30" hidden="1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hidden="1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3">IF(I640&gt;0,1,0)</f>
        <v>0</v>
      </c>
    </row>
    <row r="641" spans="2:14" ht="15" hidden="1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3"/>
        <v>0</v>
      </c>
    </row>
    <row r="642" spans="2:14" ht="15" hidden="1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4">IFERROR(I642*K642,0)</f>
        <v>0</v>
      </c>
      <c r="N642" s="1032">
        <f t="shared" si="123"/>
        <v>0</v>
      </c>
    </row>
    <row r="643" spans="2:14" ht="15" hidden="1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4"/>
        <v>0</v>
      </c>
      <c r="N643" s="1032">
        <f t="shared" si="123"/>
        <v>0</v>
      </c>
    </row>
    <row r="644" spans="2:14" ht="15" hidden="1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4"/>
        <v>0</v>
      </c>
      <c r="N644" s="1032">
        <f t="shared" si="123"/>
        <v>0</v>
      </c>
    </row>
    <row r="645" spans="2:14" ht="15" hidden="1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4"/>
        <v>0</v>
      </c>
      <c r="N645" s="1032">
        <f t="shared" si="123"/>
        <v>0</v>
      </c>
    </row>
    <row r="646" spans="2:14" ht="15" hidden="1" customHeight="1">
      <c r="B646" s="1013">
        <f>SUBTOTAL(3,$I$310:I646)</f>
        <v>27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4"/>
        <v>0</v>
      </c>
      <c r="N646" s="1032">
        <f t="shared" si="123"/>
        <v>0</v>
      </c>
    </row>
    <row r="647" spans="2:14" ht="15" hidden="1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4"/>
        <v>0</v>
      </c>
      <c r="N647" s="1032">
        <f t="shared" si="123"/>
        <v>0</v>
      </c>
    </row>
    <row r="648" spans="2:14" ht="15" hidden="1" customHeight="1">
      <c r="B648" s="1013">
        <f>SUBTOTAL(3,$I$310:I648)</f>
        <v>27</v>
      </c>
      <c r="C648" s="627" t="e">
        <f ca="1"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4"/>
        <v>0</v>
      </c>
      <c r="N648" s="1032">
        <f t="shared" si="123"/>
        <v>0</v>
      </c>
    </row>
    <row r="649" spans="2:14" ht="15" hidden="1" customHeight="1">
      <c r="B649" s="1013">
        <f>SUBTOTAL(3,$I$310:I649)</f>
        <v>27</v>
      </c>
      <c r="C649" s="627" t="e">
        <f ca="1"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4"/>
        <v>0</v>
      </c>
      <c r="N649" s="1032">
        <f t="shared" si="123"/>
        <v>0</v>
      </c>
    </row>
    <row r="650" spans="2:14" ht="15" hidden="1" customHeight="1">
      <c r="B650" s="1013">
        <f>SUBTOTAL(3,$I$310:I650)</f>
        <v>27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4"/>
        <v>0</v>
      </c>
      <c r="N650" s="1032">
        <f t="shared" si="123"/>
        <v>0</v>
      </c>
    </row>
    <row r="651" spans="2:14" ht="15" hidden="1" customHeight="1">
      <c r="B651" s="1013">
        <f>SUBTOTAL(3,$I$310:I651)</f>
        <v>27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4"/>
        <v>0</v>
      </c>
      <c r="N651" s="1032">
        <f t="shared" si="123"/>
        <v>0</v>
      </c>
    </row>
    <row r="652" spans="2:14" ht="15" hidden="1" customHeight="1">
      <c r="B652" s="1013">
        <f>SUBTOTAL(3,$I$310:I652)</f>
        <v>27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4"/>
        <v>0</v>
      </c>
      <c r="N652" s="1032">
        <f t="shared" si="123"/>
        <v>0</v>
      </c>
    </row>
    <row r="653" spans="2:14" ht="15" hidden="1" customHeight="1">
      <c r="B653" s="1013">
        <f>SUBTOTAL(3,$I$310:I653)</f>
        <v>27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4"/>
        <v>0</v>
      </c>
      <c r="N653" s="1032">
        <f t="shared" si="123"/>
        <v>0</v>
      </c>
    </row>
    <row r="654" spans="2:14" ht="30" hidden="1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hidden="1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5">IF(I655&gt;0,1,0)</f>
        <v>0</v>
      </c>
    </row>
    <row r="656" spans="2:14" ht="15" hidden="1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5"/>
        <v>0</v>
      </c>
    </row>
    <row r="657" spans="2:14" ht="15" hidden="1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6">IFERROR(I657*K657,0)</f>
        <v>0</v>
      </c>
      <c r="N657" s="1032">
        <f t="shared" si="125"/>
        <v>0</v>
      </c>
    </row>
    <row r="658" spans="2:14" ht="15" hidden="1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6"/>
        <v>0</v>
      </c>
      <c r="N658" s="1032">
        <f t="shared" si="125"/>
        <v>0</v>
      </c>
    </row>
    <row r="659" spans="2:14" ht="15" hidden="1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6"/>
        <v>0</v>
      </c>
      <c r="N659" s="1032">
        <f t="shared" si="125"/>
        <v>0</v>
      </c>
    </row>
    <row r="660" spans="2:14" ht="15" hidden="1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6"/>
        <v>0</v>
      </c>
      <c r="N660" s="1032">
        <f t="shared" si="125"/>
        <v>0</v>
      </c>
    </row>
    <row r="661" spans="2:14" ht="15" hidden="1" customHeight="1">
      <c r="B661" s="1013">
        <f>SUBTOTAL(3,$I$310:I661)</f>
        <v>27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6"/>
        <v>0</v>
      </c>
      <c r="N661" s="1032">
        <f t="shared" si="125"/>
        <v>0</v>
      </c>
    </row>
    <row r="662" spans="2:14" ht="15" hidden="1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6"/>
        <v>0</v>
      </c>
      <c r="N662" s="1032">
        <f t="shared" si="125"/>
        <v>0</v>
      </c>
    </row>
    <row r="663" spans="2:14" ht="15" hidden="1" customHeight="1">
      <c r="B663" s="1013">
        <f>SUBTOTAL(3,$I$310:I663)</f>
        <v>27</v>
      </c>
      <c r="C663" s="627" t="e">
        <f ca="1"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6"/>
        <v>0</v>
      </c>
      <c r="N663" s="1032">
        <f t="shared" si="125"/>
        <v>0</v>
      </c>
    </row>
    <row r="664" spans="2:14" ht="15" hidden="1" customHeight="1">
      <c r="B664" s="1013">
        <f>SUBTOTAL(3,$I$310:I664)</f>
        <v>27</v>
      </c>
      <c r="C664" s="627" t="e">
        <f ca="1"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6"/>
        <v>0</v>
      </c>
      <c r="N664" s="1032">
        <f t="shared" si="125"/>
        <v>0</v>
      </c>
    </row>
    <row r="665" spans="2:14" ht="15" hidden="1" customHeight="1">
      <c r="B665" s="1013">
        <f>SUBTOTAL(3,$I$310:I665)</f>
        <v>27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6"/>
        <v>0</v>
      </c>
      <c r="N665" s="1032">
        <f t="shared" si="125"/>
        <v>0</v>
      </c>
    </row>
    <row r="666" spans="2:14" ht="15" hidden="1" customHeight="1">
      <c r="B666" s="1013">
        <f>SUBTOTAL(3,$I$310:I666)</f>
        <v>27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6"/>
        <v>0</v>
      </c>
      <c r="N666" s="1032">
        <f t="shared" si="125"/>
        <v>0</v>
      </c>
    </row>
    <row r="667" spans="2:14" ht="15" hidden="1" customHeight="1">
      <c r="B667" s="1013">
        <f>SUBTOTAL(3,$I$310:I667)</f>
        <v>27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6"/>
        <v>0</v>
      </c>
      <c r="N667" s="1032">
        <f t="shared" si="125"/>
        <v>0</v>
      </c>
    </row>
    <row r="668" spans="2:14" ht="15" hidden="1" customHeight="1">
      <c r="B668" s="1013">
        <f>SUBTOTAL(3,$I$310:I668)</f>
        <v>27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6"/>
        <v>0</v>
      </c>
      <c r="N668" s="1032">
        <f t="shared" si="125"/>
        <v>0</v>
      </c>
    </row>
    <row r="669" spans="2:14" ht="30" hidden="1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hidden="1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7">IF(I670&gt;0,1,0)</f>
        <v>0</v>
      </c>
    </row>
    <row r="671" spans="2:14" ht="15" hidden="1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7"/>
        <v>0</v>
      </c>
    </row>
    <row r="672" spans="2:14" ht="15" hidden="1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8">IFERROR(I672*K672,0)</f>
        <v>0</v>
      </c>
      <c r="N672" s="1032">
        <f t="shared" si="127"/>
        <v>0</v>
      </c>
    </row>
    <row r="673" spans="2:14" ht="15" hidden="1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8"/>
        <v>0</v>
      </c>
      <c r="N673" s="1032">
        <f t="shared" si="127"/>
        <v>0</v>
      </c>
    </row>
    <row r="674" spans="2:14" ht="15" hidden="1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8"/>
        <v>0</v>
      </c>
      <c r="N674" s="1032">
        <f t="shared" si="127"/>
        <v>0</v>
      </c>
    </row>
    <row r="675" spans="2:14" ht="15" hidden="1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8"/>
        <v>0</v>
      </c>
      <c r="N675" s="1032">
        <f t="shared" si="127"/>
        <v>0</v>
      </c>
    </row>
    <row r="676" spans="2:14" ht="15" hidden="1" customHeight="1">
      <c r="B676" s="1013">
        <f>SUBTOTAL(3,$I$310:I676)</f>
        <v>27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8"/>
        <v>0</v>
      </c>
      <c r="N676" s="1032">
        <f t="shared" si="127"/>
        <v>0</v>
      </c>
    </row>
    <row r="677" spans="2:14" ht="15" hidden="1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8"/>
        <v>0</v>
      </c>
      <c r="N677" s="1032">
        <f t="shared" si="127"/>
        <v>0</v>
      </c>
    </row>
    <row r="678" spans="2:14" ht="15" hidden="1" customHeight="1">
      <c r="B678" s="1013">
        <f>SUBTOTAL(3,$I$310:I678)</f>
        <v>27</v>
      </c>
      <c r="C678" s="627" t="e">
        <f ca="1"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8"/>
        <v>0</v>
      </c>
      <c r="N678" s="1032">
        <f t="shared" si="127"/>
        <v>0</v>
      </c>
    </row>
    <row r="679" spans="2:14" ht="15" hidden="1" customHeight="1">
      <c r="B679" s="1013">
        <f>SUBTOTAL(3,$I$310:I679)</f>
        <v>27</v>
      </c>
      <c r="C679" s="627" t="e">
        <f ca="1"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8"/>
        <v>0</v>
      </c>
      <c r="N679" s="1032">
        <f t="shared" si="127"/>
        <v>0</v>
      </c>
    </row>
    <row r="680" spans="2:14" ht="15" hidden="1" customHeight="1">
      <c r="B680" s="1013">
        <f>SUBTOTAL(3,$I$310:I680)</f>
        <v>27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8"/>
        <v>0</v>
      </c>
      <c r="N680" s="1032">
        <f t="shared" si="127"/>
        <v>0</v>
      </c>
    </row>
    <row r="681" spans="2:14" ht="15" hidden="1" customHeight="1">
      <c r="B681" s="1013">
        <f>SUBTOTAL(3,$I$310:I681)</f>
        <v>27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8"/>
        <v>0</v>
      </c>
      <c r="N681" s="1032">
        <f t="shared" si="127"/>
        <v>0</v>
      </c>
    </row>
    <row r="682" spans="2:14" ht="15" hidden="1" customHeight="1">
      <c r="B682" s="1013">
        <f>SUBTOTAL(3,$I$310:I682)</f>
        <v>27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8"/>
        <v>0</v>
      </c>
      <c r="N682" s="1032">
        <f t="shared" si="127"/>
        <v>0</v>
      </c>
    </row>
    <row r="683" spans="2:14" ht="15" hidden="1" customHeight="1">
      <c r="B683" s="1013">
        <f>SUBTOTAL(3,$I$310:I683)</f>
        <v>27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8"/>
        <v>0</v>
      </c>
      <c r="N683" s="1032">
        <f t="shared" si="127"/>
        <v>0</v>
      </c>
    </row>
    <row r="684" spans="2:14" ht="30" hidden="1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hidden="1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9">IF(I685&gt;0,1,0)</f>
        <v>0</v>
      </c>
    </row>
    <row r="686" spans="2:14" ht="15" hidden="1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9"/>
        <v>0</v>
      </c>
    </row>
    <row r="687" spans="2:14" ht="15" hidden="1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30">IFERROR(I687*K687,0)</f>
        <v>0</v>
      </c>
      <c r="N687" s="1032">
        <f t="shared" si="129"/>
        <v>0</v>
      </c>
    </row>
    <row r="688" spans="2:14" ht="15" hidden="1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30"/>
        <v>0</v>
      </c>
      <c r="N688" s="1032">
        <f t="shared" si="129"/>
        <v>0</v>
      </c>
    </row>
    <row r="689" spans="2:14" ht="15" hidden="1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30"/>
        <v>0</v>
      </c>
      <c r="N689" s="1032">
        <f t="shared" si="129"/>
        <v>0</v>
      </c>
    </row>
    <row r="690" spans="2:14" ht="15" hidden="1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30"/>
        <v>0</v>
      </c>
      <c r="N690" s="1032">
        <f t="shared" si="129"/>
        <v>0</v>
      </c>
    </row>
    <row r="691" spans="2:14" ht="15" hidden="1" customHeight="1">
      <c r="B691" s="1013">
        <f>SUBTOTAL(3,$I$310:I691)</f>
        <v>27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30"/>
        <v>0</v>
      </c>
      <c r="N691" s="1032">
        <f t="shared" si="129"/>
        <v>0</v>
      </c>
    </row>
    <row r="692" spans="2:14" ht="15" hidden="1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30"/>
        <v>0</v>
      </c>
      <c r="N692" s="1032">
        <f t="shared" si="129"/>
        <v>0</v>
      </c>
    </row>
    <row r="693" spans="2:14" ht="15" hidden="1" customHeight="1">
      <c r="B693" s="1013">
        <f>SUBTOTAL(3,$I$310:I693)</f>
        <v>27</v>
      </c>
      <c r="C693" s="627" t="e">
        <f ca="1"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30"/>
        <v>0</v>
      </c>
      <c r="N693" s="1032">
        <f t="shared" si="129"/>
        <v>0</v>
      </c>
    </row>
    <row r="694" spans="2:14" ht="15" hidden="1" customHeight="1">
      <c r="B694" s="1013">
        <f>SUBTOTAL(3,$I$310:I694)</f>
        <v>27</v>
      </c>
      <c r="C694" s="627" t="e">
        <f ca="1"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30"/>
        <v>0</v>
      </c>
      <c r="N694" s="1032">
        <f t="shared" si="129"/>
        <v>0</v>
      </c>
    </row>
    <row r="695" spans="2:14" ht="15" hidden="1" customHeight="1">
      <c r="B695" s="1013">
        <f>SUBTOTAL(3,$I$310:I695)</f>
        <v>27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30"/>
        <v>0</v>
      </c>
      <c r="N695" s="1032">
        <f t="shared" si="129"/>
        <v>0</v>
      </c>
    </row>
    <row r="696" spans="2:14" ht="15" hidden="1" customHeight="1">
      <c r="B696" s="1013">
        <f>SUBTOTAL(3,$I$310:I696)</f>
        <v>27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30"/>
        <v>0</v>
      </c>
      <c r="N696" s="1032">
        <f t="shared" si="129"/>
        <v>0</v>
      </c>
    </row>
    <row r="697" spans="2:14" ht="15" hidden="1" customHeight="1">
      <c r="B697" s="1013">
        <f>SUBTOTAL(3,$I$310:I697)</f>
        <v>27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30"/>
        <v>0</v>
      </c>
      <c r="N697" s="1032">
        <f t="shared" si="129"/>
        <v>0</v>
      </c>
    </row>
    <row r="698" spans="2:14" ht="15" hidden="1" customHeight="1">
      <c r="B698" s="1013">
        <f>SUBTOTAL(3,$I$310:I698)</f>
        <v>27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30"/>
        <v>0</v>
      </c>
      <c r="N698" s="1032">
        <f t="shared" si="129"/>
        <v>0</v>
      </c>
    </row>
    <row r="699" spans="2:14" ht="30" hidden="1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hidden="1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31">IF(I700&gt;0,1,0)</f>
        <v>0</v>
      </c>
    </row>
    <row r="701" spans="2:14" ht="15" hidden="1" customHeight="1">
      <c r="B701" s="1013">
        <f>SUBTOTAL(3,$I$310:I701)</f>
        <v>27</v>
      </c>
      <c r="C701" s="627" t="s">
        <v>652</v>
      </c>
      <c r="D701" s="627"/>
      <c r="E701" s="627"/>
      <c r="F701" s="627"/>
      <c r="G701" s="627" t="str">
        <f t="shared" ref="G701:G707" si="132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31"/>
        <v>0</v>
      </c>
    </row>
    <row r="702" spans="2:14" ht="15" hidden="1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3">IFERROR(I702*K702,0)</f>
        <v>0</v>
      </c>
      <c r="N702" s="1032">
        <f t="shared" si="131"/>
        <v>0</v>
      </c>
    </row>
    <row r="703" spans="2:14" ht="15" hidden="1" customHeight="1">
      <c r="B703" s="1013">
        <f>SUBTOTAL(3,$I$310:I703)</f>
        <v>27</v>
      </c>
      <c r="C703" s="627" t="s">
        <v>559</v>
      </c>
      <c r="D703" s="627"/>
      <c r="E703" s="627"/>
      <c r="F703" s="627"/>
      <c r="G703" s="627" t="str">
        <f t="shared" si="132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3"/>
        <v>0</v>
      </c>
      <c r="N703" s="1032">
        <f t="shared" si="131"/>
        <v>0</v>
      </c>
    </row>
    <row r="704" spans="2:14" ht="15" hidden="1" customHeight="1">
      <c r="B704" s="1013">
        <f>SUBTOTAL(3,$I$310:I704)</f>
        <v>27</v>
      </c>
      <c r="C704" s="627" t="s">
        <v>189</v>
      </c>
      <c r="D704" s="627"/>
      <c r="E704" s="627"/>
      <c r="F704" s="627"/>
      <c r="G704" s="627" t="str">
        <f t="shared" si="132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3"/>
        <v>0</v>
      </c>
      <c r="N704" s="1032">
        <f t="shared" si="131"/>
        <v>0</v>
      </c>
    </row>
    <row r="705" spans="2:14" ht="15" hidden="1" customHeight="1">
      <c r="B705" s="1013">
        <f>SUBTOTAL(3,$I$310:I705)</f>
        <v>27</v>
      </c>
      <c r="C705" s="627" t="s">
        <v>1459</v>
      </c>
      <c r="D705" s="627"/>
      <c r="E705" s="627"/>
      <c r="F705" s="627"/>
      <c r="G705" s="627" t="str">
        <f t="shared" si="132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3"/>
        <v>0</v>
      </c>
      <c r="N705" s="1032">
        <f t="shared" si="131"/>
        <v>0</v>
      </c>
    </row>
    <row r="706" spans="2:14" ht="15" hidden="1" customHeight="1">
      <c r="B706" s="1013">
        <f>SUBTOTAL(3,$I$310:I706)</f>
        <v>27</v>
      </c>
      <c r="C706" s="627" t="s">
        <v>182</v>
      </c>
      <c r="D706" s="627"/>
      <c r="E706" s="627"/>
      <c r="F706" s="627"/>
      <c r="G706" s="627" t="str">
        <f t="shared" si="132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3"/>
        <v>0</v>
      </c>
      <c r="N706" s="1032">
        <f t="shared" si="131"/>
        <v>0</v>
      </c>
    </row>
    <row r="707" spans="2:14" ht="15" hidden="1" customHeight="1">
      <c r="B707" s="1013">
        <f>SUBTOTAL(3,$I$310:I707)</f>
        <v>27</v>
      </c>
      <c r="C707" s="627" t="s">
        <v>653</v>
      </c>
      <c r="D707" s="627"/>
      <c r="E707" s="627"/>
      <c r="F707" s="627"/>
      <c r="G707" s="627" t="str">
        <f t="shared" si="132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3"/>
        <v>0</v>
      </c>
      <c r="N707" s="1032">
        <f t="shared" si="131"/>
        <v>0</v>
      </c>
    </row>
    <row r="708" spans="2:14" ht="15" hidden="1" customHeight="1">
      <c r="B708" s="1013">
        <f>SUBTOTAL(3,$I$310:I708)</f>
        <v>27</v>
      </c>
      <c r="C708" s="627" t="e">
        <f ca="1"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3"/>
        <v>0</v>
      </c>
      <c r="N708" s="1032">
        <f t="shared" si="131"/>
        <v>0</v>
      </c>
    </row>
    <row r="709" spans="2:14" ht="15" hidden="1" customHeight="1">
      <c r="B709" s="1013">
        <f>SUBTOTAL(3,$I$310:I709)</f>
        <v>27</v>
      </c>
      <c r="C709" s="627" t="e">
        <f ca="1"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3"/>
        <v>0</v>
      </c>
      <c r="N709" s="1032">
        <f t="shared" si="131"/>
        <v>0</v>
      </c>
    </row>
    <row r="710" spans="2:14" ht="15" hidden="1" customHeight="1">
      <c r="B710" s="1013">
        <f>SUBTOTAL(3,$I$310:I710)</f>
        <v>27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3"/>
        <v>0</v>
      </c>
      <c r="N710" s="1032">
        <f t="shared" si="131"/>
        <v>0</v>
      </c>
    </row>
    <row r="711" spans="2:14" ht="15" hidden="1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3"/>
        <v>0</v>
      </c>
      <c r="N711" s="1032">
        <f t="shared" si="131"/>
        <v>0</v>
      </c>
    </row>
    <row r="712" spans="2:14" ht="15" hidden="1" customHeight="1">
      <c r="B712" s="1013">
        <f>SUBTOTAL(3,$I$310:I712)</f>
        <v>27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3"/>
        <v>0</v>
      </c>
      <c r="N712" s="1032">
        <f t="shared" si="131"/>
        <v>0</v>
      </c>
    </row>
    <row r="713" spans="2:14" ht="15" hidden="1" customHeight="1">
      <c r="B713" s="1013">
        <f>SUBTOTAL(3,$I$310:I713)</f>
        <v>27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3"/>
        <v>0</v>
      </c>
      <c r="N713" s="1032">
        <f t="shared" si="131"/>
        <v>0</v>
      </c>
    </row>
    <row r="714" spans="2:14" ht="30" hidden="1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hidden="1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4">IF(I715&gt;0,1,0)</f>
        <v>0</v>
      </c>
    </row>
    <row r="716" spans="2:14" ht="15" hidden="1" customHeight="1">
      <c r="B716" s="1013">
        <f>SUBTOTAL(3,$I$310:I716)</f>
        <v>27</v>
      </c>
      <c r="C716" s="627" t="s">
        <v>652</v>
      </c>
      <c r="D716" s="627"/>
      <c r="E716" s="627"/>
      <c r="F716" s="627"/>
      <c r="G716" s="627" t="str">
        <f t="shared" ref="G716:G722" si="135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4"/>
        <v>0</v>
      </c>
    </row>
    <row r="717" spans="2:14" ht="15" hidden="1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6">IFERROR(I717*K717,0)</f>
        <v>0</v>
      </c>
      <c r="N717" s="1032">
        <f t="shared" si="134"/>
        <v>0</v>
      </c>
    </row>
    <row r="718" spans="2:14" ht="15" hidden="1" customHeight="1">
      <c r="B718" s="1013">
        <f>SUBTOTAL(3,$I$310:I718)</f>
        <v>27</v>
      </c>
      <c r="C718" s="627" t="s">
        <v>559</v>
      </c>
      <c r="D718" s="627"/>
      <c r="E718" s="627"/>
      <c r="F718" s="627"/>
      <c r="G718" s="627" t="str">
        <f t="shared" si="135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6"/>
        <v>0</v>
      </c>
      <c r="N718" s="1032">
        <f t="shared" si="134"/>
        <v>0</v>
      </c>
    </row>
    <row r="719" spans="2:14" ht="15" hidden="1" customHeight="1">
      <c r="B719" s="1013">
        <f>SUBTOTAL(3,$I$310:I719)</f>
        <v>27</v>
      </c>
      <c r="C719" s="627" t="s">
        <v>189</v>
      </c>
      <c r="D719" s="627"/>
      <c r="E719" s="627"/>
      <c r="F719" s="627"/>
      <c r="G719" s="627" t="str">
        <f t="shared" si="135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6"/>
        <v>0</v>
      </c>
      <c r="N719" s="1032">
        <f t="shared" si="134"/>
        <v>0</v>
      </c>
    </row>
    <row r="720" spans="2:14" ht="15" hidden="1" customHeight="1">
      <c r="B720" s="1013">
        <f>SUBTOTAL(3,$I$310:I720)</f>
        <v>27</v>
      </c>
      <c r="C720" s="627" t="s">
        <v>1459</v>
      </c>
      <c r="D720" s="627"/>
      <c r="E720" s="627"/>
      <c r="F720" s="627"/>
      <c r="G720" s="627" t="str">
        <f t="shared" si="135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6"/>
        <v>0</v>
      </c>
      <c r="N720" s="1032">
        <f t="shared" si="134"/>
        <v>0</v>
      </c>
    </row>
    <row r="721" spans="2:14" ht="15" hidden="1" customHeight="1">
      <c r="B721" s="1013">
        <f>SUBTOTAL(3,$I$310:I721)</f>
        <v>27</v>
      </c>
      <c r="C721" s="627" t="s">
        <v>182</v>
      </c>
      <c r="D721" s="627"/>
      <c r="E721" s="627"/>
      <c r="F721" s="627"/>
      <c r="G721" s="627" t="str">
        <f t="shared" si="135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6"/>
        <v>0</v>
      </c>
      <c r="N721" s="1032">
        <f t="shared" si="134"/>
        <v>0</v>
      </c>
    </row>
    <row r="722" spans="2:14" ht="15" hidden="1" customHeight="1">
      <c r="B722" s="1013">
        <f>SUBTOTAL(3,$I$310:I722)</f>
        <v>27</v>
      </c>
      <c r="C722" s="627" t="s">
        <v>653</v>
      </c>
      <c r="D722" s="627"/>
      <c r="E722" s="627"/>
      <c r="F722" s="627"/>
      <c r="G722" s="627" t="str">
        <f t="shared" si="135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6"/>
        <v>0</v>
      </c>
      <c r="N722" s="1032">
        <f t="shared" si="134"/>
        <v>0</v>
      </c>
    </row>
    <row r="723" spans="2:14" ht="15" hidden="1" customHeight="1">
      <c r="B723" s="1013">
        <f>SUBTOTAL(3,$I$310:I723)</f>
        <v>27</v>
      </c>
      <c r="C723" s="627" t="e">
        <f ca="1"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6"/>
        <v>0</v>
      </c>
      <c r="N723" s="1032">
        <f t="shared" si="134"/>
        <v>0</v>
      </c>
    </row>
    <row r="724" spans="2:14" ht="15" hidden="1" customHeight="1">
      <c r="B724" s="1013">
        <f>SUBTOTAL(3,$I$310:I724)</f>
        <v>27</v>
      </c>
      <c r="C724" s="627" t="e">
        <f ca="1"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6"/>
        <v>0</v>
      </c>
      <c r="N724" s="1032">
        <f t="shared" si="134"/>
        <v>0</v>
      </c>
    </row>
    <row r="725" spans="2:14" ht="15" hidden="1" customHeight="1">
      <c r="B725" s="1013">
        <f>SUBTOTAL(3,$I$310:I725)</f>
        <v>27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6"/>
        <v>0</v>
      </c>
      <c r="N725" s="1032">
        <f t="shared" si="134"/>
        <v>0</v>
      </c>
    </row>
    <row r="726" spans="2:14" ht="15" hidden="1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6"/>
        <v>0</v>
      </c>
      <c r="N726" s="1032">
        <f t="shared" si="134"/>
        <v>0</v>
      </c>
    </row>
    <row r="727" spans="2:14" ht="15" hidden="1" customHeight="1">
      <c r="B727" s="1013">
        <f>SUBTOTAL(3,$I$310:I727)</f>
        <v>27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6"/>
        <v>0</v>
      </c>
      <c r="N727" s="1032">
        <f t="shared" si="134"/>
        <v>0</v>
      </c>
    </row>
    <row r="728" spans="2:14" ht="15" hidden="1" customHeight="1">
      <c r="B728" s="1013">
        <f>SUBTOTAL(3,$I$310:I728)</f>
        <v>27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6"/>
        <v>0</v>
      </c>
      <c r="N728" s="1032">
        <f t="shared" si="134"/>
        <v>0</v>
      </c>
    </row>
    <row r="729" spans="2:14" ht="30" hidden="1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hidden="1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7">IF(I730&gt;0,1,0)</f>
        <v>0</v>
      </c>
    </row>
    <row r="731" spans="2:14" ht="15" hidden="1" customHeight="1">
      <c r="B731" s="1013">
        <f>SUBTOTAL(3,$I$310:I731)</f>
        <v>27</v>
      </c>
      <c r="C731" s="627" t="s">
        <v>652</v>
      </c>
      <c r="D731" s="627"/>
      <c r="E731" s="627"/>
      <c r="F731" s="627"/>
      <c r="G731" s="627" t="str">
        <f t="shared" ref="G731:G737" si="138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7"/>
        <v>0</v>
      </c>
    </row>
    <row r="732" spans="2:14" ht="15" hidden="1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9">IFERROR(I732*K732,0)</f>
        <v>0</v>
      </c>
      <c r="N732" s="1032">
        <f t="shared" si="137"/>
        <v>0</v>
      </c>
    </row>
    <row r="733" spans="2:14" ht="15" hidden="1" customHeight="1">
      <c r="B733" s="1013">
        <f>SUBTOTAL(3,$I$310:I733)</f>
        <v>27</v>
      </c>
      <c r="C733" s="627" t="s">
        <v>559</v>
      </c>
      <c r="D733" s="627"/>
      <c r="E733" s="627"/>
      <c r="F733" s="627"/>
      <c r="G733" s="627" t="str">
        <f t="shared" si="138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9"/>
        <v>0</v>
      </c>
      <c r="N733" s="1032">
        <f t="shared" si="137"/>
        <v>0</v>
      </c>
    </row>
    <row r="734" spans="2:14" ht="15" hidden="1" customHeight="1">
      <c r="B734" s="1013">
        <f>SUBTOTAL(3,$I$310:I734)</f>
        <v>27</v>
      </c>
      <c r="C734" s="627" t="s">
        <v>189</v>
      </c>
      <c r="D734" s="627"/>
      <c r="E734" s="627"/>
      <c r="F734" s="627"/>
      <c r="G734" s="627" t="str">
        <f t="shared" si="138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9"/>
        <v>0</v>
      </c>
      <c r="N734" s="1032">
        <f t="shared" si="137"/>
        <v>0</v>
      </c>
    </row>
    <row r="735" spans="2:14" ht="15" hidden="1" customHeight="1">
      <c r="B735" s="1013">
        <f>SUBTOTAL(3,$I$310:I735)</f>
        <v>27</v>
      </c>
      <c r="C735" s="627" t="s">
        <v>1459</v>
      </c>
      <c r="D735" s="627"/>
      <c r="E735" s="627"/>
      <c r="F735" s="627"/>
      <c r="G735" s="627" t="str">
        <f t="shared" si="138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9"/>
        <v>0</v>
      </c>
      <c r="N735" s="1032">
        <f t="shared" si="137"/>
        <v>0</v>
      </c>
    </row>
    <row r="736" spans="2:14" ht="15" hidden="1" customHeight="1">
      <c r="B736" s="1013">
        <f>SUBTOTAL(3,$I$310:I736)</f>
        <v>27</v>
      </c>
      <c r="C736" s="627" t="s">
        <v>182</v>
      </c>
      <c r="D736" s="627"/>
      <c r="E736" s="627"/>
      <c r="F736" s="627"/>
      <c r="G736" s="627" t="str">
        <f t="shared" si="138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9"/>
        <v>0</v>
      </c>
      <c r="N736" s="1032">
        <f t="shared" si="137"/>
        <v>0</v>
      </c>
    </row>
    <row r="737" spans="2:14" ht="15" hidden="1" customHeight="1">
      <c r="B737" s="1013">
        <f>SUBTOTAL(3,$I$310:I737)</f>
        <v>27</v>
      </c>
      <c r="C737" s="627" t="s">
        <v>653</v>
      </c>
      <c r="D737" s="627"/>
      <c r="E737" s="627"/>
      <c r="F737" s="627"/>
      <c r="G737" s="627" t="str">
        <f t="shared" si="138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9"/>
        <v>0</v>
      </c>
      <c r="N737" s="1032">
        <f t="shared" si="137"/>
        <v>0</v>
      </c>
    </row>
    <row r="738" spans="2:14" ht="15" hidden="1" customHeight="1">
      <c r="B738" s="1013">
        <f>SUBTOTAL(3,$I$310:I738)</f>
        <v>27</v>
      </c>
      <c r="C738" s="627" t="e">
        <f ca="1"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9"/>
        <v>0</v>
      </c>
      <c r="N738" s="1032">
        <f t="shared" si="137"/>
        <v>0</v>
      </c>
    </row>
    <row r="739" spans="2:14" ht="15" hidden="1" customHeight="1">
      <c r="B739" s="1013">
        <f>SUBTOTAL(3,$I$310:I739)</f>
        <v>27</v>
      </c>
      <c r="C739" s="627" t="e">
        <f ca="1"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9"/>
        <v>0</v>
      </c>
      <c r="N739" s="1032">
        <f t="shared" si="137"/>
        <v>0</v>
      </c>
    </row>
    <row r="740" spans="2:14" ht="15" hidden="1" customHeight="1">
      <c r="B740" s="1013">
        <f>SUBTOTAL(3,$I$310:I740)</f>
        <v>27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9"/>
        <v>0</v>
      </c>
      <c r="N740" s="1032">
        <f t="shared" si="137"/>
        <v>0</v>
      </c>
    </row>
    <row r="741" spans="2:14" ht="15" hidden="1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9"/>
        <v>0</v>
      </c>
      <c r="N741" s="1032">
        <f t="shared" si="137"/>
        <v>0</v>
      </c>
    </row>
    <row r="742" spans="2:14" ht="15" hidden="1" customHeight="1">
      <c r="B742" s="1013">
        <f>SUBTOTAL(3,$I$310:I742)</f>
        <v>27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9"/>
        <v>0</v>
      </c>
      <c r="N742" s="1032">
        <f t="shared" si="137"/>
        <v>0</v>
      </c>
    </row>
    <row r="743" spans="2:14" ht="15" hidden="1" customHeight="1">
      <c r="B743" s="1013">
        <f>SUBTOTAL(3,$I$310:I743)</f>
        <v>27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9"/>
        <v>0</v>
      </c>
      <c r="N743" s="1032">
        <f t="shared" si="137"/>
        <v>0</v>
      </c>
    </row>
    <row r="744" spans="2:14" ht="30" hidden="1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hidden="1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40">IF(I745&gt;0,1,0)</f>
        <v>0</v>
      </c>
    </row>
    <row r="746" spans="2:14" ht="15" hidden="1" customHeight="1">
      <c r="B746" s="1013">
        <f>SUBTOTAL(3,$I$310:I746)</f>
        <v>27</v>
      </c>
      <c r="C746" s="627" t="s">
        <v>652</v>
      </c>
      <c r="D746" s="627"/>
      <c r="E746" s="627"/>
      <c r="F746" s="627"/>
      <c r="G746" s="627" t="str">
        <f t="shared" ref="G746:G752" si="141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40"/>
        <v>0</v>
      </c>
    </row>
    <row r="747" spans="2:14" ht="15" hidden="1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2">IFERROR(I747*K747,0)</f>
        <v>0</v>
      </c>
      <c r="N747" s="1032">
        <f t="shared" si="140"/>
        <v>0</v>
      </c>
    </row>
    <row r="748" spans="2:14" ht="15" hidden="1" customHeight="1">
      <c r="B748" s="1013">
        <f>SUBTOTAL(3,$I$310:I748)</f>
        <v>27</v>
      </c>
      <c r="C748" s="627" t="s">
        <v>559</v>
      </c>
      <c r="D748" s="627"/>
      <c r="E748" s="627"/>
      <c r="F748" s="627"/>
      <c r="G748" s="627" t="str">
        <f t="shared" si="141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2"/>
        <v>0</v>
      </c>
      <c r="N748" s="1032">
        <f t="shared" si="140"/>
        <v>0</v>
      </c>
    </row>
    <row r="749" spans="2:14" ht="15" hidden="1" customHeight="1">
      <c r="B749" s="1013">
        <f>SUBTOTAL(3,$I$310:I749)</f>
        <v>27</v>
      </c>
      <c r="C749" s="627" t="s">
        <v>189</v>
      </c>
      <c r="D749" s="627"/>
      <c r="E749" s="627"/>
      <c r="F749" s="627"/>
      <c r="G749" s="627" t="str">
        <f t="shared" si="141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2"/>
        <v>0</v>
      </c>
      <c r="N749" s="1032">
        <f t="shared" si="140"/>
        <v>0</v>
      </c>
    </row>
    <row r="750" spans="2:14" ht="15" hidden="1" customHeight="1">
      <c r="B750" s="1013">
        <f>SUBTOTAL(3,$I$310:I750)</f>
        <v>27</v>
      </c>
      <c r="C750" s="627" t="s">
        <v>1459</v>
      </c>
      <c r="D750" s="627"/>
      <c r="E750" s="627"/>
      <c r="F750" s="627"/>
      <c r="G750" s="627" t="str">
        <f t="shared" si="141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2"/>
        <v>0</v>
      </c>
      <c r="N750" s="1032">
        <f t="shared" si="140"/>
        <v>0</v>
      </c>
    </row>
    <row r="751" spans="2:14" ht="15" hidden="1" customHeight="1">
      <c r="B751" s="1013">
        <f>SUBTOTAL(3,$I$310:I751)</f>
        <v>27</v>
      </c>
      <c r="C751" s="627" t="s">
        <v>182</v>
      </c>
      <c r="D751" s="627"/>
      <c r="E751" s="627"/>
      <c r="F751" s="627"/>
      <c r="G751" s="627" t="str">
        <f t="shared" si="141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2"/>
        <v>0</v>
      </c>
      <c r="N751" s="1032">
        <f t="shared" si="140"/>
        <v>0</v>
      </c>
    </row>
    <row r="752" spans="2:14" ht="15" hidden="1" customHeight="1">
      <c r="B752" s="1013">
        <f>SUBTOTAL(3,$I$310:I752)</f>
        <v>27</v>
      </c>
      <c r="C752" s="627" t="s">
        <v>653</v>
      </c>
      <c r="D752" s="627"/>
      <c r="E752" s="627"/>
      <c r="F752" s="627"/>
      <c r="G752" s="627" t="str">
        <f t="shared" si="141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2"/>
        <v>0</v>
      </c>
      <c r="N752" s="1032">
        <f t="shared" si="140"/>
        <v>0</v>
      </c>
    </row>
    <row r="753" spans="2:14" ht="15" hidden="1" customHeight="1">
      <c r="B753" s="1013">
        <f>SUBTOTAL(3,$I$310:I753)</f>
        <v>27</v>
      </c>
      <c r="C753" s="627" t="e">
        <f ca="1"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2"/>
        <v>0</v>
      </c>
      <c r="N753" s="1032">
        <f t="shared" si="140"/>
        <v>0</v>
      </c>
    </row>
    <row r="754" spans="2:14" ht="15" hidden="1" customHeight="1">
      <c r="B754" s="1013">
        <f>SUBTOTAL(3,$I$310:I754)</f>
        <v>27</v>
      </c>
      <c r="C754" s="627" t="e">
        <f ca="1"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2"/>
        <v>0</v>
      </c>
      <c r="N754" s="1032">
        <f t="shared" si="140"/>
        <v>0</v>
      </c>
    </row>
    <row r="755" spans="2:14" ht="15" hidden="1" customHeight="1">
      <c r="B755" s="1013">
        <f>SUBTOTAL(3,$I$310:I755)</f>
        <v>27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2"/>
        <v>0</v>
      </c>
      <c r="N755" s="1032">
        <f t="shared" si="140"/>
        <v>0</v>
      </c>
    </row>
    <row r="756" spans="2:14" ht="15" hidden="1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2"/>
        <v>0</v>
      </c>
      <c r="N756" s="1032">
        <f t="shared" si="140"/>
        <v>0</v>
      </c>
    </row>
    <row r="757" spans="2:14" ht="15" hidden="1" customHeight="1">
      <c r="B757" s="1013">
        <f>SUBTOTAL(3,$I$310:I757)</f>
        <v>27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2"/>
        <v>0</v>
      </c>
      <c r="N757" s="1032">
        <f t="shared" si="140"/>
        <v>0</v>
      </c>
    </row>
    <row r="758" spans="2:14" ht="15" hidden="1" customHeight="1">
      <c r="B758" s="1013">
        <f>SUBTOTAL(3,$I$310:I758)</f>
        <v>27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2"/>
        <v>0</v>
      </c>
      <c r="N758" s="1032">
        <f t="shared" si="140"/>
        <v>0</v>
      </c>
    </row>
    <row r="759" spans="2:14" ht="30" hidden="1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hidden="1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3">IF(I760&gt;0,1,0)</f>
        <v>0</v>
      </c>
    </row>
    <row r="761" spans="2:14" ht="15" hidden="1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3"/>
        <v>0</v>
      </c>
    </row>
    <row r="762" spans="2:14" ht="15" hidden="1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4">IFERROR(I762*K762,0)</f>
        <v>0</v>
      </c>
      <c r="N762" s="1032">
        <f t="shared" si="143"/>
        <v>0</v>
      </c>
    </row>
    <row r="763" spans="2:14" ht="15" hidden="1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4"/>
        <v>0</v>
      </c>
      <c r="N763" s="1032">
        <f t="shared" si="143"/>
        <v>0</v>
      </c>
    </row>
    <row r="764" spans="2:14" ht="15" hidden="1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4"/>
        <v>0</v>
      </c>
      <c r="N764" s="1032">
        <f t="shared" si="143"/>
        <v>0</v>
      </c>
    </row>
    <row r="765" spans="2:14" ht="15" hidden="1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4"/>
        <v>0</v>
      </c>
      <c r="N765" s="1032">
        <f t="shared" si="143"/>
        <v>0</v>
      </c>
    </row>
    <row r="766" spans="2:14" ht="15" hidden="1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4"/>
        <v>0</v>
      </c>
      <c r="N766" s="1032">
        <f t="shared" si="143"/>
        <v>0</v>
      </c>
    </row>
    <row r="767" spans="2:14" ht="15" hidden="1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4"/>
        <v>0</v>
      </c>
      <c r="N767" s="1032">
        <f t="shared" si="143"/>
        <v>0</v>
      </c>
    </row>
    <row r="768" spans="2:14" ht="15" hidden="1" customHeight="1">
      <c r="B768" s="1013">
        <f>SUBTOTAL(3,$I$310:I768)</f>
        <v>27</v>
      </c>
      <c r="C768" s="627" t="e">
        <f ca="1"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4"/>
        <v>0</v>
      </c>
      <c r="N768" s="1032">
        <f t="shared" si="143"/>
        <v>0</v>
      </c>
    </row>
    <row r="769" spans="2:14" ht="15" hidden="1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4"/>
        <v>0</v>
      </c>
      <c r="N769" s="1032">
        <f t="shared" si="143"/>
        <v>0</v>
      </c>
    </row>
    <row r="770" spans="2:14" ht="15" hidden="1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4"/>
        <v>0</v>
      </c>
      <c r="N770" s="1032">
        <f t="shared" si="143"/>
        <v>0</v>
      </c>
    </row>
    <row r="771" spans="2:14" ht="15" hidden="1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4"/>
        <v>0</v>
      </c>
      <c r="N771" s="1032">
        <f t="shared" si="143"/>
        <v>0</v>
      </c>
    </row>
    <row r="772" spans="2:14" ht="15" hidden="1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4"/>
        <v>0</v>
      </c>
      <c r="N772" s="1032">
        <f t="shared" si="143"/>
        <v>0</v>
      </c>
    </row>
    <row r="773" spans="2:14" ht="15" hidden="1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4"/>
        <v>0</v>
      </c>
      <c r="N773" s="1032">
        <f t="shared" si="143"/>
        <v>0</v>
      </c>
    </row>
    <row r="774" spans="2:14" ht="30" hidden="1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hidden="1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5">IF(I775&gt;0,1,0)</f>
        <v>0</v>
      </c>
    </row>
    <row r="776" spans="2:14" ht="15" hidden="1" customHeight="1">
      <c r="B776" s="1013">
        <f>SUBTOTAL(3,$I$310:I776)</f>
        <v>27</v>
      </c>
      <c r="C776" s="627" t="s">
        <v>652</v>
      </c>
      <c r="D776" s="627"/>
      <c r="E776" s="627"/>
      <c r="F776" s="627"/>
      <c r="G776" s="627" t="str">
        <f t="shared" ref="G776:G782" si="146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5"/>
        <v>0</v>
      </c>
    </row>
    <row r="777" spans="2:14" ht="15" hidden="1" customHeight="1">
      <c r="B777" s="1013">
        <f>SUBTOTAL(3,$I$310:I777)</f>
        <v>27</v>
      </c>
      <c r="C777" s="627" t="s">
        <v>651</v>
      </c>
      <c r="D777" s="627"/>
      <c r="E777" s="627"/>
      <c r="F777" s="627"/>
      <c r="G777" s="627" t="str">
        <f t="shared" si="146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7">IFERROR(I777*K777,0)</f>
        <v>0</v>
      </c>
      <c r="N777" s="1032">
        <f t="shared" si="145"/>
        <v>0</v>
      </c>
    </row>
    <row r="778" spans="2:14" ht="15" hidden="1" customHeight="1">
      <c r="B778" s="1013">
        <f>SUBTOTAL(3,$I$310:I778)</f>
        <v>27</v>
      </c>
      <c r="C778" s="627" t="s">
        <v>559</v>
      </c>
      <c r="D778" s="627"/>
      <c r="E778" s="627"/>
      <c r="F778" s="627"/>
      <c r="G778" s="627" t="str">
        <f t="shared" si="146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7"/>
        <v>0</v>
      </c>
      <c r="N778" s="1032">
        <f t="shared" si="145"/>
        <v>0</v>
      </c>
    </row>
    <row r="779" spans="2:14" ht="15" hidden="1" customHeight="1">
      <c r="B779" s="1013">
        <f>SUBTOTAL(3,$I$310:I779)</f>
        <v>27</v>
      </c>
      <c r="C779" s="627" t="s">
        <v>189</v>
      </c>
      <c r="D779" s="627"/>
      <c r="E779" s="627"/>
      <c r="F779" s="627"/>
      <c r="G779" s="627" t="str">
        <f t="shared" si="146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7"/>
        <v>0</v>
      </c>
      <c r="N779" s="1032">
        <f t="shared" si="145"/>
        <v>0</v>
      </c>
    </row>
    <row r="780" spans="2:14" ht="15" hidden="1" customHeight="1">
      <c r="B780" s="1013">
        <f>SUBTOTAL(3,$I$310:I780)</f>
        <v>27</v>
      </c>
      <c r="C780" s="627" t="s">
        <v>1459</v>
      </c>
      <c r="D780" s="627"/>
      <c r="E780" s="627"/>
      <c r="F780" s="627"/>
      <c r="G780" s="627" t="str">
        <f t="shared" si="146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7"/>
        <v>0</v>
      </c>
      <c r="N780" s="1032">
        <f t="shared" si="145"/>
        <v>0</v>
      </c>
    </row>
    <row r="781" spans="2:14" ht="15" hidden="1" customHeight="1">
      <c r="B781" s="1013">
        <f>SUBTOTAL(3,$I$310:I781)</f>
        <v>27</v>
      </c>
      <c r="C781" s="627" t="s">
        <v>182</v>
      </c>
      <c r="D781" s="627"/>
      <c r="E781" s="627"/>
      <c r="F781" s="627"/>
      <c r="G781" s="627" t="str">
        <f t="shared" si="146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7"/>
        <v>0</v>
      </c>
      <c r="N781" s="1032">
        <f t="shared" si="145"/>
        <v>0</v>
      </c>
    </row>
    <row r="782" spans="2:14" ht="15" hidden="1" customHeight="1">
      <c r="B782" s="1013">
        <f>SUBTOTAL(3,$I$310:I782)</f>
        <v>27</v>
      </c>
      <c r="C782" s="627" t="s">
        <v>653</v>
      </c>
      <c r="D782" s="627"/>
      <c r="E782" s="627"/>
      <c r="F782" s="627"/>
      <c r="G782" s="627" t="str">
        <f t="shared" si="146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7"/>
        <v>0</v>
      </c>
      <c r="N782" s="1032">
        <f t="shared" si="145"/>
        <v>0</v>
      </c>
    </row>
    <row r="783" spans="2:14" ht="15" hidden="1" customHeight="1">
      <c r="B783" s="1013">
        <f>SUBTOTAL(3,$I$310:I783)</f>
        <v>27</v>
      </c>
      <c r="C783" s="627" t="e">
        <f ca="1"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7"/>
        <v>0</v>
      </c>
      <c r="N783" s="1032">
        <f t="shared" si="145"/>
        <v>0</v>
      </c>
    </row>
    <row r="784" spans="2:14" ht="15" hidden="1" customHeight="1">
      <c r="B784" s="1013">
        <f>SUBTOTAL(3,$I$310:I784)</f>
        <v>27</v>
      </c>
      <c r="C784" s="627" t="e">
        <f ca="1"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7"/>
        <v>0</v>
      </c>
      <c r="N784" s="1032">
        <f t="shared" si="145"/>
        <v>0</v>
      </c>
    </row>
    <row r="785" spans="2:14" ht="15" hidden="1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7"/>
        <v>0</v>
      </c>
      <c r="N785" s="1032">
        <f t="shared" si="145"/>
        <v>0</v>
      </c>
    </row>
    <row r="786" spans="2:14" ht="15" hidden="1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7"/>
        <v>0</v>
      </c>
      <c r="N786" s="1032">
        <f t="shared" si="145"/>
        <v>0</v>
      </c>
    </row>
    <row r="787" spans="2:14" ht="15" hidden="1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7"/>
        <v>0</v>
      </c>
      <c r="N787" s="1032">
        <f t="shared" si="145"/>
        <v>0</v>
      </c>
    </row>
    <row r="788" spans="2:14" ht="15" hidden="1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7"/>
        <v>0</v>
      </c>
      <c r="N788" s="1032">
        <f t="shared" si="145"/>
        <v>0</v>
      </c>
    </row>
    <row r="789" spans="2:14" ht="15" customHeight="1">
      <c r="N789" s="1032">
        <f>IF($V$3=$Y$2,0,1)</f>
        <v>1</v>
      </c>
    </row>
    <row r="790" spans="2:14" ht="15" customHeight="1">
      <c r="N790" s="1032">
        <f>IF($V$3=$Y$2,0,1)</f>
        <v>1</v>
      </c>
    </row>
    <row r="791" spans="2:14" ht="15" hidden="1" customHeight="1">
      <c r="N791" s="1032">
        <v>0</v>
      </c>
    </row>
    <row r="792" spans="2:14" ht="15" hidden="1" customHeight="1">
      <c r="N792" s="1029">
        <v>0</v>
      </c>
    </row>
    <row r="793" spans="2:14" ht="15" hidden="1" customHeight="1">
      <c r="N793" s="1029">
        <v>0</v>
      </c>
    </row>
    <row r="794" spans="2:14" ht="15" hidden="1" customHeight="1">
      <c r="N794" s="1029">
        <v>0</v>
      </c>
    </row>
    <row r="795" spans="2:14" ht="15" hidden="1" customHeight="1">
      <c r="N795" s="1029">
        <v>0</v>
      </c>
    </row>
    <row r="796" spans="2:14" ht="15" hidden="1" customHeight="1">
      <c r="N796" s="1029">
        <v>0</v>
      </c>
    </row>
    <row r="797" spans="2:14" ht="15" hidden="1" customHeight="1">
      <c r="N797" s="1029">
        <v>0</v>
      </c>
    </row>
    <row r="798" spans="2:14" ht="15" hidden="1" customHeight="1">
      <c r="N798" s="1029">
        <v>0</v>
      </c>
    </row>
    <row r="799" spans="2:14" ht="15" hidden="1" customHeight="1">
      <c r="N799" s="1029">
        <v>0</v>
      </c>
    </row>
    <row r="800" spans="2:14" ht="15" hidden="1" customHeight="1">
      <c r="N800" s="1029">
        <v>0</v>
      </c>
    </row>
    <row r="801" spans="1:20" ht="15" hidden="1" customHeight="1">
      <c r="N801" s="1029">
        <v>0</v>
      </c>
    </row>
    <row r="802" spans="1:20" ht="15" hidden="1" customHeight="1">
      <c r="N802" s="1029">
        <v>0</v>
      </c>
    </row>
    <row r="803" spans="1:20" ht="15" hidden="1" customHeight="1">
      <c r="N803" s="1029">
        <v>0</v>
      </c>
    </row>
    <row r="804" spans="1:20" ht="15" hidden="1" customHeight="1">
      <c r="L804" s="1164" t="str">
        <f ca="1">HYPERLINK("#"&amp;$AB$5&amp;"!A1","⇑ ")</f>
        <v xml:space="preserve">⇑ </v>
      </c>
      <c r="N804" s="1029">
        <v>0</v>
      </c>
    </row>
    <row r="805" spans="1:20" ht="15" hidden="1" customHeight="1">
      <c r="C805" s="134" t="s">
        <v>138</v>
      </c>
      <c r="L805" s="1164"/>
      <c r="N805" s="1029">
        <v>0</v>
      </c>
    </row>
    <row r="806" spans="1:20" ht="15" hidden="1" customHeight="1">
      <c r="L806" s="1164"/>
      <c r="N806" s="1029">
        <v>0</v>
      </c>
    </row>
    <row r="807" spans="1:20" ht="15" hidden="1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2129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hidden="1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2129</v>
      </c>
      <c r="J808" s="1013" t="s">
        <v>112</v>
      </c>
      <c r="M808" s="1011"/>
      <c r="N808" s="1029">
        <v>0</v>
      </c>
    </row>
    <row r="809" spans="1:20" ht="15" hidden="1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40</v>
      </c>
      <c r="J809" s="1013" t="s">
        <v>151</v>
      </c>
      <c r="M809" s="1011"/>
      <c r="N809" s="1029">
        <v>0</v>
      </c>
    </row>
    <row r="810" spans="1:20" ht="15" hidden="1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1.18</v>
      </c>
      <c r="I810" s="609">
        <f t="shared" ref="I810:I817" si="148">ROUNDUP(ПЛ*H810+ПР*(0.15+$R$3/1000+0.03),0)</f>
        <v>2181</v>
      </c>
      <c r="J810" s="1013" t="s">
        <v>112</v>
      </c>
      <c r="M810" s="1011"/>
      <c r="N810" s="1029">
        <v>0</v>
      </c>
    </row>
    <row r="811" spans="1:20" ht="15" hidden="1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1.18</v>
      </c>
      <c r="I811" s="609">
        <f t="shared" si="148"/>
        <v>2181</v>
      </c>
      <c r="J811" s="1013" t="s">
        <v>112</v>
      </c>
      <c r="M811" s="1011"/>
      <c r="N811" s="1029">
        <v>0</v>
      </c>
    </row>
    <row r="812" spans="1:20" ht="15" hidden="1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8"/>
        <v>2129</v>
      </c>
      <c r="J812" s="1013" t="s">
        <v>112</v>
      </c>
      <c r="M812" s="1011"/>
      <c r="N812" s="1029">
        <v>0</v>
      </c>
    </row>
    <row r="813" spans="1:20" ht="15" hidden="1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8"/>
        <v>2129</v>
      </c>
      <c r="J813" s="1013" t="s">
        <v>112</v>
      </c>
      <c r="M813" s="1011"/>
      <c r="N813" s="1029">
        <v>0</v>
      </c>
    </row>
    <row r="814" spans="1:20" ht="15" hidden="1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8"/>
        <v>2129</v>
      </c>
      <c r="J814" s="1013" t="s">
        <v>112</v>
      </c>
      <c r="M814" s="1011"/>
      <c r="N814" s="1029">
        <v>0</v>
      </c>
    </row>
    <row r="815" spans="1:20" ht="15" hidden="1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8"/>
        <v>2129</v>
      </c>
      <c r="J815" s="1013" t="s">
        <v>112</v>
      </c>
      <c r="M815" s="1011"/>
      <c r="N815" s="1029">
        <v>0</v>
      </c>
    </row>
    <row r="816" spans="1:20" ht="15" hidden="1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8"/>
        <v>2129</v>
      </c>
      <c r="J816" s="1013" t="s">
        <v>112</v>
      </c>
      <c r="M816" s="1011"/>
      <c r="N816" s="1029">
        <v>0</v>
      </c>
    </row>
    <row r="817" spans="3:21" ht="15" hidden="1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8"/>
        <v>2129</v>
      </c>
      <c r="J817" s="1013" t="s">
        <v>112</v>
      </c>
      <c r="N817" s="1029">
        <v>0</v>
      </c>
    </row>
    <row r="818" spans="3:21" ht="15" hidden="1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9">ROUNDUP(ПЛ*H818+ПР*(0.15+$R$3/1000+0.03),0)</f>
        <v>2129</v>
      </c>
      <c r="J818" s="1013" t="s">
        <v>112</v>
      </c>
      <c r="M818" s="120"/>
      <c r="N818" s="1029">
        <v>0</v>
      </c>
    </row>
    <row r="819" spans="3:21" ht="15" hidden="1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513</v>
      </c>
      <c r="J819" s="1013" t="s">
        <v>183</v>
      </c>
      <c r="M819" s="120"/>
      <c r="N819" s="1029">
        <v>0</v>
      </c>
    </row>
    <row r="820" spans="3:21" ht="15" hidden="1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hidden="1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hidden="1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hidden="1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hidden="1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hidden="1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hidden="1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hidden="1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hidden="1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hidden="1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1744.2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hidden="1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1744.2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hidden="1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1744.2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hidden="1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hidden="1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2052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hidden="1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1881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hidden="1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1744.2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hidden="1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hidden="1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hidden="1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hidden="1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hidden="1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hidden="1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hidden="1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hidden="1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50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hidden="1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50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hidden="1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50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hidden="1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50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hidden="1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50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hidden="1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50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hidden="1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50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hidden="1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50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hidden="1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50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hidden="1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50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hidden="1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hidden="1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hidden="1" customHeight="1">
      <c r="M855" s="120"/>
      <c r="N855" s="1029">
        <v>0</v>
      </c>
    </row>
    <row r="856" spans="1:21" ht="15" hidden="1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hidden="1" customHeight="1">
      <c r="C857" s="135" t="s">
        <v>181</v>
      </c>
      <c r="L857" s="1164"/>
      <c r="M857" s="120"/>
      <c r="N857" s="1029">
        <v>0</v>
      </c>
    </row>
    <row r="858" spans="1:21" ht="15" hidden="1" customHeight="1">
      <c r="L858" s="1164"/>
      <c r="M858" s="120"/>
      <c r="N858" s="1029">
        <v>0</v>
      </c>
    </row>
    <row r="859" spans="1:21" ht="15" hidden="1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513</v>
      </c>
      <c r="J859" s="1013" t="s">
        <v>183</v>
      </c>
      <c r="M859" s="120"/>
      <c r="N859" s="1029">
        <v>0</v>
      </c>
    </row>
    <row r="860" spans="1:21" ht="15" hidden="1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1026</v>
      </c>
      <c r="J860" s="1013" t="s">
        <v>183</v>
      </c>
      <c r="M860" s="120"/>
      <c r="N860" s="1029">
        <v>0</v>
      </c>
    </row>
    <row r="861" spans="1:21" ht="15" hidden="1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1710</v>
      </c>
      <c r="J861" s="1013" t="s">
        <v>183</v>
      </c>
      <c r="M861" s="120"/>
      <c r="N861" s="1029">
        <v>0</v>
      </c>
    </row>
    <row r="862" spans="1:21" ht="15" hidden="1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hidden="1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hidden="1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21</v>
      </c>
      <c r="J864" s="1013" t="s">
        <v>151</v>
      </c>
      <c r="M864" s="120"/>
      <c r="N864" s="1029">
        <v>0</v>
      </c>
    </row>
    <row r="865" spans="1:16" ht="15" hidden="1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1967</v>
      </c>
      <c r="J865" s="1013" t="s">
        <v>112</v>
      </c>
      <c r="M865" s="120"/>
      <c r="N865" s="1029">
        <v>0</v>
      </c>
    </row>
    <row r="866" spans="1:16" ht="15" hidden="1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1967</v>
      </c>
      <c r="J866" s="1013" t="s">
        <v>112</v>
      </c>
      <c r="M866" s="120"/>
      <c r="N866" s="1029">
        <v>0</v>
      </c>
    </row>
    <row r="867" spans="1:16" ht="15" hidden="1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1967</v>
      </c>
      <c r="J867" s="1013" t="s">
        <v>112</v>
      </c>
      <c r="M867" s="120"/>
      <c r="N867" s="1029">
        <v>0</v>
      </c>
    </row>
    <row r="868" spans="1:16" ht="15" hidden="1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hidden="1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1967</v>
      </c>
      <c r="J869" s="1013" t="s">
        <v>112</v>
      </c>
      <c r="M869" s="120"/>
      <c r="N869" s="1029">
        <v>0</v>
      </c>
    </row>
    <row r="870" spans="1:16" ht="15" hidden="1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1967</v>
      </c>
      <c r="J870" s="1013" t="s">
        <v>112</v>
      </c>
      <c r="M870" s="120"/>
      <c r="N870" s="1029">
        <v>0</v>
      </c>
    </row>
    <row r="871" spans="1:16" ht="15" hidden="1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1967</v>
      </c>
      <c r="J871" s="1013" t="s">
        <v>112</v>
      </c>
      <c r="M871" s="120"/>
      <c r="N871" s="1029">
        <v>0</v>
      </c>
    </row>
    <row r="872" spans="1:16" ht="15" hidden="1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51">ROUNDUP(ПЛ*H872,0)</f>
        <v>3933</v>
      </c>
      <c r="J872" s="1013" t="s">
        <v>112</v>
      </c>
      <c r="M872" s="120"/>
      <c r="N872" s="1029">
        <v>0</v>
      </c>
    </row>
    <row r="873" spans="1:16" ht="15" hidden="1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51"/>
        <v>1967</v>
      </c>
      <c r="J873" s="1013" t="s">
        <v>112</v>
      </c>
      <c r="M873" s="120"/>
      <c r="N873" s="1029">
        <v>0</v>
      </c>
    </row>
    <row r="874" spans="1:16" ht="15" hidden="1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51"/>
        <v>1967</v>
      </c>
      <c r="J874" s="1013" t="s">
        <v>112</v>
      </c>
      <c r="M874" s="120"/>
      <c r="N874" s="1029">
        <v>0</v>
      </c>
    </row>
    <row r="875" spans="1:16" ht="15" hidden="1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51"/>
        <v>1710</v>
      </c>
      <c r="J875" s="1013" t="s">
        <v>183</v>
      </c>
      <c r="M875" s="120"/>
      <c r="N875" s="1029">
        <v>0</v>
      </c>
    </row>
    <row r="876" spans="1:16" ht="15" hidden="1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51"/>
        <v>1967</v>
      </c>
      <c r="J876" s="1013" t="s">
        <v>112</v>
      </c>
      <c r="M876" s="120"/>
      <c r="N876" s="1029">
        <v>0</v>
      </c>
    </row>
    <row r="877" spans="1:16" ht="15" hidden="1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51"/>
        <v>1967</v>
      </c>
      <c r="J877" s="1013" t="s">
        <v>112</v>
      </c>
      <c r="M877" s="120"/>
      <c r="N877" s="1029">
        <v>0</v>
      </c>
    </row>
    <row r="878" spans="1:16" ht="15" hidden="1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1967</v>
      </c>
      <c r="J878" s="1013" t="s">
        <v>112</v>
      </c>
      <c r="M878" s="120"/>
      <c r="N878" s="1029">
        <v>0</v>
      </c>
    </row>
    <row r="879" spans="1:16" ht="15" hidden="1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1967</v>
      </c>
      <c r="J879" s="1013" t="s">
        <v>112</v>
      </c>
      <c r="M879" s="120"/>
      <c r="N879" s="1029">
        <v>0</v>
      </c>
    </row>
    <row r="880" spans="1:16" ht="15" hidden="1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hidden="1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2052</v>
      </c>
      <c r="J881" s="1013" t="s">
        <v>112</v>
      </c>
      <c r="M881" s="120"/>
      <c r="N881" s="1029">
        <v>0</v>
      </c>
    </row>
    <row r="882" spans="1:14" ht="15" hidden="1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2052</v>
      </c>
      <c r="J882" s="1013" t="s">
        <v>112</v>
      </c>
      <c r="M882" s="120"/>
      <c r="N882" s="1029">
        <v>0</v>
      </c>
    </row>
    <row r="883" spans="1:14" ht="15" hidden="1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1967</v>
      </c>
      <c r="J883" s="1013" t="s">
        <v>112</v>
      </c>
      <c r="M883" s="120"/>
      <c r="N883" s="1029">
        <v>0</v>
      </c>
    </row>
    <row r="884" spans="1:14" ht="15" hidden="1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1967</v>
      </c>
      <c r="J884" s="1013" t="s">
        <v>112</v>
      </c>
      <c r="M884" s="120"/>
      <c r="N884" s="1029">
        <v>0</v>
      </c>
    </row>
    <row r="885" spans="1:14" ht="15" hidden="1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1967</v>
      </c>
      <c r="J885" s="1013" t="s">
        <v>112</v>
      </c>
      <c r="M885" s="120"/>
      <c r="N885" s="1029">
        <v>0</v>
      </c>
    </row>
    <row r="886" spans="1:14" ht="15" hidden="1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hidden="1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1967</v>
      </c>
      <c r="J887" s="1013" t="s">
        <v>112</v>
      </c>
      <c r="M887" s="120"/>
      <c r="N887" s="1029">
        <v>0</v>
      </c>
    </row>
    <row r="888" spans="1:14" ht="15" hidden="1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1967</v>
      </c>
      <c r="J888" s="1013" t="s">
        <v>112</v>
      </c>
      <c r="M888" s="120"/>
      <c r="N888" s="1029">
        <v>0</v>
      </c>
    </row>
    <row r="889" spans="1:14" ht="15" hidden="1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hidden="1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hidden="1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hidden="1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hidden="1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hidden="1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hidden="1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hidden="1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hidden="1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hidden="1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hidden="1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hidden="1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hidden="1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hidden="1" customHeight="1">
      <c r="M902" s="120"/>
      <c r="N902" s="1029">
        <v>0</v>
      </c>
    </row>
    <row r="903" spans="3:14" ht="15" hidden="1" customHeight="1">
      <c r="M903" s="120"/>
      <c r="N903" s="1029">
        <v>0</v>
      </c>
    </row>
    <row r="904" spans="3:14" ht="15" hidden="1" customHeight="1">
      <c r="M904" s="120"/>
      <c r="N904" s="1029">
        <v>0</v>
      </c>
    </row>
    <row r="905" spans="3:14" ht="15" hidden="1" customHeight="1">
      <c r="M905" s="120"/>
      <c r="N905" s="1029">
        <v>0</v>
      </c>
    </row>
    <row r="906" spans="3:14" ht="15" hidden="1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hidden="1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hidden="1" customHeight="1">
      <c r="C908" s="626" t="s">
        <v>652</v>
      </c>
      <c r="D908" s="627"/>
      <c r="E908" s="627"/>
      <c r="F908" s="627"/>
      <c r="G908" s="628" t="str">
        <f t="shared" ref="G908:G913" si="152">" "</f>
        <v xml:space="preserve"> </v>
      </c>
      <c r="H908" s="608">
        <v>1.03</v>
      </c>
      <c r="I908" s="614">
        <f>IFERROR(ROUNDUP(ПКР*H908,2),0)</f>
        <v>105.06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hidden="1" customHeight="1">
      <c r="C909" s="626" t="s">
        <v>651</v>
      </c>
      <c r="D909" s="627"/>
      <c r="E909" s="627"/>
      <c r="F909" s="627"/>
      <c r="G909" s="628" t="str">
        <f t="shared" si="152"/>
        <v xml:space="preserve"> </v>
      </c>
      <c r="H909" s="608">
        <v>1.03</v>
      </c>
      <c r="I909" s="614">
        <f>IFERROR(ROUNDUP(ППР*H909,2),0)</f>
        <v>105.06</v>
      </c>
      <c r="J909" s="1013" t="s">
        <v>264</v>
      </c>
      <c r="L909" s="1164"/>
      <c r="M909" s="120"/>
      <c r="N909" s="1029">
        <v>0</v>
      </c>
    </row>
    <row r="910" spans="3:14" ht="15" hidden="1" customHeight="1">
      <c r="C910" s="626" t="s">
        <v>559</v>
      </c>
      <c r="D910" s="627"/>
      <c r="E910" s="627"/>
      <c r="F910" s="627"/>
      <c r="G910" s="628" t="str">
        <f t="shared" si="152"/>
        <v xml:space="preserve"> </v>
      </c>
      <c r="H910" s="608">
        <v>5</v>
      </c>
      <c r="I910" s="611">
        <f>IFERROR(ROUNDUP(СМРЗ.МЕТ*H910*1.03,0),0)</f>
        <v>2406</v>
      </c>
      <c r="J910" s="1013" t="s">
        <v>151</v>
      </c>
      <c r="L910" s="1164"/>
      <c r="M910" s="120"/>
      <c r="N910" s="1029">
        <v>0</v>
      </c>
    </row>
    <row r="911" spans="3:14" ht="15" hidden="1" customHeight="1">
      <c r="C911" s="626" t="s">
        <v>189</v>
      </c>
      <c r="D911" s="627"/>
      <c r="E911" s="627"/>
      <c r="F911" s="627"/>
      <c r="G911" s="628" t="str">
        <f t="shared" si="152"/>
        <v xml:space="preserve"> </v>
      </c>
      <c r="H911" s="608">
        <v>5</v>
      </c>
      <c r="I911" s="611">
        <f>IFERROR(ROUNDUP(АНКЕР,0),0)</f>
        <v>293</v>
      </c>
      <c r="J911" s="1013" t="s">
        <v>151</v>
      </c>
      <c r="M911" s="120"/>
      <c r="N911" s="1029">
        <v>0</v>
      </c>
    </row>
    <row r="912" spans="3:14" ht="15" hidden="1" customHeight="1">
      <c r="C912" s="626" t="s">
        <v>1459</v>
      </c>
      <c r="D912" s="627"/>
      <c r="E912" s="627"/>
      <c r="F912" s="627"/>
      <c r="G912" s="628" t="str">
        <f t="shared" si="152"/>
        <v xml:space="preserve"> </v>
      </c>
      <c r="H912" s="608">
        <v>5</v>
      </c>
      <c r="I912" s="611">
        <f>IFERROR(ROUNDUP(СМРЗ.БЕТ*H912*1.03,0),0)+$I$1141</f>
        <v>217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hidden="1" customHeight="1">
      <c r="C913" s="626" t="s">
        <v>653</v>
      </c>
      <c r="D913" s="627"/>
      <c r="E913" s="627"/>
      <c r="F913" s="627"/>
      <c r="G913" s="628" t="str">
        <f t="shared" si="152"/>
        <v xml:space="preserve"> </v>
      </c>
      <c r="H913" s="608">
        <v>0.15</v>
      </c>
      <c r="I913" s="614">
        <f>IFERROR((ROUNDUP(ПКР*H913/310*1000,0))*0.33,0)</f>
        <v>16.5</v>
      </c>
      <c r="J913" s="1013" t="s">
        <v>183</v>
      </c>
      <c r="L913" s="1166"/>
      <c r="M913" s="120"/>
      <c r="N913" s="1029">
        <v>0</v>
      </c>
    </row>
    <row r="914" spans="2:14" ht="15" hidden="1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hidden="1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216</v>
      </c>
      <c r="J915" s="1013" t="s">
        <v>112</v>
      </c>
      <c r="M915" s="120"/>
      <c r="N915" s="1029">
        <v>0</v>
      </c>
    </row>
    <row r="916" spans="2:14" ht="15" hidden="1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hidden="1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hidden="1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5.8</v>
      </c>
      <c r="J918" s="1013" t="s">
        <v>178</v>
      </c>
      <c r="M918" s="120"/>
      <c r="N918" s="1029">
        <v>0</v>
      </c>
    </row>
    <row r="919" spans="2:14" ht="15" hidden="1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hidden="1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hidden="1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5.8</v>
      </c>
      <c r="J921" s="1013" t="s">
        <v>178</v>
      </c>
      <c r="M921" s="120"/>
      <c r="N921" s="1029">
        <v>0</v>
      </c>
    </row>
    <row r="922" spans="2:14" ht="15" hidden="1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hidden="1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hidden="1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hidden="1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hidden="1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hidden="1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hidden="1" customHeight="1">
      <c r="C928" s="626" t="s">
        <v>1489</v>
      </c>
      <c r="D928" s="627"/>
      <c r="E928" s="627"/>
      <c r="F928" s="733"/>
      <c r="G928" s="628" t="str">
        <f t="shared" ref="G928:G933" si="153">" "</f>
        <v xml:space="preserve"> </v>
      </c>
      <c r="H928" s="608">
        <v>1.1499999999999999</v>
      </c>
      <c r="I928" s="609">
        <f>IFERROR(ROUNDUP((парапетВ+парапетН)*H928,0),0)</f>
        <v>216</v>
      </c>
      <c r="J928" s="1013" t="s">
        <v>112</v>
      </c>
      <c r="M928" s="120"/>
      <c r="N928" s="1029">
        <v>0</v>
      </c>
    </row>
    <row r="929" spans="3:14" ht="15" hidden="1" customHeight="1">
      <c r="C929" s="626" t="s">
        <v>184</v>
      </c>
      <c r="D929" s="627"/>
      <c r="E929" s="627"/>
      <c r="F929" s="627"/>
      <c r="G929" s="628" t="str">
        <f t="shared" si="153"/>
        <v xml:space="preserve"> </v>
      </c>
      <c r="H929" s="608">
        <v>1.1499999999999999</v>
      </c>
      <c r="I929" s="609">
        <f>IFERROR(ROUNDUP(парапетВ*H929,0),0)</f>
        <v>216</v>
      </c>
      <c r="J929" s="1013" t="s">
        <v>112</v>
      </c>
      <c r="M929" s="120"/>
      <c r="N929" s="1029">
        <v>0</v>
      </c>
    </row>
    <row r="930" spans="3:14" ht="15" hidden="1" customHeight="1">
      <c r="C930" s="626" t="s">
        <v>1483</v>
      </c>
      <c r="D930" s="627"/>
      <c r="E930" s="627"/>
      <c r="F930" s="627"/>
      <c r="G930" s="628" t="str">
        <f t="shared" si="153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hidden="1" customHeight="1">
      <c r="C931" s="626" t="s">
        <v>1484</v>
      </c>
      <c r="D931" s="627"/>
      <c r="E931" s="627"/>
      <c r="F931" s="627"/>
      <c r="G931" s="628" t="str">
        <f t="shared" si="153"/>
        <v xml:space="preserve"> </v>
      </c>
      <c r="H931" s="608">
        <v>1.1499999999999999</v>
      </c>
      <c r="I931" s="609">
        <f>IFERROR(ROUNDUP(парапетВ*H931,0),0)</f>
        <v>216</v>
      </c>
      <c r="J931" s="1013" t="s">
        <v>112</v>
      </c>
      <c r="M931" s="120"/>
      <c r="N931" s="1029">
        <v>0</v>
      </c>
    </row>
    <row r="932" spans="3:14" ht="15" hidden="1" customHeight="1">
      <c r="C932" s="626" t="s">
        <v>1481</v>
      </c>
      <c r="D932" s="627"/>
      <c r="E932" s="627"/>
      <c r="F932" s="627"/>
      <c r="G932" s="628" t="str">
        <f t="shared" si="153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hidden="1" customHeight="1">
      <c r="C933" s="626" t="s">
        <v>187</v>
      </c>
      <c r="D933" s="627"/>
      <c r="E933" s="627"/>
      <c r="F933" s="627"/>
      <c r="G933" s="628" t="str">
        <f t="shared" si="153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hidden="1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hidden="1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216</v>
      </c>
      <c r="J935" s="1013" t="s">
        <v>112</v>
      </c>
      <c r="M935" s="120"/>
      <c r="N935" s="1029">
        <v>0</v>
      </c>
    </row>
    <row r="936" spans="3:14" ht="15" hidden="1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216</v>
      </c>
      <c r="J936" s="1013" t="s">
        <v>112</v>
      </c>
      <c r="M936" s="120"/>
      <c r="N936" s="1029">
        <v>0</v>
      </c>
    </row>
    <row r="937" spans="3:14" ht="15" hidden="1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216</v>
      </c>
      <c r="J937" s="1013" t="s">
        <v>112</v>
      </c>
      <c r="M937" s="120"/>
      <c r="N937" s="1029">
        <v>0</v>
      </c>
    </row>
    <row r="938" spans="3:14" ht="15" hidden="1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216</v>
      </c>
      <c r="J938" s="1013" t="s">
        <v>112</v>
      </c>
      <c r="M938" s="120"/>
      <c r="N938" s="1029">
        <v>0</v>
      </c>
    </row>
    <row r="939" spans="3:14" ht="15" hidden="1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hidden="1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hidden="1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hidden="1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hidden="1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hidden="1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hidden="1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hidden="1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hidden="1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hidden="1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hidden="1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hidden="1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hidden="1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hidden="1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hidden="1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hidden="1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hidden="1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hidden="1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hidden="1" customHeight="1">
      <c r="M957" s="120"/>
      <c r="N957" s="1029">
        <v>0</v>
      </c>
    </row>
    <row r="958" spans="3:14" ht="15" hidden="1" customHeight="1">
      <c r="M958" s="120"/>
      <c r="N958" s="1029">
        <v>0</v>
      </c>
    </row>
    <row r="959" spans="3:14" ht="15" hidden="1" customHeight="1">
      <c r="M959" s="120"/>
      <c r="N959" s="1029">
        <v>0</v>
      </c>
    </row>
    <row r="960" spans="3:14" ht="15" hidden="1" customHeight="1">
      <c r="M960" s="120"/>
      <c r="N960" s="1029">
        <v>0</v>
      </c>
    </row>
    <row r="961" spans="2:28" ht="15" hidden="1" customHeight="1">
      <c r="M961" s="120"/>
      <c r="N961" s="1029">
        <v>0</v>
      </c>
    </row>
    <row r="962" spans="2:28" ht="15" hidden="1" customHeight="1">
      <c r="M962" s="120"/>
      <c r="N962" s="1029">
        <v>0</v>
      </c>
    </row>
    <row r="963" spans="2:28" ht="15" hidden="1" customHeight="1">
      <c r="M963" s="120"/>
      <c r="N963" s="1029">
        <v>0</v>
      </c>
    </row>
    <row r="964" spans="2:28" ht="15" hidden="1" customHeight="1">
      <c r="M964" s="120"/>
      <c r="N964" s="1029">
        <v>0</v>
      </c>
    </row>
    <row r="965" spans="2:28" ht="15" hidden="1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hidden="1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hidden="1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hidden="1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hidden="1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hidden="1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hidden="1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hidden="1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hidden="1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hidden="1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 ca="1">ROUNDUP((ПЛ*0.006*H974+$AC$186+N("ГИ на ограждение")),0)</f>
        <v>64</v>
      </c>
      <c r="J974" s="1013" t="s">
        <v>112</v>
      </c>
      <c r="M974" s="120"/>
      <c r="N974" s="1029">
        <v>0</v>
      </c>
    </row>
    <row r="975" spans="2:28" ht="15" hidden="1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1</v>
      </c>
      <c r="J975" s="1013" t="s">
        <v>151</v>
      </c>
      <c r="M975" s="120"/>
      <c r="N975" s="1029">
        <v>0</v>
      </c>
    </row>
    <row r="976" spans="2:28" ht="15" hidden="1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8</v>
      </c>
      <c r="J976" s="1013" t="s">
        <v>151</v>
      </c>
      <c r="L976" s="381"/>
      <c r="M976" s="120"/>
      <c r="N976" s="1029">
        <v>0</v>
      </c>
    </row>
    <row r="977" spans="2:16" ht="15" hidden="1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1967</v>
      </c>
      <c r="J977" s="1013" t="s">
        <v>112</v>
      </c>
      <c r="M977" s="120"/>
      <c r="N977" s="1029">
        <v>0</v>
      </c>
    </row>
    <row r="978" spans="2:16" ht="15" hidden="1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7</v>
      </c>
      <c r="J978" s="682" t="s">
        <v>151</v>
      </c>
      <c r="M978" s="120"/>
      <c r="N978" s="1029">
        <v>0</v>
      </c>
    </row>
    <row r="979" spans="2:16" ht="15" hidden="1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hidden="1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2052</v>
      </c>
      <c r="J980" s="712" t="s">
        <v>112</v>
      </c>
      <c r="M980" s="120"/>
      <c r="N980" s="1029">
        <v>0</v>
      </c>
    </row>
    <row r="981" spans="2:16" ht="15" hidden="1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2052</v>
      </c>
      <c r="J981" s="1013" t="s">
        <v>112</v>
      </c>
      <c r="M981" s="120"/>
      <c r="N981" s="1029">
        <v>0</v>
      </c>
    </row>
    <row r="982" spans="2:16" ht="15" hidden="1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1881</v>
      </c>
      <c r="J982" s="1013" t="s">
        <v>112</v>
      </c>
      <c r="M982" s="120"/>
      <c r="N982" s="1029">
        <v>0</v>
      </c>
    </row>
    <row r="983" spans="2:16" ht="15" hidden="1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1881</v>
      </c>
      <c r="J983" s="1013" t="s">
        <v>112</v>
      </c>
      <c r="K983" s="719"/>
      <c r="L983" s="170"/>
      <c r="M983" s="120"/>
      <c r="N983" s="1029">
        <v>0</v>
      </c>
    </row>
    <row r="984" spans="2:16" ht="15" hidden="1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hidden="1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hidden="1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hidden="1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hidden="1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hidden="1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hidden="1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4">ROUNDUP(ПЛ*H990,0)</f>
        <v>1967</v>
      </c>
      <c r="J990" s="1013" t="s">
        <v>112</v>
      </c>
      <c r="M990" s="120"/>
      <c r="N990" s="1029">
        <v>0</v>
      </c>
    </row>
    <row r="991" spans="2:16" ht="15" hidden="1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4"/>
        <v>1967</v>
      </c>
      <c r="J991" s="1013" t="s">
        <v>112</v>
      </c>
      <c r="M991" s="120"/>
      <c r="N991" s="1029">
        <v>0</v>
      </c>
    </row>
    <row r="992" spans="2:16" ht="15" hidden="1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4"/>
        <v>1967</v>
      </c>
      <c r="J992" s="1013" t="s">
        <v>112</v>
      </c>
      <c r="M992" s="120"/>
      <c r="N992" s="1029">
        <v>0</v>
      </c>
    </row>
    <row r="993" spans="3:14" ht="15" hidden="1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4"/>
        <v>1967</v>
      </c>
      <c r="J993" s="1013" t="s">
        <v>112</v>
      </c>
      <c r="M993" s="120"/>
      <c r="N993" s="1029">
        <v>0</v>
      </c>
    </row>
    <row r="994" spans="3:14" ht="15" hidden="1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4"/>
        <v>1967</v>
      </c>
      <c r="J994" s="1013" t="s">
        <v>112</v>
      </c>
      <c r="M994" s="120"/>
      <c r="N994" s="1029">
        <v>0</v>
      </c>
    </row>
    <row r="995" spans="3:14" ht="15" hidden="1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4"/>
        <v>1967</v>
      </c>
      <c r="J995" s="1013" t="s">
        <v>112</v>
      </c>
      <c r="M995" s="120"/>
      <c r="N995" s="1029">
        <v>0</v>
      </c>
    </row>
    <row r="996" spans="3:14" ht="15" hidden="1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4"/>
        <v>1967</v>
      </c>
      <c r="J996" s="1013" t="s">
        <v>112</v>
      </c>
      <c r="M996" s="120"/>
      <c r="N996" s="1029">
        <v>0</v>
      </c>
    </row>
    <row r="997" spans="3:14" ht="15" hidden="1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4"/>
        <v>1967</v>
      </c>
      <c r="J997" s="1013" t="s">
        <v>112</v>
      </c>
      <c r="M997" s="120"/>
      <c r="N997" s="1029">
        <v>0</v>
      </c>
    </row>
    <row r="998" spans="3:14" ht="15" hidden="1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4"/>
        <v>1967</v>
      </c>
      <c r="J998" s="1013" t="s">
        <v>112</v>
      </c>
      <c r="M998" s="120"/>
      <c r="N998" s="1029">
        <v>0</v>
      </c>
    </row>
    <row r="999" spans="3:14" ht="15" hidden="1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4"/>
        <v>1967</v>
      </c>
      <c r="J999" s="1013" t="s">
        <v>112</v>
      </c>
      <c r="M999" s="120"/>
      <c r="N999" s="1029">
        <v>0</v>
      </c>
    </row>
    <row r="1000" spans="3:14" ht="15" hidden="1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4"/>
        <v>1967</v>
      </c>
      <c r="J1000" s="1013" t="s">
        <v>112</v>
      </c>
      <c r="M1000" s="120"/>
      <c r="N1000" s="1029">
        <v>0</v>
      </c>
    </row>
    <row r="1001" spans="3:14" ht="15" hidden="1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4"/>
        <v>1967</v>
      </c>
      <c r="J1001" s="1013" t="s">
        <v>112</v>
      </c>
      <c r="M1001" s="120"/>
      <c r="N1001" s="1029">
        <v>0</v>
      </c>
    </row>
    <row r="1002" spans="3:14" ht="15" hidden="1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4"/>
        <v>1967</v>
      </c>
      <c r="J1002" s="1013" t="s">
        <v>112</v>
      </c>
      <c r="M1002" s="120"/>
      <c r="N1002" s="1029">
        <v>0</v>
      </c>
    </row>
    <row r="1003" spans="3:14" ht="15" hidden="1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4"/>
        <v>1967</v>
      </c>
      <c r="J1003" s="1013" t="s">
        <v>112</v>
      </c>
      <c r="M1003" s="120"/>
      <c r="N1003" s="1029">
        <v>0</v>
      </c>
    </row>
    <row r="1004" spans="3:14" ht="15" hidden="1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4"/>
        <v>1967</v>
      </c>
      <c r="J1004" s="1013" t="s">
        <v>112</v>
      </c>
      <c r="M1004" s="120"/>
      <c r="N1004" s="1029">
        <v>0</v>
      </c>
    </row>
    <row r="1005" spans="3:14" ht="15" hidden="1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4"/>
        <v>1967</v>
      </c>
      <c r="J1005" s="1013" t="s">
        <v>112</v>
      </c>
      <c r="M1005" s="120"/>
      <c r="N1005" s="1029">
        <v>0</v>
      </c>
    </row>
    <row r="1006" spans="3:14" ht="15" hidden="1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4"/>
        <v>1967</v>
      </c>
      <c r="J1006" s="1013" t="s">
        <v>112</v>
      </c>
      <c r="M1006" s="120"/>
      <c r="N1006" s="1029">
        <v>0</v>
      </c>
    </row>
    <row r="1007" spans="3:14" ht="15" hidden="1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4"/>
        <v>1967</v>
      </c>
      <c r="J1007" s="682" t="s">
        <v>112</v>
      </c>
      <c r="M1007" s="120"/>
      <c r="N1007" s="1029">
        <v>0</v>
      </c>
    </row>
    <row r="1008" spans="3:14" ht="15" hidden="1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hidden="1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428</v>
      </c>
      <c r="J1009" s="676" t="s">
        <v>183</v>
      </c>
      <c r="M1009" s="120"/>
      <c r="N1009" s="1029">
        <v>0</v>
      </c>
    </row>
    <row r="1010" spans="3:14" ht="15" hidden="1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1197</v>
      </c>
      <c r="J1010" s="1013" t="s">
        <v>183</v>
      </c>
      <c r="M1010" s="120"/>
      <c r="N1010" s="1029">
        <v>0</v>
      </c>
    </row>
    <row r="1011" spans="3:14" ht="15" hidden="1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855</v>
      </c>
      <c r="J1011" s="1013" t="s">
        <v>183</v>
      </c>
      <c r="M1011" s="120"/>
      <c r="N1011" s="1029">
        <v>0</v>
      </c>
    </row>
    <row r="1012" spans="3:14" ht="15" hidden="1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342</v>
      </c>
      <c r="J1012" s="1013" t="s">
        <v>183</v>
      </c>
      <c r="K1012" s="719"/>
      <c r="L1012" s="170"/>
      <c r="M1012" s="120"/>
      <c r="N1012" s="1029">
        <v>0</v>
      </c>
    </row>
    <row r="1013" spans="3:14" ht="15" hidden="1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hidden="1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hidden="1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1967</v>
      </c>
      <c r="J1015" s="1013" t="s">
        <v>112</v>
      </c>
      <c r="M1015" s="120"/>
      <c r="N1015" s="1029">
        <v>0</v>
      </c>
    </row>
    <row r="1016" spans="3:14" ht="15" hidden="1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1967</v>
      </c>
      <c r="J1016" s="1013" t="s">
        <v>112</v>
      </c>
      <c r="M1016" s="120"/>
      <c r="N1016" s="1029">
        <v>0</v>
      </c>
    </row>
    <row r="1017" spans="3:14" ht="15" hidden="1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1967</v>
      </c>
      <c r="J1017" s="682" t="s">
        <v>112</v>
      </c>
      <c r="L1017" s="277"/>
      <c r="M1017" s="120"/>
      <c r="N1017" s="1029">
        <v>0</v>
      </c>
    </row>
    <row r="1018" spans="3:14" ht="15" hidden="1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hidden="1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hidden="1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hidden="1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hidden="1" customHeight="1">
      <c r="L1022" s="1164"/>
      <c r="M1022" s="120"/>
      <c r="N1022" s="1029">
        <v>0</v>
      </c>
    </row>
    <row r="1023" spans="3:14" ht="15" hidden="1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hidden="1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hidden="1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2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hidden="1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22</v>
      </c>
      <c r="J1026" s="1013" t="s">
        <v>151</v>
      </c>
      <c r="L1026" s="1165"/>
      <c r="M1026" s="120"/>
      <c r="N1026" s="1029">
        <v>0</v>
      </c>
    </row>
    <row r="1027" spans="2:17" ht="15" hidden="1" customHeight="1">
      <c r="C1027" s="626" t="s">
        <v>1090</v>
      </c>
      <c r="D1027" s="627"/>
      <c r="E1027" s="627"/>
      <c r="F1027" s="627"/>
      <c r="G1027" s="628" t="str">
        <f t="shared" ref="G1027:G1034" si="155">" "</f>
        <v xml:space="preserve"> </v>
      </c>
      <c r="H1027" s="608">
        <v>5</v>
      </c>
      <c r="I1027" s="611">
        <f>IFERROR(ROUNDUP(ТЭ*H1027*1.03,0),0)</f>
        <v>1566</v>
      </c>
      <c r="J1027" s="1013" t="s">
        <v>151</v>
      </c>
      <c r="L1027" s="1165"/>
      <c r="M1027" s="120"/>
      <c r="N1027" s="1029">
        <v>0</v>
      </c>
    </row>
    <row r="1028" spans="2:17" ht="15" hidden="1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5"/>
        <v xml:space="preserve"> </v>
      </c>
      <c r="H1028" s="608">
        <v>1.03</v>
      </c>
      <c r="I1028" s="614">
        <f>IFERROR(ROUNDUP(ПКР*H1028,2),0)</f>
        <v>105.06</v>
      </c>
      <c r="J1028" s="1013" t="s">
        <v>264</v>
      </c>
      <c r="M1028" s="120"/>
      <c r="N1028" s="1029">
        <v>0</v>
      </c>
      <c r="Q1028" s="1"/>
    </row>
    <row r="1029" spans="2:17" ht="15" hidden="1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5"/>
        <v xml:space="preserve"> </v>
      </c>
      <c r="H1029" s="608">
        <v>1.03</v>
      </c>
      <c r="I1029" s="614">
        <f>IFERROR(ROUNDUP(ППР*H1029,2),0)</f>
        <v>105.06</v>
      </c>
      <c r="J1029" s="1013" t="s">
        <v>264</v>
      </c>
      <c r="M1029" s="120"/>
      <c r="N1029" s="1029">
        <v>0</v>
      </c>
      <c r="Q1029" s="1"/>
    </row>
    <row r="1030" spans="2:17" ht="15" hidden="1" customHeight="1">
      <c r="C1030" s="626" t="s">
        <v>559</v>
      </c>
      <c r="D1030" s="627"/>
      <c r="E1030" s="627"/>
      <c r="F1030" s="627"/>
      <c r="G1030" s="628" t="str">
        <f t="shared" si="155"/>
        <v xml:space="preserve"> </v>
      </c>
      <c r="H1030" s="608">
        <v>5</v>
      </c>
      <c r="I1030" s="611">
        <f>IFERROR(ROUNDUP(СМРЗ.МЕТ*H1030*1.03,0),0)</f>
        <v>2406</v>
      </c>
      <c r="J1030" s="1013" t="s">
        <v>151</v>
      </c>
      <c r="M1030" s="120"/>
      <c r="N1030" s="1029">
        <v>0</v>
      </c>
    </row>
    <row r="1031" spans="2:17" ht="15" hidden="1" customHeight="1">
      <c r="C1031" s="626" t="s">
        <v>189</v>
      </c>
      <c r="D1031" s="627"/>
      <c r="E1031" s="627"/>
      <c r="F1031" s="627"/>
      <c r="G1031" s="628" t="str">
        <f t="shared" si="155"/>
        <v xml:space="preserve"> </v>
      </c>
      <c r="H1031" s="608">
        <v>5</v>
      </c>
      <c r="I1031" s="611">
        <f>IFERROR(ROUNDUP(АНКЕР,0),0)</f>
        <v>293</v>
      </c>
      <c r="J1031" s="1013" t="s">
        <v>151</v>
      </c>
      <c r="M1031" s="120"/>
      <c r="N1031" s="1029">
        <v>0</v>
      </c>
    </row>
    <row r="1032" spans="2:17" ht="15" hidden="1" customHeight="1">
      <c r="C1032" s="626" t="s">
        <v>1459</v>
      </c>
      <c r="D1032" s="627"/>
      <c r="E1032" s="627"/>
      <c r="F1032" s="627"/>
      <c r="G1032" s="628" t="str">
        <f t="shared" si="155"/>
        <v xml:space="preserve"> </v>
      </c>
      <c r="H1032" s="608">
        <v>5</v>
      </c>
      <c r="I1032" s="611">
        <f>IFERROR(ROUNDUP(СМРЗ.БЕТ*H1032*1.03,0),0)+$I$1141</f>
        <v>217</v>
      </c>
      <c r="J1032" s="1013" t="s">
        <v>151</v>
      </c>
      <c r="K1032" s="106"/>
      <c r="M1032" s="120"/>
      <c r="N1032" s="1029">
        <v>0</v>
      </c>
    </row>
    <row r="1033" spans="2:17" ht="15" hidden="1" customHeight="1">
      <c r="C1033" s="626" t="s">
        <v>192</v>
      </c>
      <c r="D1033" s="627"/>
      <c r="E1033" s="627"/>
      <c r="F1033" s="627"/>
      <c r="G1033" s="628" t="str">
        <f t="shared" si="155"/>
        <v xml:space="preserve"> </v>
      </c>
      <c r="H1033" s="608">
        <v>1.1000000000000001</v>
      </c>
      <c r="I1033" s="609">
        <f>IFERROR(ROUNDUP(ГнП*H1033+IFERROR(IF($R$110=$AA$16,$T$110*1.9,0),0),0),0)</f>
        <v>3</v>
      </c>
      <c r="J1033" s="1013" t="s">
        <v>112</v>
      </c>
      <c r="M1033" s="120"/>
      <c r="N1033" s="1029">
        <v>0</v>
      </c>
    </row>
    <row r="1034" spans="2:17" ht="15" hidden="1" customHeight="1">
      <c r="C1034" s="626" t="s">
        <v>936</v>
      </c>
      <c r="D1034" s="627"/>
      <c r="E1034" s="627"/>
      <c r="F1034" s="627"/>
      <c r="G1034" s="628" t="str">
        <f t="shared" si="155"/>
        <v xml:space="preserve"> </v>
      </c>
      <c r="H1034" s="608">
        <v>0.15</v>
      </c>
      <c r="I1034" s="611">
        <f ca="1">IFERROR(ROUNDUP((ПКР*H1034+$F$1035*0.025)*1000/600+$T$108*300/600+$AD$186+N("герметик на ограждения"),0),0)</f>
        <v>48</v>
      </c>
      <c r="J1034" s="1013" t="s">
        <v>151</v>
      </c>
      <c r="M1034" s="120"/>
      <c r="N1034" s="1029">
        <v>0</v>
      </c>
    </row>
    <row r="1035" spans="2:17" ht="15" hidden="1" customHeight="1">
      <c r="C1035" s="626" t="s">
        <v>408</v>
      </c>
      <c r="D1035" s="627"/>
      <c r="E1035" s="627"/>
      <c r="F1035" s="721"/>
      <c r="G1035" s="628" t="str">
        <f>CONCATENATE(($S$101+$U$106)," м")</f>
        <v>304 м</v>
      </c>
      <c r="H1035" s="608">
        <v>1.05</v>
      </c>
      <c r="I1035" s="614">
        <f>ROUNDUP(($S$101+$U$106)*H1035*0.33+N("полоса шириной 2 метра поделенная на 6 частей по 33 см"),2)</f>
        <v>105.34</v>
      </c>
      <c r="J1035" s="1013" t="s">
        <v>112</v>
      </c>
      <c r="M1035" s="120"/>
      <c r="N1035" s="1029">
        <v>0</v>
      </c>
    </row>
    <row r="1036" spans="2:17" ht="15" hidden="1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216</v>
      </c>
      <c r="J1036" s="1013" t="s">
        <v>112</v>
      </c>
      <c r="M1036" s="120"/>
      <c r="N1036" s="1029">
        <v>0</v>
      </c>
    </row>
    <row r="1037" spans="2:17" ht="15" hidden="1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513</v>
      </c>
      <c r="J1037" s="1013" t="s">
        <v>151</v>
      </c>
      <c r="M1037" s="120"/>
      <c r="N1037" s="1029">
        <v>0</v>
      </c>
    </row>
    <row r="1038" spans="2:17" ht="15" hidden="1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5.8</v>
      </c>
      <c r="J1038" s="1013" t="s">
        <v>178</v>
      </c>
      <c r="M1038" s="120"/>
      <c r="N1038" s="1029">
        <v>0</v>
      </c>
    </row>
    <row r="1039" spans="2:17" ht="15" hidden="1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hidden="1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hidden="1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5.8</v>
      </c>
      <c r="J1041" s="1013" t="s">
        <v>178</v>
      </c>
      <c r="M1041" s="120"/>
      <c r="N1041" s="1029">
        <v>0</v>
      </c>
      <c r="P1041" s="106"/>
    </row>
    <row r="1042" spans="2:16" ht="15" hidden="1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hidden="1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hidden="1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hidden="1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hidden="1" customHeight="1">
      <c r="B1046" s="158"/>
      <c r="C1046" s="1014" t="s">
        <v>1535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87</v>
      </c>
      <c r="J1046" s="1013" t="s">
        <v>151</v>
      </c>
      <c r="M1046" s="120"/>
      <c r="N1046" s="1029">
        <v>0</v>
      </c>
      <c r="P1046" s="106"/>
    </row>
    <row r="1047" spans="2:16" ht="15" hidden="1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hidden="1" customHeight="1">
      <c r="C1048" s="626" t="s">
        <v>188</v>
      </c>
      <c r="D1048" s="627"/>
      <c r="E1048" s="627"/>
      <c r="F1048" s="627"/>
      <c r="G1048" s="628" t="str">
        <f t="shared" ref="G1048:G1059" si="156">" "</f>
        <v xml:space="preserve"> </v>
      </c>
      <c r="H1048" s="608">
        <v>1.03</v>
      </c>
      <c r="I1048" s="611">
        <f>IFERROR(MROUND(ROUNDUP(ППР*H1048,0),3),0)</f>
        <v>105</v>
      </c>
      <c r="J1048" s="1013" t="s">
        <v>264</v>
      </c>
      <c r="M1048" s="120"/>
      <c r="N1048" s="1029">
        <v>0</v>
      </c>
    </row>
    <row r="1049" spans="2:16" ht="15" hidden="1" customHeight="1">
      <c r="C1049" s="626" t="s">
        <v>196</v>
      </c>
      <c r="D1049" s="627"/>
      <c r="E1049" s="627"/>
      <c r="F1049" s="627"/>
      <c r="G1049" s="628" t="str">
        <f t="shared" si="156"/>
        <v xml:space="preserve"> </v>
      </c>
      <c r="H1049" s="608">
        <v>1.1499999999999999</v>
      </c>
      <c r="I1049" s="609">
        <f t="shared" ref="I1049:I1060" si="157">IFERROR(ROUNDUP(парапетВ*H1049+IFERROR(IF($R$110=$AA$16,($T$110*1.05*1.15)),0),0),0)</f>
        <v>216</v>
      </c>
      <c r="J1049" s="1013" t="s">
        <v>112</v>
      </c>
      <c r="M1049" s="120"/>
      <c r="N1049" s="1029">
        <v>0</v>
      </c>
    </row>
    <row r="1050" spans="2:16" ht="15" hidden="1" customHeight="1">
      <c r="C1050" s="626" t="s">
        <v>202</v>
      </c>
      <c r="D1050" s="627"/>
      <c r="E1050" s="627"/>
      <c r="F1050" s="627"/>
      <c r="G1050" s="628" t="str">
        <f t="shared" si="156"/>
        <v xml:space="preserve"> </v>
      </c>
      <c r="H1050" s="608">
        <v>1.1499999999999999</v>
      </c>
      <c r="I1050" s="609">
        <f t="shared" si="157"/>
        <v>216</v>
      </c>
      <c r="J1050" s="1013" t="s">
        <v>112</v>
      </c>
      <c r="M1050" s="120"/>
      <c r="N1050" s="1029">
        <v>0</v>
      </c>
    </row>
    <row r="1051" spans="2:16" ht="15" hidden="1" customHeight="1">
      <c r="C1051" s="626" t="s">
        <v>205</v>
      </c>
      <c r="D1051" s="627"/>
      <c r="E1051" s="627"/>
      <c r="F1051" s="627"/>
      <c r="G1051" s="628" t="str">
        <f t="shared" si="156"/>
        <v xml:space="preserve"> </v>
      </c>
      <c r="H1051" s="608">
        <v>1.1499999999999999</v>
      </c>
      <c r="I1051" s="609">
        <f t="shared" si="157"/>
        <v>216</v>
      </c>
      <c r="J1051" s="1013" t="s">
        <v>112</v>
      </c>
      <c r="M1051" s="120"/>
      <c r="N1051" s="1029">
        <v>0</v>
      </c>
    </row>
    <row r="1052" spans="2:16" ht="15" hidden="1" customHeight="1">
      <c r="C1052" s="626" t="s">
        <v>266</v>
      </c>
      <c r="D1052" s="627"/>
      <c r="E1052" s="627"/>
      <c r="F1052" s="627"/>
      <c r="G1052" s="628" t="str">
        <f t="shared" si="156"/>
        <v xml:space="preserve"> </v>
      </c>
      <c r="H1052" s="608">
        <v>1.1499999999999999</v>
      </c>
      <c r="I1052" s="609">
        <f t="shared" si="157"/>
        <v>216</v>
      </c>
      <c r="J1052" s="1013" t="s">
        <v>112</v>
      </c>
      <c r="M1052" s="120"/>
      <c r="N1052" s="1029">
        <v>0</v>
      </c>
    </row>
    <row r="1053" spans="2:16" ht="15" hidden="1" customHeight="1">
      <c r="C1053" s="626" t="s">
        <v>194</v>
      </c>
      <c r="D1053" s="627"/>
      <c r="E1053" s="627"/>
      <c r="F1053" s="627"/>
      <c r="G1053" s="628" t="str">
        <f t="shared" si="156"/>
        <v xml:space="preserve"> </v>
      </c>
      <c r="H1053" s="608">
        <v>1.1499999999999999</v>
      </c>
      <c r="I1053" s="609">
        <f t="shared" si="157"/>
        <v>216</v>
      </c>
      <c r="J1053" s="1013" t="s">
        <v>112</v>
      </c>
      <c r="M1053" s="120"/>
      <c r="N1053" s="1029">
        <v>0</v>
      </c>
    </row>
    <row r="1054" spans="2:16" ht="15" hidden="1" customHeight="1">
      <c r="C1054" s="626" t="s">
        <v>203</v>
      </c>
      <c r="D1054" s="627"/>
      <c r="E1054" s="627"/>
      <c r="F1054" s="627"/>
      <c r="G1054" s="628" t="str">
        <f t="shared" si="156"/>
        <v xml:space="preserve"> </v>
      </c>
      <c r="H1054" s="608">
        <v>1.1499999999999999</v>
      </c>
      <c r="I1054" s="609">
        <f t="shared" si="157"/>
        <v>216</v>
      </c>
      <c r="J1054" s="1013" t="s">
        <v>112</v>
      </c>
      <c r="M1054" s="120"/>
      <c r="N1054" s="1029">
        <v>0</v>
      </c>
    </row>
    <row r="1055" spans="2:16" ht="15" hidden="1" customHeight="1">
      <c r="C1055" s="626" t="s">
        <v>346</v>
      </c>
      <c r="D1055" s="627"/>
      <c r="E1055" s="627"/>
      <c r="F1055" s="627"/>
      <c r="G1055" s="628" t="str">
        <f t="shared" si="156"/>
        <v xml:space="preserve"> </v>
      </c>
      <c r="H1055" s="608">
        <v>1.1499999999999999</v>
      </c>
      <c r="I1055" s="609">
        <f t="shared" si="157"/>
        <v>216</v>
      </c>
      <c r="J1055" s="1013" t="s">
        <v>112</v>
      </c>
      <c r="M1055" s="120"/>
      <c r="N1055" s="1029">
        <v>0</v>
      </c>
    </row>
    <row r="1056" spans="2:16" ht="15" hidden="1" customHeight="1">
      <c r="C1056" s="626" t="s">
        <v>195</v>
      </c>
      <c r="D1056" s="627"/>
      <c r="E1056" s="627"/>
      <c r="F1056" s="627"/>
      <c r="G1056" s="628" t="str">
        <f t="shared" si="156"/>
        <v xml:space="preserve"> </v>
      </c>
      <c r="H1056" s="608">
        <v>1.1499999999999999</v>
      </c>
      <c r="I1056" s="609">
        <f t="shared" si="157"/>
        <v>216</v>
      </c>
      <c r="J1056" s="1013" t="s">
        <v>112</v>
      </c>
      <c r="M1056" s="120"/>
      <c r="N1056" s="1029">
        <v>0</v>
      </c>
    </row>
    <row r="1057" spans="3:14" ht="15" hidden="1" customHeight="1">
      <c r="C1057" s="626" t="s">
        <v>201</v>
      </c>
      <c r="D1057" s="627"/>
      <c r="E1057" s="627"/>
      <c r="F1057" s="627"/>
      <c r="G1057" s="628" t="str">
        <f t="shared" si="156"/>
        <v xml:space="preserve"> </v>
      </c>
      <c r="H1057" s="608">
        <v>1.1499999999999999</v>
      </c>
      <c r="I1057" s="609">
        <f t="shared" si="157"/>
        <v>216</v>
      </c>
      <c r="J1057" s="1013" t="s">
        <v>112</v>
      </c>
      <c r="M1057" s="120"/>
      <c r="N1057" s="1029">
        <v>0</v>
      </c>
    </row>
    <row r="1058" spans="3:14" ht="15" hidden="1" customHeight="1">
      <c r="C1058" s="626" t="s">
        <v>204</v>
      </c>
      <c r="D1058" s="627"/>
      <c r="E1058" s="627"/>
      <c r="F1058" s="627"/>
      <c r="G1058" s="628" t="str">
        <f t="shared" si="156"/>
        <v xml:space="preserve"> </v>
      </c>
      <c r="H1058" s="608">
        <v>1.1499999999999999</v>
      </c>
      <c r="I1058" s="609">
        <f t="shared" si="157"/>
        <v>216</v>
      </c>
      <c r="J1058" s="1013" t="s">
        <v>112</v>
      </c>
      <c r="M1058" s="120"/>
      <c r="N1058" s="1029">
        <v>0</v>
      </c>
    </row>
    <row r="1059" spans="3:14" ht="15" hidden="1" customHeight="1">
      <c r="C1059" s="626" t="s">
        <v>265</v>
      </c>
      <c r="D1059" s="627"/>
      <c r="E1059" s="627"/>
      <c r="F1059" s="627"/>
      <c r="G1059" s="628" t="str">
        <f t="shared" si="156"/>
        <v xml:space="preserve"> </v>
      </c>
      <c r="H1059" s="608">
        <v>1.1499999999999999</v>
      </c>
      <c r="I1059" s="609">
        <f t="shared" si="157"/>
        <v>216</v>
      </c>
      <c r="J1059" s="1013" t="s">
        <v>112</v>
      </c>
      <c r="M1059" s="120"/>
      <c r="N1059" s="1029">
        <v>0</v>
      </c>
    </row>
    <row r="1060" spans="3:14" ht="15" hidden="1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7"/>
        <v>216</v>
      </c>
      <c r="J1060" s="1013" t="s">
        <v>112</v>
      </c>
      <c r="M1060" s="120"/>
      <c r="N1060" s="1029">
        <v>0</v>
      </c>
    </row>
    <row r="1061" spans="3:14" ht="15" hidden="1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hidden="1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hidden="1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hidden="1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47</v>
      </c>
      <c r="J1064" s="1013" t="s">
        <v>183</v>
      </c>
      <c r="M1064" s="120"/>
      <c r="N1064" s="1029">
        <v>0</v>
      </c>
    </row>
    <row r="1065" spans="3:14" ht="15" hidden="1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132</v>
      </c>
      <c r="J1065" s="1013" t="s">
        <v>183</v>
      </c>
      <c r="M1065" s="120"/>
      <c r="N1065" s="1029">
        <v>0</v>
      </c>
    </row>
    <row r="1066" spans="3:14" ht="15" hidden="1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94</v>
      </c>
      <c r="J1066" s="1013" t="s">
        <v>183</v>
      </c>
      <c r="M1066" s="120"/>
      <c r="N1066" s="1029">
        <v>0</v>
      </c>
    </row>
    <row r="1067" spans="3:14" ht="15" hidden="1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38</v>
      </c>
      <c r="J1067" s="1013" t="s">
        <v>183</v>
      </c>
      <c r="M1067" s="120"/>
      <c r="N1067" s="1029">
        <v>0</v>
      </c>
    </row>
    <row r="1068" spans="3:14" ht="15" hidden="1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198</v>
      </c>
      <c r="J1068" s="1013" t="s">
        <v>112</v>
      </c>
      <c r="M1068" s="120"/>
      <c r="N1068" s="1029">
        <v>0</v>
      </c>
    </row>
    <row r="1069" spans="3:14" ht="15" hidden="1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hidden="1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hidden="1" customHeight="1">
      <c r="M1071" s="120"/>
      <c r="N1071" s="1029">
        <v>0</v>
      </c>
    </row>
    <row r="1072" spans="3:14" ht="15" hidden="1" customHeight="1">
      <c r="M1072" s="120"/>
      <c r="N1072" s="1029">
        <v>0</v>
      </c>
    </row>
    <row r="1073" spans="1:14" ht="15" hidden="1" customHeight="1">
      <c r="M1073" s="120"/>
      <c r="N1073" s="1029">
        <v>0</v>
      </c>
    </row>
    <row r="1074" spans="1:14" ht="15" hidden="1" customHeight="1">
      <c r="M1074" s="120"/>
      <c r="N1074" s="1029">
        <v>0</v>
      </c>
    </row>
    <row r="1075" spans="1:14" ht="15" hidden="1" customHeight="1">
      <c r="M1075" s="120"/>
      <c r="N1075" s="1029">
        <v>0</v>
      </c>
    </row>
    <row r="1076" spans="1:14" ht="15" hidden="1" customHeight="1">
      <c r="M1076" s="120"/>
      <c r="N1076" s="1029">
        <v>0</v>
      </c>
    </row>
    <row r="1077" spans="1:14" ht="15" hidden="1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hidden="1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hidden="1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hidden="1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hidden="1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hidden="1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hidden="1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hidden="1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hidden="1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hidden="1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hidden="1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hidden="1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hidden="1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hidden="1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hidden="1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hidden="1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hidden="1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hidden="1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hidden="1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hidden="1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hidden="1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hidden="1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hidden="1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hidden="1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hidden="1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hidden="1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hidden="1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hidden="1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hidden="1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hidden="1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hidden="1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hidden="1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hidden="1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hidden="1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hidden="1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hidden="1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hidden="1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hidden="1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hidden="1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hidden="1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hidden="1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hidden="1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hidden="1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hidden="1" customHeight="1">
      <c r="N1120" s="1029">
        <v>0</v>
      </c>
    </row>
    <row r="1121" spans="14:14" ht="15" hidden="1" customHeight="1">
      <c r="N1121" s="1029">
        <v>0</v>
      </c>
    </row>
    <row r="1122" spans="14:14" ht="15" hidden="1" customHeight="1">
      <c r="N1122" s="1029">
        <v>0</v>
      </c>
    </row>
    <row r="1123" spans="14:14" ht="15" hidden="1" customHeight="1">
      <c r="N1123" s="1029">
        <v>0</v>
      </c>
    </row>
    <row r="1124" spans="14:14" ht="15" hidden="1" customHeight="1">
      <c r="N1124" s="1029">
        <v>0</v>
      </c>
    </row>
    <row r="1125" spans="14:14" ht="15" hidden="1" customHeight="1">
      <c r="N1125" s="1029">
        <v>0</v>
      </c>
    </row>
    <row r="1126" spans="14:14" ht="15" hidden="1" customHeight="1">
      <c r="N1126" s="1029">
        <v>0</v>
      </c>
    </row>
    <row r="1127" spans="14:14" ht="15" hidden="1" customHeight="1">
      <c r="N1127" s="1029">
        <v>0</v>
      </c>
    </row>
    <row r="1128" spans="14:14" ht="15" hidden="1" customHeight="1">
      <c r="N1128" s="1029">
        <v>0</v>
      </c>
    </row>
    <row r="1129" spans="14:14" ht="15" hidden="1" customHeight="1">
      <c r="N1129" s="1029">
        <v>0</v>
      </c>
    </row>
    <row r="1130" spans="14:14" ht="15" hidden="1" customHeight="1">
      <c r="N1130" s="1029">
        <v>0</v>
      </c>
    </row>
    <row r="1131" spans="14:14" ht="15" hidden="1" customHeight="1">
      <c r="N1131" s="1029">
        <v>0</v>
      </c>
    </row>
    <row r="1132" spans="14:14" ht="15" hidden="1" customHeight="1">
      <c r="N1132" s="1029">
        <v>0</v>
      </c>
    </row>
    <row r="1133" spans="14:14" ht="15" hidden="1" customHeight="1">
      <c r="N1133" s="1029">
        <v>0</v>
      </c>
    </row>
    <row r="1134" spans="14:14" ht="15" hidden="1" customHeight="1">
      <c r="N1134" s="1029">
        <v>0</v>
      </c>
    </row>
    <row r="1135" spans="14:14" ht="15" hidden="1" customHeight="1">
      <c r="N1135" s="1029">
        <v>0</v>
      </c>
    </row>
    <row r="1136" spans="14:14" ht="15" hidden="1" customHeight="1">
      <c r="N1136" s="1029">
        <v>0</v>
      </c>
    </row>
    <row r="1137" spans="3:19" ht="15" hidden="1" customHeight="1">
      <c r="N1137" s="1029">
        <v>0</v>
      </c>
    </row>
    <row r="1138" spans="3:19" ht="15" hidden="1" customHeight="1">
      <c r="N1138" s="1029">
        <v>0</v>
      </c>
    </row>
    <row r="1139" spans="3:19" ht="15" hidden="1" customHeight="1">
      <c r="N1139" s="1029">
        <v>0</v>
      </c>
      <c r="S1139" s="1"/>
    </row>
    <row r="1140" spans="3:19" ht="15" hidden="1" customHeight="1">
      <c r="N1140" s="1029">
        <v>0</v>
      </c>
    </row>
    <row r="1141" spans="3:19" ht="15" hidden="1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8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hidden="1" customHeight="1">
      <c r="N1142" s="1029">
        <v>0</v>
      </c>
    </row>
    <row r="1143" spans="3:19" ht="15" hidden="1" customHeight="1">
      <c r="C1143" s="106"/>
      <c r="N1143" s="1029">
        <v>0</v>
      </c>
    </row>
    <row r="1144" spans="3:19" ht="15" hidden="1" customHeight="1">
      <c r="N1144" s="1029">
        <v>0</v>
      </c>
    </row>
    <row r="1145" spans="3:19" ht="15" hidden="1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hidden="1" customHeight="1">
      <c r="I1146" s="1024"/>
      <c r="L1146" s="1164"/>
      <c r="N1146" s="1029">
        <v>0</v>
      </c>
    </row>
    <row r="1147" spans="3:19" ht="15" hidden="1" customHeight="1">
      <c r="L1147" s="1164"/>
      <c r="N1147" s="1029">
        <v>0</v>
      </c>
    </row>
    <row r="1148" spans="3:19" ht="15" hidden="1" customHeight="1">
      <c r="I1148" s="724" t="s">
        <v>330</v>
      </c>
      <c r="K1148" s="106"/>
      <c r="N1148" s="1029">
        <v>0</v>
      </c>
    </row>
    <row r="1149" spans="3:19" ht="15" hidden="1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8"/>
        <v xml:space="preserve"> </v>
      </c>
      <c r="I1149" s="609">
        <f t="shared" ref="I1149:I1155" si="159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hidden="1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8"/>
        <v xml:space="preserve"> </v>
      </c>
      <c r="I1150" s="609">
        <f t="shared" si="159"/>
        <v>166</v>
      </c>
      <c r="J1150" s="1013" t="s">
        <v>190</v>
      </c>
      <c r="N1150" s="1029">
        <v>0</v>
      </c>
    </row>
    <row r="1151" spans="3:19" ht="15" hidden="1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8"/>
        <v xml:space="preserve"> </v>
      </c>
      <c r="I1151" s="609">
        <f t="shared" si="159"/>
        <v>0</v>
      </c>
      <c r="J1151" s="1013" t="s">
        <v>190</v>
      </c>
      <c r="N1151" s="1029">
        <v>0</v>
      </c>
    </row>
    <row r="1152" spans="3:19" ht="15" hidden="1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8"/>
        <v xml:space="preserve"> </v>
      </c>
      <c r="I1152" s="609">
        <f t="shared" si="159"/>
        <v>76</v>
      </c>
      <c r="J1152" s="1013" t="s">
        <v>190</v>
      </c>
      <c r="N1152" s="1029">
        <v>0</v>
      </c>
    </row>
    <row r="1153" spans="3:14" ht="15" hidden="1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8"/>
        <v xml:space="preserve"> </v>
      </c>
      <c r="I1153" s="609">
        <f t="shared" si="159"/>
        <v>0</v>
      </c>
      <c r="J1153" s="1013" t="s">
        <v>190</v>
      </c>
      <c r="N1153" s="1029">
        <v>0</v>
      </c>
    </row>
    <row r="1154" spans="3:14" ht="15" hidden="1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8"/>
        <v xml:space="preserve"> </v>
      </c>
      <c r="I1154" s="609">
        <f t="shared" si="159"/>
        <v>0</v>
      </c>
      <c r="J1154" s="1013" t="s">
        <v>190</v>
      </c>
      <c r="N1154" s="1029">
        <v>0</v>
      </c>
    </row>
    <row r="1155" spans="3:14" ht="15" hidden="1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8"/>
        <v xml:space="preserve"> </v>
      </c>
      <c r="I1155" s="609">
        <f t="shared" si="159"/>
        <v>0</v>
      </c>
      <c r="J1155" s="1013" t="s">
        <v>190</v>
      </c>
      <c r="N1155" s="1029">
        <v>0</v>
      </c>
    </row>
    <row r="1156" spans="3:14" ht="15" hidden="1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8"/>
        <v xml:space="preserve"> </v>
      </c>
      <c r="I1156" s="609">
        <f t="shared" ref="I1156:I1163" ca="1" si="160">SUMIF($AI$79:$AI$227,F1156,$AJ$79:$AJ$175)</f>
        <v>242</v>
      </c>
      <c r="J1156" s="1013" t="s">
        <v>190</v>
      </c>
      <c r="N1156" s="1029">
        <v>0</v>
      </c>
    </row>
    <row r="1157" spans="3:14" ht="15" hidden="1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8"/>
        <v xml:space="preserve"> </v>
      </c>
      <c r="I1157" s="609">
        <f t="shared" ca="1" si="160"/>
        <v>0</v>
      </c>
      <c r="J1157" s="1013" t="s">
        <v>190</v>
      </c>
      <c r="N1157" s="1029">
        <v>0</v>
      </c>
    </row>
    <row r="1158" spans="3:14" ht="15" hidden="1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8"/>
        <v xml:space="preserve"> </v>
      </c>
      <c r="I1158" s="609">
        <f t="shared" ca="1" si="160"/>
        <v>0</v>
      </c>
      <c r="J1158" s="1013" t="s">
        <v>190</v>
      </c>
      <c r="N1158" s="1029">
        <v>0</v>
      </c>
    </row>
    <row r="1159" spans="3:14" ht="15" hidden="1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8"/>
        <v xml:space="preserve"> </v>
      </c>
      <c r="I1159" s="609">
        <f t="shared" ca="1" si="160"/>
        <v>0</v>
      </c>
      <c r="J1159" s="1013" t="s">
        <v>190</v>
      </c>
      <c r="N1159" s="1029">
        <v>0</v>
      </c>
    </row>
    <row r="1160" spans="3:14" ht="15" hidden="1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8"/>
        <v xml:space="preserve"> </v>
      </c>
      <c r="I1160" s="609">
        <f t="shared" ca="1" si="160"/>
        <v>0</v>
      </c>
      <c r="J1160" s="1013" t="s">
        <v>190</v>
      </c>
      <c r="N1160" s="1029">
        <v>0</v>
      </c>
    </row>
    <row r="1161" spans="3:14" ht="15" hidden="1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8"/>
        <v xml:space="preserve"> </v>
      </c>
      <c r="I1161" s="609">
        <f t="shared" ca="1" si="160"/>
        <v>0</v>
      </c>
      <c r="J1161" s="1013" t="s">
        <v>190</v>
      </c>
      <c r="N1161" s="1029">
        <v>0</v>
      </c>
    </row>
    <row r="1162" spans="3:14" ht="15" hidden="1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8"/>
        <v xml:space="preserve"> </v>
      </c>
      <c r="I1162" s="609">
        <f t="shared" ca="1" si="160"/>
        <v>0</v>
      </c>
      <c r="J1162" s="1013" t="s">
        <v>190</v>
      </c>
      <c r="N1162" s="1029">
        <v>0</v>
      </c>
    </row>
    <row r="1163" spans="3:14" ht="15" hidden="1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8"/>
        <v xml:space="preserve"> </v>
      </c>
      <c r="I1163" s="609">
        <f t="shared" ca="1" si="160"/>
        <v>0</v>
      </c>
      <c r="J1163" s="1013" t="s">
        <v>190</v>
      </c>
      <c r="N1163" s="1029">
        <v>0</v>
      </c>
    </row>
    <row r="1164" spans="3:14" ht="15" hidden="1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61">SUMIFS($AF$79:$AF$152,$V$79:$V$152,F1164,$W$79:$W$152,$Y$29)</f>
        <v>0</v>
      </c>
      <c r="J1164" s="1013" t="s">
        <v>178</v>
      </c>
      <c r="N1164" s="1029">
        <v>0</v>
      </c>
    </row>
    <row r="1165" spans="3:14" ht="15" hidden="1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61"/>
        <v>0</v>
      </c>
      <c r="J1165" s="1013" t="s">
        <v>178</v>
      </c>
      <c r="N1165" s="1029">
        <v>0</v>
      </c>
    </row>
    <row r="1166" spans="3:14" ht="15" hidden="1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61"/>
        <v>0</v>
      </c>
      <c r="J1166" s="1013" t="s">
        <v>178</v>
      </c>
      <c r="N1166" s="1029">
        <v>0</v>
      </c>
    </row>
    <row r="1167" spans="3:14" ht="15" hidden="1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61"/>
        <v>0</v>
      </c>
      <c r="J1167" s="1013" t="s">
        <v>178</v>
      </c>
      <c r="N1167" s="1029">
        <v>0</v>
      </c>
    </row>
    <row r="1168" spans="3:14" ht="15" hidden="1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61"/>
        <v>0</v>
      </c>
      <c r="J1168" s="1013" t="s">
        <v>178</v>
      </c>
      <c r="N1168" s="1029">
        <v>0</v>
      </c>
    </row>
    <row r="1169" spans="3:14" ht="15" hidden="1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61"/>
        <v>0</v>
      </c>
      <c r="J1169" s="1013" t="s">
        <v>178</v>
      </c>
      <c r="N1169" s="1029">
        <v>0</v>
      </c>
    </row>
    <row r="1170" spans="3:14" ht="15" hidden="1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61"/>
        <v>0</v>
      </c>
      <c r="J1170" s="1013" t="s">
        <v>178</v>
      </c>
      <c r="N1170" s="1029">
        <v>0</v>
      </c>
    </row>
    <row r="1171" spans="3:14" ht="15" hidden="1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61"/>
        <v>0</v>
      </c>
      <c r="J1171" s="1013" t="s">
        <v>178</v>
      </c>
      <c r="N1171" s="1029">
        <v>0</v>
      </c>
    </row>
    <row r="1172" spans="3:14" ht="15" hidden="1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61"/>
        <v>0</v>
      </c>
      <c r="J1172" s="1013" t="s">
        <v>178</v>
      </c>
      <c r="N1172" s="1029">
        <v>0</v>
      </c>
    </row>
    <row r="1173" spans="3:14" ht="15" hidden="1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61"/>
        <v>0</v>
      </c>
      <c r="J1173" s="1013" t="s">
        <v>178</v>
      </c>
      <c r="N1173" s="1029">
        <v>0</v>
      </c>
    </row>
    <row r="1174" spans="3:14" ht="15" hidden="1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61"/>
        <v>0</v>
      </c>
      <c r="J1174" s="1013" t="s">
        <v>178</v>
      </c>
      <c r="N1174" s="1029">
        <v>0</v>
      </c>
    </row>
    <row r="1175" spans="3:14" ht="15" hidden="1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61"/>
        <v>0</v>
      </c>
      <c r="J1175" s="1013" t="s">
        <v>178</v>
      </c>
      <c r="N1175" s="1029">
        <v>0</v>
      </c>
    </row>
    <row r="1176" spans="3:14" ht="15" hidden="1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61"/>
        <v>0</v>
      </c>
      <c r="J1176" s="1013" t="s">
        <v>178</v>
      </c>
      <c r="N1176" s="1029">
        <v>0</v>
      </c>
    </row>
    <row r="1177" spans="3:14" ht="15" hidden="1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61"/>
        <v>0</v>
      </c>
      <c r="J1177" s="1013" t="s">
        <v>178</v>
      </c>
      <c r="N1177" s="1029">
        <v>0</v>
      </c>
    </row>
    <row r="1178" spans="3:14" ht="15" hidden="1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2">SUMIFS($AF$79:$AF$152,$V$79:$V$152,F1178,$W$79:$W$152,$Y$31)</f>
        <v>0</v>
      </c>
      <c r="J1178" s="1013" t="s">
        <v>178</v>
      </c>
      <c r="N1178" s="1029">
        <v>0</v>
      </c>
    </row>
    <row r="1179" spans="3:14" ht="15" hidden="1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2"/>
        <v>0</v>
      </c>
      <c r="J1179" s="1013" t="s">
        <v>178</v>
      </c>
      <c r="N1179" s="1029">
        <v>0</v>
      </c>
    </row>
    <row r="1180" spans="3:14" ht="15" hidden="1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2"/>
        <v>0</v>
      </c>
      <c r="J1180" s="1013" t="s">
        <v>178</v>
      </c>
      <c r="N1180" s="1029">
        <v>0</v>
      </c>
    </row>
    <row r="1181" spans="3:14" ht="15" hidden="1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2"/>
        <v>0</v>
      </c>
      <c r="J1181" s="1013" t="s">
        <v>178</v>
      </c>
      <c r="N1181" s="1029">
        <v>0</v>
      </c>
    </row>
    <row r="1182" spans="3:14" ht="15" hidden="1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2"/>
        <v>0</v>
      </c>
      <c r="J1182" s="1013" t="s">
        <v>178</v>
      </c>
      <c r="N1182" s="1029">
        <v>0</v>
      </c>
    </row>
    <row r="1183" spans="3:14" ht="15" hidden="1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2"/>
        <v>0</v>
      </c>
      <c r="J1183" s="1013" t="s">
        <v>178</v>
      </c>
      <c r="N1183" s="1029">
        <v>0</v>
      </c>
    </row>
    <row r="1184" spans="3:14" ht="15" hidden="1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2"/>
        <v>0</v>
      </c>
      <c r="J1184" s="1013" t="s">
        <v>178</v>
      </c>
      <c r="N1184" s="1029">
        <v>0</v>
      </c>
    </row>
    <row r="1185" spans="3:14" ht="15" hidden="1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2"/>
        <v>0</v>
      </c>
      <c r="J1185" s="1013" t="s">
        <v>178</v>
      </c>
      <c r="N1185" s="1029">
        <v>0</v>
      </c>
    </row>
    <row r="1186" spans="3:14" ht="15" hidden="1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2"/>
        <v>0</v>
      </c>
      <c r="J1186" s="1013" t="s">
        <v>178</v>
      </c>
      <c r="N1186" s="1029">
        <v>0</v>
      </c>
    </row>
    <row r="1187" spans="3:14" ht="15" hidden="1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2"/>
        <v>0</v>
      </c>
      <c r="J1187" s="1013" t="s">
        <v>178</v>
      </c>
      <c r="N1187" s="1029">
        <v>0</v>
      </c>
    </row>
    <row r="1188" spans="3:14" ht="15" hidden="1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2"/>
        <v>0</v>
      </c>
      <c r="J1188" s="1013" t="s">
        <v>178</v>
      </c>
      <c r="N1188" s="1029">
        <v>0</v>
      </c>
    </row>
    <row r="1189" spans="3:14" ht="15" hidden="1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2"/>
        <v>0</v>
      </c>
      <c r="J1189" s="1013" t="s">
        <v>178</v>
      </c>
      <c r="N1189" s="1029">
        <v>0</v>
      </c>
    </row>
    <row r="1190" spans="3:14" ht="15" hidden="1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2"/>
        <v>0</v>
      </c>
      <c r="J1190" s="1013" t="s">
        <v>178</v>
      </c>
      <c r="N1190" s="1029">
        <v>0</v>
      </c>
    </row>
    <row r="1191" spans="3:14" ht="15" hidden="1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2"/>
        <v>0</v>
      </c>
      <c r="J1191" s="1013" t="s">
        <v>178</v>
      </c>
      <c r="N1191" s="865">
        <v>0</v>
      </c>
    </row>
    <row r="1192" spans="3:14" ht="15" hidden="1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3">SUMIFS($AF$79:$AF$152,$V$79:$V$152,F1192,$W$79:$W$152,$Y$30)</f>
        <v>0</v>
      </c>
      <c r="J1192" s="1013" t="s">
        <v>178</v>
      </c>
      <c r="N1192" s="865">
        <v>0</v>
      </c>
    </row>
    <row r="1193" spans="3:14" ht="15" hidden="1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3"/>
        <v>0</v>
      </c>
      <c r="J1193" s="1013" t="s">
        <v>178</v>
      </c>
      <c r="N1193" s="865">
        <v>0</v>
      </c>
    </row>
    <row r="1194" spans="3:14" ht="15" hidden="1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3"/>
        <v>0</v>
      </c>
      <c r="J1194" s="1013" t="s">
        <v>178</v>
      </c>
      <c r="N1194" s="865">
        <v>0</v>
      </c>
    </row>
    <row r="1195" spans="3:14" ht="15" hidden="1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3"/>
        <v>0</v>
      </c>
      <c r="J1195" s="1013" t="s">
        <v>178</v>
      </c>
      <c r="N1195" s="865">
        <v>0</v>
      </c>
    </row>
    <row r="1196" spans="3:14" ht="15" hidden="1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3"/>
        <v>0</v>
      </c>
      <c r="J1196" s="1013" t="s">
        <v>178</v>
      </c>
      <c r="N1196" s="865">
        <v>0</v>
      </c>
    </row>
    <row r="1197" spans="3:14" ht="15" hidden="1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3"/>
        <v>0</v>
      </c>
      <c r="J1197" s="1013" t="s">
        <v>178</v>
      </c>
      <c r="N1197" s="865">
        <v>0</v>
      </c>
    </row>
    <row r="1198" spans="3:14" ht="15" hidden="1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3"/>
        <v>0</v>
      </c>
      <c r="J1198" s="1013" t="s">
        <v>178</v>
      </c>
      <c r="N1198" s="865">
        <v>0</v>
      </c>
    </row>
    <row r="1199" spans="3:14" ht="15" hidden="1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3"/>
        <v>0</v>
      </c>
      <c r="J1199" s="1013" t="s">
        <v>178</v>
      </c>
      <c r="N1199" s="865">
        <v>0</v>
      </c>
    </row>
    <row r="1200" spans="3:14" ht="15" hidden="1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3"/>
        <v>0</v>
      </c>
      <c r="J1200" s="1013" t="s">
        <v>178</v>
      </c>
      <c r="N1200" s="865">
        <v>0</v>
      </c>
    </row>
    <row r="1201" spans="3:14" ht="15" hidden="1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3"/>
        <v>0</v>
      </c>
      <c r="J1201" s="1013" t="s">
        <v>178</v>
      </c>
      <c r="N1201" s="865">
        <v>0</v>
      </c>
    </row>
    <row r="1202" spans="3:14" ht="15" hidden="1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3"/>
        <v>0</v>
      </c>
      <c r="J1202" s="1013" t="s">
        <v>178</v>
      </c>
      <c r="N1202" s="865">
        <v>0</v>
      </c>
    </row>
    <row r="1203" spans="3:14" ht="15" hidden="1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3"/>
        <v>0</v>
      </c>
      <c r="J1203" s="1013" t="s">
        <v>178</v>
      </c>
      <c r="N1203" s="865">
        <v>0</v>
      </c>
    </row>
    <row r="1204" spans="3:14" ht="15" hidden="1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3"/>
        <v>0</v>
      </c>
      <c r="J1204" s="1013" t="s">
        <v>178</v>
      </c>
      <c r="N1204" s="865">
        <v>0</v>
      </c>
    </row>
    <row r="1205" spans="3:14" ht="15" hidden="1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3"/>
        <v>0</v>
      </c>
      <c r="J1205" s="1013" t="s">
        <v>178</v>
      </c>
      <c r="N1205" s="865">
        <v>0</v>
      </c>
    </row>
    <row r="1206" spans="3:14" ht="15" hidden="1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3"/>
        <v>0</v>
      </c>
      <c r="J1206" s="1013" t="s">
        <v>178</v>
      </c>
      <c r="N1206" s="865">
        <v>0</v>
      </c>
    </row>
    <row r="1207" spans="3:14" ht="15" hidden="1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3"/>
        <v>0</v>
      </c>
      <c r="J1207" s="1013" t="s">
        <v>178</v>
      </c>
      <c r="N1207" s="865">
        <v>0</v>
      </c>
    </row>
    <row r="1208" spans="3:14" ht="15" hidden="1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4">SUMIFS($AF$79:$AF$152,$V$79:$V$152,F1208,$W$79:$W$152,$Y$34)</f>
        <v>0</v>
      </c>
      <c r="J1208" s="1013" t="s">
        <v>178</v>
      </c>
      <c r="N1208" s="865">
        <v>0</v>
      </c>
    </row>
    <row r="1209" spans="3:14" ht="15" hidden="1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4"/>
        <v>0</v>
      </c>
      <c r="J1209" s="1013" t="s">
        <v>178</v>
      </c>
      <c r="N1209" s="865">
        <v>0</v>
      </c>
    </row>
    <row r="1210" spans="3:14" ht="15" hidden="1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4"/>
        <v>0</v>
      </c>
      <c r="J1210" s="1013" t="s">
        <v>178</v>
      </c>
      <c r="N1210" s="865">
        <v>0</v>
      </c>
    </row>
    <row r="1211" spans="3:14" ht="15" hidden="1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4"/>
        <v>0</v>
      </c>
      <c r="J1211" s="1013" t="s">
        <v>178</v>
      </c>
      <c r="N1211" s="865">
        <v>0</v>
      </c>
    </row>
    <row r="1212" spans="3:14" ht="15" hidden="1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4"/>
        <v>0</v>
      </c>
      <c r="J1212" s="1013" t="s">
        <v>178</v>
      </c>
      <c r="N1212" s="865">
        <v>0</v>
      </c>
    </row>
    <row r="1213" spans="3:14" ht="15" hidden="1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4"/>
        <v>0</v>
      </c>
      <c r="J1213" s="1013" t="s">
        <v>178</v>
      </c>
      <c r="N1213" s="865">
        <v>0</v>
      </c>
    </row>
    <row r="1214" spans="3:14" ht="15" hidden="1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4"/>
        <v>0</v>
      </c>
      <c r="J1214" s="1013" t="s">
        <v>178</v>
      </c>
      <c r="N1214" s="865">
        <v>0</v>
      </c>
    </row>
    <row r="1215" spans="3:14" ht="15" hidden="1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4"/>
        <v>0</v>
      </c>
      <c r="J1215" s="1013" t="s">
        <v>178</v>
      </c>
      <c r="N1215" s="865">
        <v>0</v>
      </c>
    </row>
    <row r="1216" spans="3:14" ht="15" hidden="1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4"/>
        <v>0</v>
      </c>
      <c r="J1216" s="1013" t="s">
        <v>178</v>
      </c>
      <c r="N1216" s="865">
        <v>0</v>
      </c>
    </row>
    <row r="1217" spans="3:14" ht="15" hidden="1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4"/>
        <v>0</v>
      </c>
      <c r="J1217" s="1013" t="s">
        <v>178</v>
      </c>
      <c r="N1217" s="865">
        <v>0</v>
      </c>
    </row>
    <row r="1218" spans="3:14" ht="15" hidden="1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4"/>
        <v>0</v>
      </c>
      <c r="J1218" s="1013" t="s">
        <v>178</v>
      </c>
      <c r="N1218" s="865">
        <v>0</v>
      </c>
    </row>
    <row r="1219" spans="3:14" ht="15" hidden="1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hidden="1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hidden="1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hidden="1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hidden="1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hidden="1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5">SUMIFS($AF$79:$AF$152,$V$79:$V$152,F1224,$W$79:$W$152,$Y$32)</f>
        <v>0</v>
      </c>
      <c r="J1224" s="1013" t="s">
        <v>178</v>
      </c>
      <c r="N1224" s="865">
        <v>0</v>
      </c>
    </row>
    <row r="1225" spans="3:14" ht="15" hidden="1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5"/>
        <v>0</v>
      </c>
      <c r="J1225" s="1013" t="s">
        <v>178</v>
      </c>
      <c r="N1225" s="865">
        <v>0</v>
      </c>
    </row>
    <row r="1226" spans="3:14" ht="15" hidden="1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5"/>
        <v>0</v>
      </c>
      <c r="J1226" s="1013" t="s">
        <v>178</v>
      </c>
      <c r="N1226" s="865">
        <v>0</v>
      </c>
    </row>
    <row r="1227" spans="3:14" ht="15" hidden="1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5"/>
        <v>0</v>
      </c>
      <c r="J1227" s="1013" t="s">
        <v>178</v>
      </c>
      <c r="N1227" s="865">
        <v>0</v>
      </c>
    </row>
    <row r="1228" spans="3:14" ht="15" hidden="1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5"/>
        <v>0</v>
      </c>
      <c r="J1228" s="1013" t="s">
        <v>178</v>
      </c>
      <c r="N1228" s="865">
        <v>0</v>
      </c>
    </row>
    <row r="1229" spans="3:14" ht="15" hidden="1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5"/>
        <v>0</v>
      </c>
      <c r="J1229" s="1013" t="s">
        <v>178</v>
      </c>
      <c r="N1229" s="865">
        <v>0</v>
      </c>
    </row>
    <row r="1230" spans="3:14" ht="15" hidden="1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5"/>
        <v>0</v>
      </c>
      <c r="J1230" s="1013" t="s">
        <v>178</v>
      </c>
      <c r="N1230" s="865">
        <v>0</v>
      </c>
    </row>
    <row r="1231" spans="3:14" ht="15" hidden="1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5"/>
        <v>0</v>
      </c>
      <c r="J1231" s="1013" t="s">
        <v>178</v>
      </c>
      <c r="N1231" s="865">
        <v>0</v>
      </c>
    </row>
    <row r="1232" spans="3:14" ht="15" hidden="1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5"/>
        <v>0</v>
      </c>
      <c r="J1232" s="1013" t="s">
        <v>178</v>
      </c>
      <c r="N1232" s="865">
        <v>0</v>
      </c>
    </row>
    <row r="1233" spans="3:14" ht="15" hidden="1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5"/>
        <v>0</v>
      </c>
      <c r="J1233" s="1013" t="s">
        <v>178</v>
      </c>
      <c r="N1233" s="865">
        <v>0</v>
      </c>
    </row>
    <row r="1234" spans="3:14" ht="15" hidden="1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5"/>
        <v>0</v>
      </c>
      <c r="J1234" s="1013" t="s">
        <v>178</v>
      </c>
      <c r="N1234" s="865">
        <v>0</v>
      </c>
    </row>
    <row r="1235" spans="3:14" ht="15" hidden="1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5"/>
        <v>0</v>
      </c>
      <c r="J1235" s="1013" t="s">
        <v>178</v>
      </c>
      <c r="N1235" s="865">
        <v>0</v>
      </c>
    </row>
    <row r="1236" spans="3:14" ht="15" hidden="1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hidden="1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hidden="1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6">SUMIFS($AF$79:$AF$152,$V$79:$V$152,F1238,$W$79:$W$152,$Y$32)</f>
        <v>0</v>
      </c>
      <c r="J1238" s="1013" t="s">
        <v>178</v>
      </c>
      <c r="N1238" s="865">
        <v>0</v>
      </c>
    </row>
    <row r="1239" spans="3:14" ht="15" hidden="1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6"/>
        <v>0</v>
      </c>
      <c r="J1239" s="1013" t="s">
        <v>178</v>
      </c>
      <c r="N1239" s="865">
        <v>0</v>
      </c>
    </row>
    <row r="1240" spans="3:14" ht="15" hidden="1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7">SUMIFS($AF$79:$AF$152,$V$79:$V$152,F1240,$W$79:$W$152,$Y$33)</f>
        <v>0</v>
      </c>
      <c r="J1240" s="1013" t="s">
        <v>178</v>
      </c>
      <c r="N1240" s="865">
        <v>0</v>
      </c>
    </row>
    <row r="1241" spans="3:14" ht="15" hidden="1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7"/>
        <v>0</v>
      </c>
      <c r="J1241" s="1013" t="s">
        <v>178</v>
      </c>
      <c r="N1241" s="865">
        <v>0</v>
      </c>
    </row>
    <row r="1242" spans="3:14" ht="15" hidden="1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7"/>
        <v>0</v>
      </c>
      <c r="J1242" s="1013" t="s">
        <v>178</v>
      </c>
      <c r="N1242" s="865">
        <v>0</v>
      </c>
    </row>
    <row r="1243" spans="3:14" ht="15" hidden="1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7"/>
        <v>0</v>
      </c>
      <c r="J1243" s="1013" t="s">
        <v>178</v>
      </c>
      <c r="N1243" s="865">
        <v>0</v>
      </c>
    </row>
    <row r="1244" spans="3:14" ht="15" hidden="1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7"/>
        <v>0</v>
      </c>
      <c r="J1244" s="1013" t="s">
        <v>178</v>
      </c>
      <c r="N1244" s="865">
        <v>0</v>
      </c>
    </row>
    <row r="1245" spans="3:14" ht="15" hidden="1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7"/>
        <v>0</v>
      </c>
      <c r="J1245" s="1013" t="s">
        <v>178</v>
      </c>
      <c r="N1245" s="865">
        <v>0</v>
      </c>
    </row>
    <row r="1246" spans="3:14" ht="15" hidden="1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7"/>
        <v>0</v>
      </c>
      <c r="J1246" s="1013" t="s">
        <v>178</v>
      </c>
      <c r="N1246" s="865">
        <v>0</v>
      </c>
    </row>
    <row r="1247" spans="3:14" ht="15" hidden="1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7"/>
        <v>0</v>
      </c>
      <c r="J1247" s="1013" t="s">
        <v>178</v>
      </c>
      <c r="N1247" s="865">
        <v>0</v>
      </c>
    </row>
    <row r="1248" spans="3:14" ht="15" hidden="1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7"/>
        <v>0</v>
      </c>
      <c r="J1248" s="1013" t="s">
        <v>178</v>
      </c>
      <c r="N1248" s="865">
        <v>0</v>
      </c>
    </row>
    <row r="1249" spans="3:14" ht="15" hidden="1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7"/>
        <v>0</v>
      </c>
      <c r="J1249" s="1013" t="s">
        <v>178</v>
      </c>
      <c r="N1249" s="865">
        <v>0</v>
      </c>
    </row>
    <row r="1250" spans="3:14" ht="15" hidden="1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7"/>
        <v>0</v>
      </c>
      <c r="J1250" s="1013" t="s">
        <v>178</v>
      </c>
      <c r="N1250" s="865">
        <v>0</v>
      </c>
    </row>
    <row r="1251" spans="3:14" ht="15" hidden="1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7"/>
        <v>0</v>
      </c>
      <c r="J1251" s="1013" t="s">
        <v>178</v>
      </c>
      <c r="N1251" s="865">
        <v>0</v>
      </c>
    </row>
    <row r="1252" spans="3:14" ht="15" hidden="1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7"/>
        <v>0</v>
      </c>
      <c r="J1252" s="1013" t="s">
        <v>178</v>
      </c>
      <c r="N1252" s="865">
        <v>0</v>
      </c>
    </row>
    <row r="1253" spans="3:14" ht="15" hidden="1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7"/>
        <v>0</v>
      </c>
      <c r="J1253" s="1013" t="s">
        <v>178</v>
      </c>
      <c r="N1253" s="865">
        <v>0</v>
      </c>
    </row>
    <row r="1254" spans="3:14" ht="15" hidden="1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7"/>
        <v>0</v>
      </c>
      <c r="J1254" s="1013" t="s">
        <v>178</v>
      </c>
      <c r="N1254" s="865">
        <v>0</v>
      </c>
    </row>
    <row r="1255" spans="3:14" ht="15" hidden="1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7"/>
        <v>0</v>
      </c>
      <c r="J1255" s="1013" t="s">
        <v>178</v>
      </c>
      <c r="N1255" s="865">
        <v>0</v>
      </c>
    </row>
    <row r="1256" spans="3:14" ht="15" hidden="1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8">SUMIFS($AF$79:$AF$152,$V$79:$V$152,F1256,$W$79:$W$152,$Y$35)</f>
        <v>1.8000000000000003</v>
      </c>
      <c r="J1256" s="1013" t="s">
        <v>178</v>
      </c>
      <c r="N1256" s="865">
        <v>0</v>
      </c>
    </row>
    <row r="1257" spans="3:14" ht="15" hidden="1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8"/>
        <v>0</v>
      </c>
      <c r="J1257" s="1013" t="s">
        <v>178</v>
      </c>
      <c r="N1257" s="865">
        <v>0</v>
      </c>
    </row>
    <row r="1258" spans="3:14" ht="15" hidden="1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8"/>
        <v>0</v>
      </c>
      <c r="J1258" s="1013" t="s">
        <v>178</v>
      </c>
      <c r="N1258" s="865">
        <v>0</v>
      </c>
    </row>
    <row r="1259" spans="3:14" ht="15" hidden="1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8"/>
        <v>0</v>
      </c>
      <c r="J1259" s="1013" t="s">
        <v>178</v>
      </c>
      <c r="N1259" s="865">
        <v>0</v>
      </c>
    </row>
    <row r="1260" spans="3:14" ht="15" hidden="1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8"/>
        <v>0</v>
      </c>
      <c r="J1260" s="1013" t="s">
        <v>178</v>
      </c>
      <c r="N1260" s="865">
        <v>0</v>
      </c>
    </row>
    <row r="1261" spans="3:14" ht="15" hidden="1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8"/>
        <v>0</v>
      </c>
      <c r="J1261" s="1013" t="s">
        <v>178</v>
      </c>
      <c r="N1261" s="865">
        <v>0</v>
      </c>
    </row>
    <row r="1262" spans="3:14" ht="15" hidden="1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8"/>
        <v>0</v>
      </c>
      <c r="J1262" s="1013" t="s">
        <v>178</v>
      </c>
      <c r="N1262" s="865">
        <v>0</v>
      </c>
    </row>
    <row r="1263" spans="3:14" ht="15" hidden="1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8"/>
        <v>0</v>
      </c>
      <c r="J1263" s="1013" t="s">
        <v>178</v>
      </c>
      <c r="N1263" s="865">
        <v>0</v>
      </c>
    </row>
    <row r="1264" spans="3:14" ht="15" hidden="1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8"/>
        <v>0</v>
      </c>
      <c r="J1264" s="1013" t="s">
        <v>178</v>
      </c>
      <c r="N1264" s="1029">
        <v>0</v>
      </c>
    </row>
    <row r="1265" spans="3:17" ht="15" hidden="1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8"/>
        <v>0</v>
      </c>
      <c r="J1265" s="1013" t="s">
        <v>178</v>
      </c>
      <c r="N1265" s="1029">
        <v>0</v>
      </c>
    </row>
    <row r="1266" spans="3:17" ht="15" hidden="1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8"/>
        <v>0</v>
      </c>
      <c r="J1266" s="1013" t="s">
        <v>178</v>
      </c>
      <c r="N1266" s="1029">
        <v>0</v>
      </c>
    </row>
    <row r="1267" spans="3:17" ht="15" hidden="1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8"/>
        <v>0</v>
      </c>
      <c r="J1267" s="1013" t="s">
        <v>178</v>
      </c>
      <c r="N1267" s="1029">
        <v>0</v>
      </c>
    </row>
    <row r="1268" spans="3:17" ht="15" hidden="1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8"/>
        <v>0</v>
      </c>
      <c r="J1268" s="1013" t="s">
        <v>178</v>
      </c>
      <c r="N1268" s="1029">
        <v>0</v>
      </c>
    </row>
    <row r="1269" spans="3:17" ht="15" hidden="1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8"/>
        <v>0</v>
      </c>
      <c r="J1269" s="1013" t="s">
        <v>178</v>
      </c>
      <c r="N1269" s="1029">
        <v>0</v>
      </c>
    </row>
    <row r="1270" spans="3:17" ht="15" hidden="1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9">SUMIFS($AF$79:$AF$152,$V$79:$V$152,F1270,$W$79:$W$152,$Y$36)</f>
        <v>0</v>
      </c>
      <c r="Q1270" s="1013" t="s">
        <v>178</v>
      </c>
    </row>
    <row r="1271" spans="3:17" ht="15" hidden="1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9"/>
        <v>0</v>
      </c>
      <c r="Q1271" s="1013" t="s">
        <v>178</v>
      </c>
    </row>
    <row r="1272" spans="3:17" ht="15" hidden="1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9"/>
        <v>0</v>
      </c>
      <c r="Q1272" s="1013" t="s">
        <v>178</v>
      </c>
    </row>
    <row r="1273" spans="3:17" ht="15" hidden="1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9"/>
        <v>0</v>
      </c>
      <c r="Q1273" s="1013" t="s">
        <v>178</v>
      </c>
    </row>
    <row r="1274" spans="3:17" ht="15" hidden="1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9"/>
        <v>0</v>
      </c>
      <c r="Q1274" s="1013" t="s">
        <v>178</v>
      </c>
    </row>
    <row r="1275" spans="3:17" ht="15" hidden="1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9"/>
        <v>0</v>
      </c>
      <c r="Q1275" s="1013" t="s">
        <v>178</v>
      </c>
    </row>
    <row r="1276" spans="3:17" ht="15" hidden="1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9"/>
        <v>0</v>
      </c>
      <c r="Q1276" s="1013" t="s">
        <v>178</v>
      </c>
    </row>
    <row r="1277" spans="3:17" ht="15" hidden="1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9"/>
        <v>0</v>
      </c>
      <c r="Q1277" s="1013" t="s">
        <v>178</v>
      </c>
    </row>
    <row r="1278" spans="3:17" ht="15" hidden="1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9"/>
        <v>0</v>
      </c>
      <c r="Q1278" s="1013" t="s">
        <v>178</v>
      </c>
    </row>
    <row r="1279" spans="3:17" ht="15" hidden="1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9"/>
        <v>0</v>
      </c>
      <c r="Q1279" s="1013" t="s">
        <v>178</v>
      </c>
    </row>
    <row r="1280" spans="3:17" ht="15" hidden="1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9"/>
        <v>0</v>
      </c>
      <c r="Q1280" s="1013" t="s">
        <v>178</v>
      </c>
    </row>
    <row r="1281" spans="3:17" ht="15" hidden="1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9"/>
        <v>0</v>
      </c>
      <c r="Q1281" s="1013" t="s">
        <v>178</v>
      </c>
    </row>
    <row r="1282" spans="3:17" ht="15" hidden="1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9"/>
        <v>0</v>
      </c>
      <c r="Q1282" s="1013" t="s">
        <v>178</v>
      </c>
    </row>
    <row r="1283" spans="3:17" ht="15" hidden="1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9"/>
        <v>0</v>
      </c>
      <c r="Q1283" s="1013" t="s">
        <v>178</v>
      </c>
    </row>
    <row r="1284" spans="3:17" ht="15" hidden="1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9"/>
        <v>0</v>
      </c>
      <c r="Q1284" s="1013" t="s">
        <v>178</v>
      </c>
    </row>
    <row r="1285" spans="3:17" ht="15" hidden="1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9"/>
        <v>0</v>
      </c>
      <c r="Q1285" s="1013" t="s">
        <v>178</v>
      </c>
    </row>
    <row r="1286" spans="3:17" ht="15" hidden="1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9"/>
        <v>0</v>
      </c>
      <c r="Q1286" s="1013" t="s">
        <v>178</v>
      </c>
    </row>
    <row r="1287" spans="3:17" ht="15" hidden="1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9"/>
        <v>0</v>
      </c>
      <c r="Q1287" s="1013" t="s">
        <v>178</v>
      </c>
    </row>
    <row r="1288" spans="3:17" ht="15" hidden="1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9"/>
        <v>0</v>
      </c>
      <c r="Q1288" s="1013" t="s">
        <v>178</v>
      </c>
    </row>
    <row r="1289" spans="3:17" ht="15" hidden="1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70">SUMIFS($AF$79:$AF$152,$V$79:$V$152,F1289,$W$79:$W$152,$Y$37)</f>
        <v>0</v>
      </c>
      <c r="Q1289" s="1013" t="s">
        <v>178</v>
      </c>
    </row>
    <row r="1290" spans="3:17" ht="15" hidden="1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70"/>
        <v>0</v>
      </c>
      <c r="Q1290" s="1013" t="s">
        <v>178</v>
      </c>
    </row>
    <row r="1291" spans="3:17" ht="15" hidden="1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70"/>
        <v>0</v>
      </c>
      <c r="Q1291" s="1013" t="s">
        <v>178</v>
      </c>
    </row>
    <row r="1292" spans="3:17" ht="15" hidden="1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70"/>
        <v>0</v>
      </c>
      <c r="Q1292" s="1013" t="s">
        <v>178</v>
      </c>
    </row>
    <row r="1293" spans="3:17" ht="15" hidden="1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70"/>
        <v>0</v>
      </c>
      <c r="Q1293" s="1013" t="s">
        <v>178</v>
      </c>
    </row>
    <row r="1294" spans="3:17" ht="15" hidden="1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70"/>
        <v>0</v>
      </c>
      <c r="Q1294" s="1013" t="s">
        <v>178</v>
      </c>
    </row>
    <row r="1295" spans="3:17" ht="15" hidden="1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70"/>
        <v>0</v>
      </c>
      <c r="Q1295" s="1013" t="s">
        <v>178</v>
      </c>
    </row>
    <row r="1296" spans="3:17" ht="15" hidden="1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70"/>
        <v>0</v>
      </c>
      <c r="Q1296" s="1013" t="s">
        <v>178</v>
      </c>
    </row>
    <row r="1297" spans="3:17" ht="15" hidden="1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70"/>
        <v>0</v>
      </c>
      <c r="Q1297" s="1013" t="s">
        <v>178</v>
      </c>
    </row>
    <row r="1298" spans="3:17" ht="15" hidden="1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70"/>
        <v>0</v>
      </c>
      <c r="Q1298" s="1013" t="s">
        <v>178</v>
      </c>
    </row>
    <row r="1299" spans="3:17" ht="15" hidden="1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70"/>
        <v>0</v>
      </c>
      <c r="Q1299" s="1013" t="s">
        <v>178</v>
      </c>
    </row>
    <row r="1300" spans="3:17" ht="15" hidden="1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70"/>
        <v>0</v>
      </c>
      <c r="Q1300" s="1013" t="s">
        <v>178</v>
      </c>
    </row>
    <row r="1301" spans="3:17" ht="15" hidden="1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70"/>
        <v>0</v>
      </c>
      <c r="Q1301" s="1013" t="s">
        <v>178</v>
      </c>
    </row>
    <row r="1302" spans="3:17" ht="15" hidden="1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hidden="1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70"/>
        <v>0</v>
      </c>
      <c r="Q1303" s="1013" t="s">
        <v>178</v>
      </c>
    </row>
    <row r="1304" spans="3:17" ht="15" hidden="1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70"/>
        <v>0</v>
      </c>
      <c r="Q1304" s="1013" t="s">
        <v>178</v>
      </c>
    </row>
    <row r="1305" spans="3:17" ht="15" hidden="1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70"/>
        <v>0</v>
      </c>
      <c r="Q1305" s="1013" t="s">
        <v>178</v>
      </c>
    </row>
    <row r="1306" spans="3:17" ht="15" hidden="1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70"/>
        <v>0</v>
      </c>
      <c r="Q1306" s="1013" t="s">
        <v>178</v>
      </c>
    </row>
    <row r="1307" spans="3:17" ht="15" hidden="1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70"/>
        <v>0</v>
      </c>
      <c r="Q1307" s="1013" t="s">
        <v>178</v>
      </c>
    </row>
    <row r="1308" spans="3:17" ht="15" hidden="1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71">SUMIFS($AF$79:$AF$152,$V$79:$V$152,F1308,$W$79:$W$152,$Y$38)</f>
        <v>0</v>
      </c>
      <c r="Q1308" s="1013" t="s">
        <v>178</v>
      </c>
    </row>
    <row r="1309" spans="3:17" ht="15" hidden="1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71"/>
        <v>0</v>
      </c>
      <c r="Q1309" s="1013" t="s">
        <v>178</v>
      </c>
    </row>
    <row r="1310" spans="3:17" ht="15" hidden="1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71"/>
        <v>0</v>
      </c>
      <c r="Q1310" s="1013" t="s">
        <v>178</v>
      </c>
    </row>
    <row r="1311" spans="3:17" ht="15" hidden="1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71"/>
        <v>0</v>
      </c>
      <c r="Q1311" s="1013" t="s">
        <v>178</v>
      </c>
    </row>
    <row r="1312" spans="3:17" ht="15" hidden="1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71"/>
        <v>0</v>
      </c>
      <c r="Q1312" s="1013" t="s">
        <v>178</v>
      </c>
    </row>
    <row r="1313" spans="3:17" ht="15" hidden="1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71"/>
        <v>0</v>
      </c>
      <c r="Q1313" s="1013" t="s">
        <v>178</v>
      </c>
    </row>
    <row r="1314" spans="3:17" ht="15" hidden="1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71"/>
        <v>0</v>
      </c>
      <c r="Q1314" s="1013" t="s">
        <v>178</v>
      </c>
    </row>
    <row r="1315" spans="3:17" ht="15" hidden="1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71"/>
        <v>0</v>
      </c>
      <c r="Q1315" s="1013" t="s">
        <v>178</v>
      </c>
    </row>
    <row r="1316" spans="3:17" ht="15" hidden="1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hidden="1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hidden="1" customHeight="1">
      <c r="C1318" s="1014" t="s">
        <v>1090</v>
      </c>
      <c r="D1318" s="640"/>
      <c r="E1318" s="640"/>
      <c r="F1318" s="656"/>
      <c r="G1318" s="628" t="str">
        <f t="shared" ref="G1318" si="172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hidden="1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hidden="1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hidden="1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hidden="1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3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hidden="1" customHeight="1">
      <c r="C1323" s="626" t="s">
        <v>189</v>
      </c>
      <c r="D1323" s="627"/>
      <c r="E1323" s="627"/>
      <c r="F1323" s="627"/>
      <c r="G1323" s="628" t="str">
        <f t="shared" ref="G1323" si="174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hidden="1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hidden="1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5">SUMIFS($AF$79:$AF$152,$V$79:$V$152,F1325,$W$79:$W$152,$Y$40)</f>
        <v>0</v>
      </c>
      <c r="J1325" s="1013" t="s">
        <v>178</v>
      </c>
      <c r="N1325" s="1029">
        <v>0</v>
      </c>
    </row>
    <row r="1326" spans="3:17" ht="15" hidden="1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5"/>
        <v>0</v>
      </c>
      <c r="J1326" s="1013" t="s">
        <v>178</v>
      </c>
      <c r="N1326" s="1029">
        <v>0</v>
      </c>
    </row>
    <row r="1327" spans="3:17" ht="15" hidden="1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5"/>
        <v>0</v>
      </c>
      <c r="J1327" s="1013" t="s">
        <v>178</v>
      </c>
      <c r="N1327" s="1029">
        <v>0</v>
      </c>
    </row>
    <row r="1328" spans="3:17" ht="15" hidden="1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5"/>
        <v>0</v>
      </c>
      <c r="J1328" s="1013" t="s">
        <v>178</v>
      </c>
      <c r="N1328" s="1029">
        <v>0</v>
      </c>
    </row>
    <row r="1329" spans="3:14" ht="15" hidden="1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hidden="1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6">SUMIFS($AF$79:$AF$152,$V$79:$V$152,F1330,$W$79:$W$152,$Y$41)</f>
        <v>0</v>
      </c>
      <c r="J1330" s="1013" t="s">
        <v>178</v>
      </c>
      <c r="N1330" s="1029">
        <v>0</v>
      </c>
    </row>
    <row r="1331" spans="3:14" ht="15" hidden="1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6"/>
        <v>0</v>
      </c>
      <c r="J1331" s="1013" t="s">
        <v>178</v>
      </c>
      <c r="N1331" s="1029">
        <v>0</v>
      </c>
    </row>
    <row r="1332" spans="3:14" ht="15" hidden="1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6"/>
        <v>0</v>
      </c>
      <c r="J1332" s="1013" t="s">
        <v>178</v>
      </c>
      <c r="N1332" s="1029">
        <v>0</v>
      </c>
    </row>
    <row r="1333" spans="3:14" ht="15" hidden="1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6"/>
        <v>0</v>
      </c>
      <c r="J1333" s="1013" t="s">
        <v>178</v>
      </c>
      <c r="N1333" s="1029">
        <v>0</v>
      </c>
    </row>
  </sheetData>
  <autoFilter ref="I1148:I1333">
    <filterColumn colId="0">
      <filters>
        <filter val="1,800"/>
        <filter val="166,0"/>
        <filter val="242,0"/>
        <filter val="76,0"/>
      </filters>
    </filterColumn>
  </autoFilter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1254" priority="69" operator="equal">
      <formula>"  "</formula>
    </cfRule>
  </conditionalFormatting>
  <conditionalFormatting sqref="Y73:Y74 P73:V75 Z73:AB73 Y75:AB75">
    <cfRule type="expression" dxfId="1253" priority="68">
      <formula>IF($V$3=$Y$2,0,1)</formula>
    </cfRule>
  </conditionalFormatting>
  <conditionalFormatting sqref="Y73:Y74 P73:V74 Q139:T140 S154:T155 P131:T131 P139 R154 P147 S147:T148 Q147:Q148">
    <cfRule type="expression" dxfId="1252" priority="67">
      <formula>IF($V$3=$Y$3,1,0)</formula>
    </cfRule>
  </conditionalFormatting>
  <conditionalFormatting sqref="Y73:Y74 P73:V74 Q100:S100 Q94:T94 P87:T87 P80:T80 Z73:AB73">
    <cfRule type="expression" dxfId="1251" priority="66">
      <formula>IF($V$3=$Y$4,1,0)</formula>
    </cfRule>
  </conditionalFormatting>
  <conditionalFormatting sqref="Z73">
    <cfRule type="expression" dxfId="1250" priority="65">
      <formula>IF($V$3=$Y$3,1,0)</formula>
    </cfRule>
  </conditionalFormatting>
  <conditionalFormatting sqref="Y75:Z75">
    <cfRule type="expression" dxfId="1249" priority="64">
      <formula>IF($V$3=$Y$3,1,0)</formula>
    </cfRule>
  </conditionalFormatting>
  <conditionalFormatting sqref="P75:V75 P83:T83 P85:T85 P90:T90 P92:T92 Q97:T97 P104:U104 P81:T81 P88:T88 Q95:T95 Q101:S101 P106:U106 Y75:AB75">
    <cfRule type="expression" dxfId="1248" priority="63">
      <formula>IF($V$3=$Y$4,1,0)</formula>
    </cfRule>
  </conditionalFormatting>
  <conditionalFormatting sqref="AA73">
    <cfRule type="expression" dxfId="1247" priority="62">
      <formula>IF($V$3=$Y$3,1,0)</formula>
    </cfRule>
  </conditionalFormatting>
  <conditionalFormatting sqref="AA75">
    <cfRule type="expression" dxfId="1246" priority="61">
      <formula>IF($V$3=$Y$3,1,0)</formula>
    </cfRule>
  </conditionalFormatting>
  <conditionalFormatting sqref="F828:F832 F837:F838 F840">
    <cfRule type="cellIs" dxfId="1245" priority="60" operator="equal">
      <formula>0</formula>
    </cfRule>
  </conditionalFormatting>
  <conditionalFormatting sqref="I20">
    <cfRule type="cellIs" dxfId="1244" priority="59" operator="equal">
      <formula>"  "</formula>
    </cfRule>
  </conditionalFormatting>
  <conditionalFormatting sqref="F845">
    <cfRule type="cellIs" dxfId="1243" priority="57" operator="equal">
      <formula>0</formula>
    </cfRule>
  </conditionalFormatting>
  <conditionalFormatting sqref="F844">
    <cfRule type="cellIs" dxfId="1242" priority="56" operator="equal">
      <formula>0</formula>
    </cfRule>
  </conditionalFormatting>
  <conditionalFormatting sqref="F846">
    <cfRule type="cellIs" dxfId="1241" priority="55" operator="equal">
      <formula>0</formula>
    </cfRule>
  </conditionalFormatting>
  <conditionalFormatting sqref="F847:F853">
    <cfRule type="cellIs" dxfId="1240" priority="54" operator="equal">
      <formula>0</formula>
    </cfRule>
  </conditionalFormatting>
  <conditionalFormatting sqref="I56:I58">
    <cfRule type="cellIs" dxfId="1239" priority="53" operator="equal">
      <formula>"  "</formula>
    </cfRule>
  </conditionalFormatting>
  <conditionalFormatting sqref="U80:W80">
    <cfRule type="expression" dxfId="1238" priority="70">
      <formula>IF($AE$5=1,1,0)</formula>
    </cfRule>
  </conditionalFormatting>
  <conditionalFormatting sqref="U81:W81 U83:W83 U85:W85">
    <cfRule type="expression" dxfId="1237" priority="71">
      <formula>IF($AE$5=1,1,0)</formula>
    </cfRule>
  </conditionalFormatting>
  <conditionalFormatting sqref="U82:W82 U84:W84">
    <cfRule type="expression" dxfId="1236" priority="72">
      <formula>IF($AE$5=1,1,0)</formula>
    </cfRule>
  </conditionalFormatting>
  <conditionalFormatting sqref="U87:W87">
    <cfRule type="expression" dxfId="1235" priority="73">
      <formula>IF($AE$6=1,1,0)</formula>
    </cfRule>
  </conditionalFormatting>
  <conditionalFormatting sqref="U88:W88 U90:W90 U92:W92">
    <cfRule type="expression" dxfId="1234" priority="74">
      <formula>IF($AE$6=1,1,0)</formula>
    </cfRule>
  </conditionalFormatting>
  <conditionalFormatting sqref="U89:W89 W91">
    <cfRule type="expression" dxfId="1233" priority="75">
      <formula>IF($AE$6=1,1,0)</formula>
    </cfRule>
  </conditionalFormatting>
  <conditionalFormatting sqref="U94:W94">
    <cfRule type="expression" dxfId="1232" priority="76">
      <formula>IF($AE$7=1,1,0)</formula>
    </cfRule>
  </conditionalFormatting>
  <conditionalFormatting sqref="U95:W95 U97:W97">
    <cfRule type="expression" dxfId="1231" priority="77">
      <formula>IF($AE$7=1,1,0)</formula>
    </cfRule>
  </conditionalFormatting>
  <conditionalFormatting sqref="U96:W96 U98:W98">
    <cfRule type="expression" dxfId="1230" priority="78">
      <formula>IF($AE$7=1,1,0)</formula>
    </cfRule>
  </conditionalFormatting>
  <conditionalFormatting sqref="U131:W132">
    <cfRule type="expression" dxfId="1229" priority="79">
      <formula>IF($AF$5=1,1,0)</formula>
    </cfRule>
  </conditionalFormatting>
  <conditionalFormatting sqref="U133:W133 U135:W135 U137:W137">
    <cfRule type="expression" dxfId="1228" priority="80">
      <formula>IF($AF$5=1,1,0)</formula>
    </cfRule>
  </conditionalFormatting>
  <conditionalFormatting sqref="U134:W134 U136:W136">
    <cfRule type="expression" dxfId="1227" priority="81">
      <formula>IF($AF$5=1,1,0)</formula>
    </cfRule>
  </conditionalFormatting>
  <conditionalFormatting sqref="U139:W140">
    <cfRule type="expression" dxfId="1226" priority="82">
      <formula>IF($AF$6=1,1,0)</formula>
    </cfRule>
  </conditionalFormatting>
  <conditionalFormatting sqref="U141:W141 U143:W143 U145:W145">
    <cfRule type="expression" dxfId="1225" priority="83">
      <formula>IF($AF$6=1,1,0)</formula>
    </cfRule>
  </conditionalFormatting>
  <conditionalFormatting sqref="U142:W142 U144:W144">
    <cfRule type="expression" dxfId="1224" priority="84">
      <formula>IF($AF$6=1,1,0)</formula>
    </cfRule>
  </conditionalFormatting>
  <conditionalFormatting sqref="U147:W148">
    <cfRule type="expression" dxfId="1223" priority="85">
      <formula>IF($AF$7=1,1,0)</formula>
    </cfRule>
  </conditionalFormatting>
  <conditionalFormatting sqref="U149:W149 U151:W151">
    <cfRule type="expression" dxfId="1222" priority="86">
      <formula>IF($AF$7=1,1,0)</formula>
    </cfRule>
  </conditionalFormatting>
  <conditionalFormatting sqref="U150:W150 U152:W152">
    <cfRule type="expression" dxfId="1221" priority="87">
      <formula>IF($AF$7=1,1,0)</formula>
    </cfRule>
  </conditionalFormatting>
  <conditionalFormatting sqref="I986:I988">
    <cfRule type="cellIs" dxfId="1220" priority="51" operator="equal">
      <formula>0</formula>
    </cfRule>
  </conditionalFormatting>
  <conditionalFormatting sqref="I984:I985">
    <cfRule type="cellIs" dxfId="1219" priority="52" operator="equal">
      <formula>0</formula>
    </cfRule>
  </conditionalFormatting>
  <conditionalFormatting sqref="W14:W15">
    <cfRule type="expression" dxfId="1218" priority="50">
      <formula>IF($W$16=" ",0,1)</formula>
    </cfRule>
  </conditionalFormatting>
  <conditionalFormatting sqref="I842">
    <cfRule type="cellIs" dxfId="1217" priority="49" operator="equal">
      <formula>0</formula>
    </cfRule>
  </conditionalFormatting>
  <conditionalFormatting sqref="AB73">
    <cfRule type="expression" dxfId="1216" priority="48">
      <formula>IF($V$3=$Y$3,1,0)</formula>
    </cfRule>
  </conditionalFormatting>
  <conditionalFormatting sqref="AB75">
    <cfRule type="expression" dxfId="1215" priority="47">
      <formula>IF($V$3=$Y$3,1,0)</formula>
    </cfRule>
  </conditionalFormatting>
  <conditionalFormatting sqref="G1008">
    <cfRule type="cellIs" dxfId="1214" priority="46" operator="equal">
      <formula>0</formula>
    </cfRule>
  </conditionalFormatting>
  <conditionalFormatting sqref="I62">
    <cfRule type="cellIs" dxfId="1213" priority="45" operator="equal">
      <formula>"  "</formula>
    </cfRule>
  </conditionalFormatting>
  <conditionalFormatting sqref="I1018:I1021">
    <cfRule type="cellIs" dxfId="1212" priority="44" operator="equal">
      <formula>0</formula>
    </cfRule>
  </conditionalFormatting>
  <conditionalFormatting sqref="F827">
    <cfRule type="cellIs" dxfId="1211" priority="43" operator="equal">
      <formula>0</formula>
    </cfRule>
  </conditionalFormatting>
  <conditionalFormatting sqref="F921">
    <cfRule type="cellIs" dxfId="1210" priority="42" operator="equal">
      <formula>0</formula>
    </cfRule>
  </conditionalFormatting>
  <conditionalFormatting sqref="F1038">
    <cfRule type="cellIs" dxfId="1209" priority="41" operator="equal">
      <formula>0</formula>
    </cfRule>
  </conditionalFormatting>
  <conditionalFormatting sqref="R3">
    <cfRule type="expression" dxfId="1208" priority="88">
      <formula>SUM($F$16:$F$21)=0</formula>
    </cfRule>
    <cfRule type="expression" dxfId="1207" priority="89">
      <formula>SUM($F$16:$F$21)&lt;&gt;$R$3</formula>
    </cfRule>
  </conditionalFormatting>
  <conditionalFormatting sqref="F917">
    <cfRule type="cellIs" dxfId="1206" priority="40" operator="equal">
      <formula>0</formula>
    </cfRule>
  </conditionalFormatting>
  <conditionalFormatting sqref="U91:V91">
    <cfRule type="expression" dxfId="1205" priority="39">
      <formula>IF($AE$6=1,1,0)</formula>
    </cfRule>
  </conditionalFormatting>
  <conditionalFormatting sqref="F843">
    <cfRule type="cellIs" dxfId="1204" priority="38" operator="equal">
      <formula>0</formula>
    </cfRule>
  </conditionalFormatting>
  <conditionalFormatting sqref="P4">
    <cfRule type="expression" dxfId="1203" priority="36">
      <formula>IF(AA4&lt;3%,1,0)</formula>
    </cfRule>
    <cfRule type="expression" dxfId="1202" priority="37">
      <formula>IF(AA4&gt;3%,1,0)</formula>
    </cfRule>
  </conditionalFormatting>
  <conditionalFormatting sqref="F841">
    <cfRule type="cellIs" dxfId="1201" priority="35" operator="equal">
      <formula>0</formula>
    </cfRule>
  </conditionalFormatting>
  <conditionalFormatting sqref="S6:S10 P8:Q10 P6:R7">
    <cfRule type="expression" dxfId="1200" priority="90">
      <formula>IF($T$3=$Y$13,0,1)</formula>
    </cfRule>
  </conditionalFormatting>
  <conditionalFormatting sqref="Q99:S101 Q93:T98 P103:U106 P79:T92">
    <cfRule type="expression" dxfId="1199" priority="91">
      <formula>IF($V$3=$Y$4,1,0)</formula>
    </cfRule>
  </conditionalFormatting>
  <conditionalFormatting sqref="P160:S163 T160:U161 P130:T145 Q146:T146 R153:T156 S147:T152 P147:Q152">
    <cfRule type="expression" dxfId="1198" priority="92">
      <formula>IF($V$3=$Y$3,1,0)</formula>
    </cfRule>
  </conditionalFormatting>
  <conditionalFormatting sqref="P6:P10 Q6:S7">
    <cfRule type="expression" dxfId="1197" priority="93">
      <formula>IF(OR($T$3=$Y$14,$T$3=$Y$15),1,0)</formula>
    </cfRule>
  </conditionalFormatting>
  <conditionalFormatting sqref="S14:W17">
    <cfRule type="expression" dxfId="1196" priority="94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1195" priority="96">
      <formula>IF($V$3=$Y$3,1,0)</formula>
    </cfRule>
  </conditionalFormatting>
  <conditionalFormatting sqref="P77:V77">
    <cfRule type="expression" dxfId="1194" priority="97">
      <formula>IF($S$77=0%,1,0)</formula>
    </cfRule>
    <cfRule type="expression" dxfId="1193" priority="98">
      <formula>IF(AND(OR($S$77&lt;105%,$S$77&gt;130%),$T$3&lt;&gt;$Y$13),1,0)</formula>
    </cfRule>
  </conditionalFormatting>
  <conditionalFormatting sqref="U5:V5">
    <cfRule type="expression" dxfId="1192" priority="99">
      <formula>IF($V$5=$AA$22,0,1)</formula>
    </cfRule>
    <cfRule type="expression" dxfId="1191" priority="100">
      <formula>IF(AND($T$3=$Y$13,$V$4=$Y$12),1,0)</formula>
    </cfRule>
  </conditionalFormatting>
  <conditionalFormatting sqref="P108:U113">
    <cfRule type="expression" dxfId="1190" priority="101">
      <formula>IF(OR($V$3=$Y$2,$V$3=$Y$3),1,0)</formula>
    </cfRule>
  </conditionalFormatting>
  <conditionalFormatting sqref="P165:U166">
    <cfRule type="expression" dxfId="1189" priority="102">
      <formula>IF(OR($V$3=$Y$2,$V$3=$Y$4),1,0)</formula>
    </cfRule>
  </conditionalFormatting>
  <conditionalFormatting sqref="R226">
    <cfRule type="expression" dxfId="1188" priority="34">
      <formula>IF($P$228="Средний расход",1,0)</formula>
    </cfRule>
  </conditionalFormatting>
  <conditionalFormatting sqref="S12:U13">
    <cfRule type="expression" dxfId="1187" priority="103">
      <formula>IF($V$4=$AA$11,1,0)</formula>
    </cfRule>
    <cfRule type="expression" dxfId="1186" priority="104">
      <formula>IF(OR($V$4=$Y$11,$V$4=$A$10),0,1)</formula>
    </cfRule>
    <cfRule type="expression" dxfId="1185" priority="105">
      <formula>IF(OR($V$4=$Y$11,$V$4=$A$10),0,1)</formula>
    </cfRule>
  </conditionalFormatting>
  <conditionalFormatting sqref="S14:U17">
    <cfRule type="expression" dxfId="1184" priority="106">
      <formula>IF(AND($T$3&lt;&gt;$Y$13,OR($V$4=$Y$12,$V$4=$AA$7)),1,0)</formula>
    </cfRule>
  </conditionalFormatting>
  <conditionalFormatting sqref="V14:W17">
    <cfRule type="expression" dxfId="1183" priority="107">
      <formula>IF(AND($T$3&lt;&gt;$Y$13,OR($V$4=$AA$7,$V$4=$Y$12)),1,0)</formula>
    </cfRule>
  </conditionalFormatting>
  <conditionalFormatting sqref="P228:W294">
    <cfRule type="expression" dxfId="1182" priority="108">
      <formula>IF(AND($T$3=$AA$5,$T$4=$AA$5),1,0)</formula>
    </cfRule>
  </conditionalFormatting>
  <conditionalFormatting sqref="P228:T230 P240:Q294 S240:T294 V240:W294">
    <cfRule type="expression" dxfId="1181" priority="109">
      <formula>IF(AND($T$3=$AA$5,$T$4&lt;&gt;$AA$5),1,0)</formula>
    </cfRule>
  </conditionalFormatting>
  <conditionalFormatting sqref="P232:Q237 S232:T237 V232:W237 P226:R226">
    <cfRule type="expression" dxfId="1180" priority="110">
      <formula>IF(AND($T$3&lt;&gt;$AA$5,$T$4&lt;&gt;$AA$5),1,0)</formula>
    </cfRule>
  </conditionalFormatting>
  <conditionalFormatting sqref="P12:Q60 S19:T52">
    <cfRule type="expression" dxfId="1179" priority="95">
      <formula>IF(AND(OR($V$4=$AA$10,$V$4=$AA$11),$AA$3=$AA$5),1,0)</formula>
    </cfRule>
  </conditionalFormatting>
  <conditionalFormatting sqref="X4">
    <cfRule type="expression" dxfId="1178" priority="111">
      <formula>IF($V$4=$AA$10,0,1)</formula>
    </cfRule>
  </conditionalFormatting>
  <conditionalFormatting sqref="W5">
    <cfRule type="expression" dxfId="1177" priority="112">
      <formula>IF(OR($V$4=$AA$10,$V$4=$AA$11),0,1)</formula>
    </cfRule>
  </conditionalFormatting>
  <conditionalFormatting sqref="U2:W2">
    <cfRule type="expression" dxfId="1176" priority="33">
      <formula>IF($R$4=$Y$6,1,0)</formula>
    </cfRule>
  </conditionalFormatting>
  <conditionalFormatting sqref="F835">
    <cfRule type="cellIs" dxfId="1175" priority="32" operator="equal">
      <formula>0</formula>
    </cfRule>
  </conditionalFormatting>
  <conditionalFormatting sqref="P170:V176">
    <cfRule type="expression" dxfId="1174" priority="23">
      <formula>IF($V$2=$AA$19,1,0)</formula>
    </cfRule>
  </conditionalFormatting>
  <conditionalFormatting sqref="F1041">
    <cfRule type="cellIs" dxfId="1173" priority="30" operator="equal">
      <formula>0</formula>
    </cfRule>
  </conditionalFormatting>
  <conditionalFormatting sqref="R173">
    <cfRule type="expression" dxfId="1172" priority="31">
      <formula>IF($R$173&gt;0,0,1)</formula>
    </cfRule>
  </conditionalFormatting>
  <conditionalFormatting sqref="R172">
    <cfRule type="expression" dxfId="1171" priority="29">
      <formula>IF($R$172&gt;0,0,1)</formula>
    </cfRule>
  </conditionalFormatting>
  <conditionalFormatting sqref="R176">
    <cfRule type="expression" dxfId="1170" priority="28">
      <formula>IF($R$176&gt;0,0,1)</formula>
    </cfRule>
  </conditionalFormatting>
  <conditionalFormatting sqref="L4">
    <cfRule type="expression" dxfId="1169" priority="25">
      <formula>IF($L$4&lt;&gt;0,1,0)</formula>
    </cfRule>
    <cfRule type="expression" dxfId="1168" priority="26">
      <formula>IF($J$4=$AJ$15,1,0)</formula>
    </cfRule>
  </conditionalFormatting>
  <conditionalFormatting sqref="P6:P10 Q6:S6">
    <cfRule type="expression" dxfId="1167" priority="113">
      <formula>IF(OR($T$3=$Y$16,$T$3=$Y$17),1,0)</formula>
    </cfRule>
  </conditionalFormatting>
  <conditionalFormatting sqref="R175">
    <cfRule type="expression" dxfId="1166" priority="27">
      <formula>IF($R$175&gt;0,0,1)</formula>
    </cfRule>
  </conditionalFormatting>
  <conditionalFormatting sqref="R174">
    <cfRule type="expression" dxfId="1165" priority="24">
      <formula>IF($R$174&gt;0,0,1)</formula>
    </cfRule>
  </conditionalFormatting>
  <conditionalFormatting sqref="V11 T11">
    <cfRule type="expression" dxfId="1164" priority="21">
      <formula>IF($T$2=$Z$12,1,0)</formula>
    </cfRule>
    <cfRule type="expression" dxfId="1163" priority="22">
      <formula>IF($T$2=$Z$11,1,0)</formula>
    </cfRule>
  </conditionalFormatting>
  <conditionalFormatting sqref="F854">
    <cfRule type="cellIs" dxfId="1162" priority="20" operator="equal">
      <formula>0</formula>
    </cfRule>
  </conditionalFormatting>
  <conditionalFormatting sqref="T6:U10 W6:W10">
    <cfRule type="expression" dxfId="1161" priority="114">
      <formula>IF($T$4=$Y$19,0,1)</formula>
    </cfRule>
  </conditionalFormatting>
  <conditionalFormatting sqref="P12:Q13 S19:T20">
    <cfRule type="expression" dxfId="1160" priority="115">
      <formula>IF(AND($V$4&lt;&gt;$Y$11,OR($T$4&lt;&gt;$Y$19,$T$3&lt;&gt;$Y$13)),1,0)</formula>
    </cfRule>
  </conditionalFormatting>
  <conditionalFormatting sqref="P78:V78">
    <cfRule type="expression" dxfId="1159" priority="116">
      <formula>IF(AND($S$78&gt;35%,$T$4&lt;&gt;$Y$19),1,0)</formula>
    </cfRule>
  </conditionalFormatting>
  <conditionalFormatting sqref="S21:T52 P14:Q60">
    <cfRule type="expression" dxfId="1158" priority="117">
      <formula>IF(AND($V$4&lt;&gt;$Y$11,OR($T$4&lt;&gt;$Y$19,$T$3&lt;&gt;$Y$13)),1,0)</formula>
    </cfRule>
  </conditionalFormatting>
  <conditionalFormatting sqref="V19:W23">
    <cfRule type="expression" dxfId="1157" priority="118">
      <formula>IF(OR($T$3&lt;&gt;$Y$19,$T$4&lt;&gt;$Y$19),0,1)</formula>
    </cfRule>
  </conditionalFormatting>
  <conditionalFormatting sqref="V19:W20">
    <cfRule type="expression" dxfId="1156" priority="119">
      <formula>IF(OR($T$3&lt;&gt;$Y$19,$T$4&lt;&gt;$Y$19),1,0)</formula>
    </cfRule>
  </conditionalFormatting>
  <conditionalFormatting sqref="V21:W23">
    <cfRule type="expression" dxfId="1155" priority="120">
      <formula>IF(OR($T$3&lt;&gt;$Y$19,$T$4&lt;&gt;$Y$19),1,0)</formula>
    </cfRule>
  </conditionalFormatting>
  <conditionalFormatting sqref="S3:T4">
    <cfRule type="expression" dxfId="1154" priority="121">
      <formula>IF(OR(AND($S$78&gt;35%,$T$4&lt;&gt;$Y$19),AND($S$77&gt;130%,$T$3&lt;&gt;$Y$13)),1,0)</formula>
    </cfRule>
  </conditionalFormatting>
  <conditionalFormatting sqref="S21:S52 P14:P60">
    <cfRule type="expression" dxfId="1153" priority="122">
      <formula>IF(AND($T$5=$AA$12,$V$4&lt;&gt;$Y$11,$P$15&gt;0,OR($T$4&lt;&gt;$Y$19,$T$3&lt;&gt;$Y$13),$P$14&lt;$R$3),1,0)</formula>
    </cfRule>
  </conditionalFormatting>
  <conditionalFormatting sqref="P6 P8:P10 Q6:S7">
    <cfRule type="expression" dxfId="1152" priority="123">
      <formula>IF($T$3=$Y$18,1,0)</formula>
    </cfRule>
  </conditionalFormatting>
  <conditionalFormatting sqref="S2:T2">
    <cfRule type="expression" dxfId="1151" priority="124">
      <formula>IF(AND($T$3=$Y$13,$T$4&lt;&gt;$Y$19),0,1)</formula>
    </cfRule>
  </conditionalFormatting>
  <conditionalFormatting sqref="U6:U7 W6:W7 T6:T10">
    <cfRule type="expression" dxfId="1150" priority="125">
      <formula>IF(OR($T$4=$Y$20,$T$4=$Y$21,$T$4=$Y$22),1,0)</formula>
    </cfRule>
  </conditionalFormatting>
  <conditionalFormatting sqref="T6:T10 U6:U7 W6:W7">
    <cfRule type="expression" dxfId="1149" priority="126">
      <formula>IF(OR($T$4=$Y$23,$T$4=$Y$24),1,0)</formula>
    </cfRule>
  </conditionalFormatting>
  <conditionalFormatting sqref="T6:T10 U6:U7 W6:W7">
    <cfRule type="expression" dxfId="1148" priority="127">
      <formula>IF(OR($T$4=$Y$25,$T$4=$Y$26),1,0)</formula>
    </cfRule>
  </conditionalFormatting>
  <conditionalFormatting sqref="T6:U9 W6:W9">
    <cfRule type="expression" dxfId="1147" priority="128">
      <formula>IF($T$4=$Y$27,1,0)</formula>
    </cfRule>
  </conditionalFormatting>
  <conditionalFormatting sqref="T10:U10 W10">
    <cfRule type="expression" dxfId="1146" priority="129">
      <formula>IF($T$4=$Y$27,1,0)</formula>
    </cfRule>
  </conditionalFormatting>
  <conditionalFormatting sqref="T6:T9 U6:U7 W6:W7">
    <cfRule type="expression" dxfId="1145" priority="130">
      <formula>IF($T$4=$Y$27,1,0)</formula>
    </cfRule>
  </conditionalFormatting>
  <conditionalFormatting sqref="F839">
    <cfRule type="cellIs" dxfId="1144" priority="19" operator="equal">
      <formula>0</formula>
    </cfRule>
  </conditionalFormatting>
  <conditionalFormatting sqref="V6:V10">
    <cfRule type="expression" dxfId="1143" priority="12">
      <formula>IF($T$4=$Y$19,0,1)</formula>
    </cfRule>
  </conditionalFormatting>
  <conditionalFormatting sqref="V6:V7">
    <cfRule type="expression" dxfId="1142" priority="13">
      <formula>IF(OR($T$4=$Y$20,$T$4=$Y$21,$T$4=$Y$22),1,0)</formula>
    </cfRule>
  </conditionalFormatting>
  <conditionalFormatting sqref="V6:V7">
    <cfRule type="expression" dxfId="1141" priority="14">
      <formula>IF(OR($T$4=$Y$23,$T$4=$Y$24),1,0)</formula>
    </cfRule>
  </conditionalFormatting>
  <conditionalFormatting sqref="V6:V7">
    <cfRule type="expression" dxfId="1140" priority="15">
      <formula>IF(OR($T$4=$Y$25,$T$4=$Y$26),1,0)</formula>
    </cfRule>
  </conditionalFormatting>
  <conditionalFormatting sqref="V6:V9">
    <cfRule type="expression" dxfId="1139" priority="16">
      <formula>IF($T$4=$Y$27,1,0)</formula>
    </cfRule>
  </conditionalFormatting>
  <conditionalFormatting sqref="V10">
    <cfRule type="expression" dxfId="1138" priority="17">
      <formula>IF($T$4=$Y$27,1,0)</formula>
    </cfRule>
  </conditionalFormatting>
  <conditionalFormatting sqref="V6:V7">
    <cfRule type="expression" dxfId="1137" priority="18">
      <formula>IF($T$4=$Y$27,1,0)</formula>
    </cfRule>
  </conditionalFormatting>
  <conditionalFormatting sqref="R8:R10">
    <cfRule type="expression" dxfId="1136" priority="11">
      <formula>IF($T$3=$Y$13,0,1)</formula>
    </cfRule>
  </conditionalFormatting>
  <conditionalFormatting sqref="R149:R152">
    <cfRule type="expression" dxfId="1135" priority="9">
      <formula>IF($V$3=$Y$3,1,0)</formula>
    </cfRule>
  </conditionalFormatting>
  <conditionalFormatting sqref="R151 R149">
    <cfRule type="expression" dxfId="1134" priority="10">
      <formula>IF($V$3=$Y$3,1,0)</formula>
    </cfRule>
  </conditionalFormatting>
  <conditionalFormatting sqref="R147:R148">
    <cfRule type="expression" dxfId="1133" priority="7">
      <formula>IF($V$3=$Y$3,1,0)</formula>
    </cfRule>
  </conditionalFormatting>
  <conditionalFormatting sqref="R147:R148">
    <cfRule type="expression" dxfId="1132" priority="8">
      <formula>IF($V$3=$Y$3,1,0)</formula>
    </cfRule>
  </conditionalFormatting>
  <conditionalFormatting sqref="F1039">
    <cfRule type="cellIs" dxfId="1131" priority="6" operator="equal">
      <formula>0</formula>
    </cfRule>
  </conditionalFormatting>
  <conditionalFormatting sqref="P167:U167">
    <cfRule type="expression" dxfId="1130" priority="5">
      <formula>IF(OR($V$3=$Y$2,$V$3=$Y$4),1,0)</formula>
    </cfRule>
  </conditionalFormatting>
  <conditionalFormatting sqref="F918">
    <cfRule type="cellIs" dxfId="1129" priority="4" operator="equal">
      <formula>0</formula>
    </cfRule>
  </conditionalFormatting>
  <conditionalFormatting sqref="F17">
    <cfRule type="cellIs" dxfId="1128" priority="3" operator="equal">
      <formula>0</formula>
    </cfRule>
  </conditionalFormatting>
  <conditionalFormatting sqref="F16">
    <cfRule type="cellIs" dxfId="1127" priority="2" operator="equal">
      <formula>0</formula>
    </cfRule>
  </conditionalFormatting>
  <conditionalFormatting sqref="F49">
    <cfRule type="cellIs" dxfId="1126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8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ТИП3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ТИП3</v>
      </c>
      <c r="AC5" s="163" t="str">
        <f ca="1">HYPERLINK("#"&amp;AB5&amp;"!A1","1")</f>
        <v>1</v>
      </c>
      <c r="AD5" s="229">
        <f ca="1">_xlfn.SHEET()-2</f>
        <v>3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IF(AK24&gt;0,ТИП3!ПЛ*7,0)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ТИП3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ТИП3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ТИП3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ТИП3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IF(ТИП3!ПЛ&lt;1000,"Рейка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IF(ТИП3!ПЛ&lt;1000,"Рейка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IF(ТИП3!ПЛ&lt;1000,"Рейка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IF(ТИП3!ПЛ&lt;1000,"Рейка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IF(ТИП3!ПЛ&lt;1000,"Рейка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IF(ТИП3!ПЛ&lt;1000,"Рейка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1121" priority="66" operator="equal">
      <formula>"  "</formula>
    </cfRule>
  </conditionalFormatting>
  <conditionalFormatting sqref="Y73:Y74 P73:V75 Z73:AB73 Y75:AB75">
    <cfRule type="expression" dxfId="1120" priority="65">
      <formula>IF($V$3=$Y$2,0,1)</formula>
    </cfRule>
  </conditionalFormatting>
  <conditionalFormatting sqref="Y73:Y74 P73:V74 Q139:T140 S154:T155 P131:T131 P139 R154 P147 S147:T148 Q147:Q148">
    <cfRule type="expression" dxfId="1119" priority="64">
      <formula>IF($V$3=$Y$3,1,0)</formula>
    </cfRule>
  </conditionalFormatting>
  <conditionalFormatting sqref="Y73:Y74 P73:V74 Q100:S100 Q94:T94 P87:T87 P80:T80 Z73:AB73">
    <cfRule type="expression" dxfId="1118" priority="63">
      <formula>IF($V$3=$Y$4,1,0)</formula>
    </cfRule>
  </conditionalFormatting>
  <conditionalFormatting sqref="Z73">
    <cfRule type="expression" dxfId="1117" priority="62">
      <formula>IF($V$3=$Y$3,1,0)</formula>
    </cfRule>
  </conditionalFormatting>
  <conditionalFormatting sqref="Y75:Z75">
    <cfRule type="expression" dxfId="1116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1115" priority="60">
      <formula>IF($V$3=$Y$4,1,0)</formula>
    </cfRule>
  </conditionalFormatting>
  <conditionalFormatting sqref="AA73">
    <cfRule type="expression" dxfId="1114" priority="59">
      <formula>IF($V$3=$Y$3,1,0)</formula>
    </cfRule>
  </conditionalFormatting>
  <conditionalFormatting sqref="AA75">
    <cfRule type="expression" dxfId="1113" priority="58">
      <formula>IF($V$3=$Y$3,1,0)</formula>
    </cfRule>
  </conditionalFormatting>
  <conditionalFormatting sqref="F828:F832 F837:F838 F840">
    <cfRule type="cellIs" dxfId="1112" priority="57" operator="equal">
      <formula>0</formula>
    </cfRule>
  </conditionalFormatting>
  <conditionalFormatting sqref="I20">
    <cfRule type="cellIs" dxfId="1111" priority="56" operator="equal">
      <formula>"  "</formula>
    </cfRule>
  </conditionalFormatting>
  <conditionalFormatting sqref="I48">
    <cfRule type="cellIs" dxfId="1110" priority="55" operator="equal">
      <formula>"  "</formula>
    </cfRule>
  </conditionalFormatting>
  <conditionalFormatting sqref="F845">
    <cfRule type="cellIs" dxfId="1109" priority="54" operator="equal">
      <formula>0</formula>
    </cfRule>
  </conditionalFormatting>
  <conditionalFormatting sqref="F844">
    <cfRule type="cellIs" dxfId="1108" priority="53" operator="equal">
      <formula>0</formula>
    </cfRule>
  </conditionalFormatting>
  <conditionalFormatting sqref="F846">
    <cfRule type="cellIs" dxfId="1107" priority="52" operator="equal">
      <formula>0</formula>
    </cfRule>
  </conditionalFormatting>
  <conditionalFormatting sqref="F847:F853">
    <cfRule type="cellIs" dxfId="1106" priority="51" operator="equal">
      <formula>0</formula>
    </cfRule>
  </conditionalFormatting>
  <conditionalFormatting sqref="I49:I58">
    <cfRule type="cellIs" dxfId="1105" priority="50" operator="equal">
      <formula>"  "</formula>
    </cfRule>
  </conditionalFormatting>
  <conditionalFormatting sqref="U80:W80">
    <cfRule type="expression" dxfId="1104" priority="67">
      <formula>IF($AE$5=1,1,0)</formula>
    </cfRule>
  </conditionalFormatting>
  <conditionalFormatting sqref="U81:W81 U83:W83 U85:W85">
    <cfRule type="expression" dxfId="1103" priority="68">
      <formula>IF($AE$5=1,1,0)</formula>
    </cfRule>
  </conditionalFormatting>
  <conditionalFormatting sqref="U82:W82 U84:W84">
    <cfRule type="expression" dxfId="1102" priority="69">
      <formula>IF($AE$5=1,1,0)</formula>
    </cfRule>
  </conditionalFormatting>
  <conditionalFormatting sqref="U87:W87">
    <cfRule type="expression" dxfId="1101" priority="70">
      <formula>IF($AE$6=1,1,0)</formula>
    </cfRule>
  </conditionalFormatting>
  <conditionalFormatting sqref="U88:W88 U90:W90 U92:W92">
    <cfRule type="expression" dxfId="1100" priority="71">
      <formula>IF($AE$6=1,1,0)</formula>
    </cfRule>
  </conditionalFormatting>
  <conditionalFormatting sqref="U89:W89 W91">
    <cfRule type="expression" dxfId="1099" priority="72">
      <formula>IF($AE$6=1,1,0)</formula>
    </cfRule>
  </conditionalFormatting>
  <conditionalFormatting sqref="U94:W94">
    <cfRule type="expression" dxfId="1098" priority="73">
      <formula>IF($AE$7=1,1,0)</formula>
    </cfRule>
  </conditionalFormatting>
  <conditionalFormatting sqref="U95:W95 U97:W97">
    <cfRule type="expression" dxfId="1097" priority="74">
      <formula>IF($AE$7=1,1,0)</formula>
    </cfRule>
  </conditionalFormatting>
  <conditionalFormatting sqref="U96:W96 U98:W98">
    <cfRule type="expression" dxfId="1096" priority="75">
      <formula>IF($AE$7=1,1,0)</formula>
    </cfRule>
  </conditionalFormatting>
  <conditionalFormatting sqref="U131:W132">
    <cfRule type="expression" dxfId="1095" priority="76">
      <formula>IF($AF$5=1,1,0)</formula>
    </cfRule>
  </conditionalFormatting>
  <conditionalFormatting sqref="U133:W133 U135:W135 U137:W137">
    <cfRule type="expression" dxfId="1094" priority="77">
      <formula>IF($AF$5=1,1,0)</formula>
    </cfRule>
  </conditionalFormatting>
  <conditionalFormatting sqref="U134:W134 U136:W136">
    <cfRule type="expression" dxfId="1093" priority="78">
      <formula>IF($AF$5=1,1,0)</formula>
    </cfRule>
  </conditionalFormatting>
  <conditionalFormatting sqref="U139:W140">
    <cfRule type="expression" dxfId="1092" priority="79">
      <formula>IF($AF$6=1,1,0)</formula>
    </cfRule>
  </conditionalFormatting>
  <conditionalFormatting sqref="U141:W141 U143:W143 U145:W145">
    <cfRule type="expression" dxfId="1091" priority="80">
      <formula>IF($AF$6=1,1,0)</formula>
    </cfRule>
  </conditionalFormatting>
  <conditionalFormatting sqref="U142:W142 U144:W144">
    <cfRule type="expression" dxfId="1090" priority="81">
      <formula>IF($AF$6=1,1,0)</formula>
    </cfRule>
  </conditionalFormatting>
  <conditionalFormatting sqref="U147:W148">
    <cfRule type="expression" dxfId="1089" priority="82">
      <formula>IF($AF$7=1,1,0)</formula>
    </cfRule>
  </conditionalFormatting>
  <conditionalFormatting sqref="U149:W149 U151:W151">
    <cfRule type="expression" dxfId="1088" priority="83">
      <formula>IF($AF$7=1,1,0)</formula>
    </cfRule>
  </conditionalFormatting>
  <conditionalFormatting sqref="U150:W150 U152:W152">
    <cfRule type="expression" dxfId="1087" priority="84">
      <formula>IF($AF$7=1,1,0)</formula>
    </cfRule>
  </conditionalFormatting>
  <conditionalFormatting sqref="I986:I988">
    <cfRule type="cellIs" dxfId="1086" priority="48" operator="equal">
      <formula>0</formula>
    </cfRule>
  </conditionalFormatting>
  <conditionalFormatting sqref="I984:I985">
    <cfRule type="cellIs" dxfId="1085" priority="49" operator="equal">
      <formula>0</formula>
    </cfRule>
  </conditionalFormatting>
  <conditionalFormatting sqref="W14:W15">
    <cfRule type="expression" dxfId="1084" priority="47">
      <formula>IF($W$16=" ",0,1)</formula>
    </cfRule>
  </conditionalFormatting>
  <conditionalFormatting sqref="I842">
    <cfRule type="cellIs" dxfId="1083" priority="46" operator="equal">
      <formula>0</formula>
    </cfRule>
  </conditionalFormatting>
  <conditionalFormatting sqref="AB73">
    <cfRule type="expression" dxfId="1082" priority="45">
      <formula>IF($V$3=$Y$3,1,0)</formula>
    </cfRule>
  </conditionalFormatting>
  <conditionalFormatting sqref="AB75">
    <cfRule type="expression" dxfId="1081" priority="44">
      <formula>IF($V$3=$Y$3,1,0)</formula>
    </cfRule>
  </conditionalFormatting>
  <conditionalFormatting sqref="G1008">
    <cfRule type="cellIs" dxfId="1080" priority="43" operator="equal">
      <formula>0</formula>
    </cfRule>
  </conditionalFormatting>
  <conditionalFormatting sqref="I62">
    <cfRule type="cellIs" dxfId="1079" priority="42" operator="equal">
      <formula>"  "</formula>
    </cfRule>
  </conditionalFormatting>
  <conditionalFormatting sqref="I1018:I1021">
    <cfRule type="cellIs" dxfId="1078" priority="41" operator="equal">
      <formula>0</formula>
    </cfRule>
  </conditionalFormatting>
  <conditionalFormatting sqref="F827">
    <cfRule type="cellIs" dxfId="1077" priority="40" operator="equal">
      <formula>0</formula>
    </cfRule>
  </conditionalFormatting>
  <conditionalFormatting sqref="F921">
    <cfRule type="cellIs" dxfId="1076" priority="39" operator="equal">
      <formula>0</formula>
    </cfRule>
  </conditionalFormatting>
  <conditionalFormatting sqref="F1038">
    <cfRule type="cellIs" dxfId="1075" priority="38" operator="equal">
      <formula>0</formula>
    </cfRule>
  </conditionalFormatting>
  <conditionalFormatting sqref="R3">
    <cfRule type="expression" dxfId="1074" priority="85">
      <formula>SUM($F$16:$F$21)=0</formula>
    </cfRule>
    <cfRule type="expression" dxfId="1073" priority="86">
      <formula>SUM($F$16:$F$21)&lt;&gt;$R$3</formula>
    </cfRule>
  </conditionalFormatting>
  <conditionalFormatting sqref="F917">
    <cfRule type="cellIs" dxfId="1072" priority="37" operator="equal">
      <formula>0</formula>
    </cfRule>
  </conditionalFormatting>
  <conditionalFormatting sqref="U91:V91">
    <cfRule type="expression" dxfId="1071" priority="36">
      <formula>IF($AE$6=1,1,0)</formula>
    </cfRule>
  </conditionalFormatting>
  <conditionalFormatting sqref="F843">
    <cfRule type="cellIs" dxfId="1070" priority="35" operator="equal">
      <formula>0</formula>
    </cfRule>
  </conditionalFormatting>
  <conditionalFormatting sqref="P4">
    <cfRule type="expression" dxfId="1069" priority="33">
      <formula>IF(AA4&lt;3%,1,0)</formula>
    </cfRule>
    <cfRule type="expression" dxfId="1068" priority="34">
      <formula>IF(AA4&gt;3%,1,0)</formula>
    </cfRule>
  </conditionalFormatting>
  <conditionalFormatting sqref="F841">
    <cfRule type="cellIs" dxfId="1067" priority="32" operator="equal">
      <formula>0</formula>
    </cfRule>
  </conditionalFormatting>
  <conditionalFormatting sqref="S6:S10 P8:Q10 P6:R7">
    <cfRule type="expression" dxfId="1066" priority="87">
      <formula>IF($T$3=$Y$13,0,1)</formula>
    </cfRule>
  </conditionalFormatting>
  <conditionalFormatting sqref="Q99:S101 Q93:T98 P103:U106 P79:T92">
    <cfRule type="expression" dxfId="1065" priority="88">
      <formula>IF($V$3=$Y$4,1,0)</formula>
    </cfRule>
  </conditionalFormatting>
  <conditionalFormatting sqref="P160:S163 T160:U161 P130:T145 Q146:T146 R153:T156 S147:T152 P147:Q152">
    <cfRule type="expression" dxfId="1064" priority="89">
      <formula>IF($V$3=$Y$3,1,0)</formula>
    </cfRule>
  </conditionalFormatting>
  <conditionalFormatting sqref="P6:P10 Q6:S7">
    <cfRule type="expression" dxfId="1063" priority="90">
      <formula>IF(OR($T$3=$Y$14,$T$3=$Y$15),1,0)</formula>
    </cfRule>
  </conditionalFormatting>
  <conditionalFormatting sqref="S14:W17">
    <cfRule type="expression" dxfId="1062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1061" priority="93">
      <formula>IF($V$3=$Y$3,1,0)</formula>
    </cfRule>
  </conditionalFormatting>
  <conditionalFormatting sqref="P77:V77">
    <cfRule type="expression" dxfId="1060" priority="94">
      <formula>IF($S$77=0%,1,0)</formula>
    </cfRule>
    <cfRule type="expression" dxfId="1059" priority="95">
      <formula>IF(AND(OR($S$77&lt;105%,$S$77&gt;130%),$T$3&lt;&gt;$Y$13),1,0)</formula>
    </cfRule>
  </conditionalFormatting>
  <conditionalFormatting sqref="U5:V5">
    <cfRule type="expression" dxfId="1058" priority="96">
      <formula>IF($V$5=$AA$22,0,1)</formula>
    </cfRule>
    <cfRule type="expression" dxfId="1057" priority="97">
      <formula>IF(AND($T$3=$Y$13,$V$4=$Y$12),1,0)</formula>
    </cfRule>
  </conditionalFormatting>
  <conditionalFormatting sqref="P108:U113">
    <cfRule type="expression" dxfId="1056" priority="98">
      <formula>IF(OR($V$3=$Y$2,$V$3=$Y$3),1,0)</formula>
    </cfRule>
  </conditionalFormatting>
  <conditionalFormatting sqref="P165:U166">
    <cfRule type="expression" dxfId="1055" priority="99">
      <formula>IF(OR($V$3=$Y$2,$V$3=$Y$4),1,0)</formula>
    </cfRule>
  </conditionalFormatting>
  <conditionalFormatting sqref="R226">
    <cfRule type="expression" dxfId="1054" priority="31">
      <formula>IF($P$228="Средний расход",1,0)</formula>
    </cfRule>
  </conditionalFormatting>
  <conditionalFormatting sqref="S12:U13">
    <cfRule type="expression" dxfId="1053" priority="100">
      <formula>IF($V$4=$AA$11,1,0)</formula>
    </cfRule>
    <cfRule type="expression" dxfId="1052" priority="101">
      <formula>IF(OR($V$4=$Y$11,$V$4=$A$10),0,1)</formula>
    </cfRule>
    <cfRule type="expression" dxfId="1051" priority="102">
      <formula>IF(OR($V$4=$Y$11,$V$4=$A$10),0,1)</formula>
    </cfRule>
  </conditionalFormatting>
  <conditionalFormatting sqref="S14:U17">
    <cfRule type="expression" dxfId="1050" priority="103">
      <formula>IF(AND($T$3&lt;&gt;$Y$13,OR($V$4=$Y$12,$V$4=$AA$7)),1,0)</formula>
    </cfRule>
  </conditionalFormatting>
  <conditionalFormatting sqref="V14:W17">
    <cfRule type="expression" dxfId="1049" priority="104">
      <formula>IF(AND($T$3&lt;&gt;$Y$13,OR($V$4=$AA$7,$V$4=$Y$12)),1,0)</formula>
    </cfRule>
  </conditionalFormatting>
  <conditionalFormatting sqref="P228:W294">
    <cfRule type="expression" dxfId="1048" priority="105">
      <formula>IF(AND($T$3=$AA$5,$T$4=$AA$5),1,0)</formula>
    </cfRule>
  </conditionalFormatting>
  <conditionalFormatting sqref="P228:T230 P240:Q294 S240:T294 V240:W294">
    <cfRule type="expression" dxfId="1047" priority="106">
      <formula>IF(AND($T$3=$AA$5,$T$4&lt;&gt;$AA$5),1,0)</formula>
    </cfRule>
  </conditionalFormatting>
  <conditionalFormatting sqref="P232:Q237 S232:T237 V232:W237 P226:R226">
    <cfRule type="expression" dxfId="1046" priority="107">
      <formula>IF(AND($T$3&lt;&gt;$AA$5,$T$4&lt;&gt;$AA$5),1,0)</formula>
    </cfRule>
  </conditionalFormatting>
  <conditionalFormatting sqref="P12:Q60 S19:T52">
    <cfRule type="expression" dxfId="1045" priority="92">
      <formula>IF(AND(OR($V$4=$AA$10,$V$4=$AA$11),$AA$3=$AA$5),1,0)</formula>
    </cfRule>
  </conditionalFormatting>
  <conditionalFormatting sqref="X4">
    <cfRule type="expression" dxfId="1044" priority="108">
      <formula>IF($V$4=$AA$10,0,1)</formula>
    </cfRule>
  </conditionalFormatting>
  <conditionalFormatting sqref="W5">
    <cfRule type="expression" dxfId="1043" priority="109">
      <formula>IF(OR($V$4=$AA$10,$V$4=$AA$11),0,1)</formula>
    </cfRule>
  </conditionalFormatting>
  <conditionalFormatting sqref="U2:W2">
    <cfRule type="expression" dxfId="1042" priority="30">
      <formula>IF($R$4=$Y$6,1,0)</formula>
    </cfRule>
  </conditionalFormatting>
  <conditionalFormatting sqref="F835">
    <cfRule type="cellIs" dxfId="1041" priority="29" operator="equal">
      <formula>0</formula>
    </cfRule>
  </conditionalFormatting>
  <conditionalFormatting sqref="P170:V176">
    <cfRule type="expression" dxfId="1040" priority="20">
      <formula>IF($V$2=$AA$19,1,0)</formula>
    </cfRule>
  </conditionalFormatting>
  <conditionalFormatting sqref="F1041">
    <cfRule type="cellIs" dxfId="1039" priority="27" operator="equal">
      <formula>0</formula>
    </cfRule>
  </conditionalFormatting>
  <conditionalFormatting sqref="R173">
    <cfRule type="expression" dxfId="1038" priority="28">
      <formula>IF($R$173&gt;0,0,1)</formula>
    </cfRule>
  </conditionalFormatting>
  <conditionalFormatting sqref="R172">
    <cfRule type="expression" dxfId="1037" priority="26">
      <formula>IF($R$172&gt;0,0,1)</formula>
    </cfRule>
  </conditionalFormatting>
  <conditionalFormatting sqref="R176">
    <cfRule type="expression" dxfId="1036" priority="25">
      <formula>IF($R$176&gt;0,0,1)</formula>
    </cfRule>
  </conditionalFormatting>
  <conditionalFormatting sqref="L4">
    <cfRule type="expression" dxfId="1035" priority="22">
      <formula>IF($L$4&lt;&gt;0,1,0)</formula>
    </cfRule>
    <cfRule type="expression" dxfId="1034" priority="23">
      <formula>IF($J$4=$AJ$15,1,0)</formula>
    </cfRule>
  </conditionalFormatting>
  <conditionalFormatting sqref="P6:P10 Q6:S6">
    <cfRule type="expression" dxfId="1033" priority="110">
      <formula>IF(OR($T$3=$Y$16,$T$3=$Y$17),1,0)</formula>
    </cfRule>
  </conditionalFormatting>
  <conditionalFormatting sqref="R175">
    <cfRule type="expression" dxfId="1032" priority="24">
      <formula>IF($R$175&gt;0,0,1)</formula>
    </cfRule>
  </conditionalFormatting>
  <conditionalFormatting sqref="R174">
    <cfRule type="expression" dxfId="1031" priority="21">
      <formula>IF($R$174&gt;0,0,1)</formula>
    </cfRule>
  </conditionalFormatting>
  <conditionalFormatting sqref="V11 T11">
    <cfRule type="expression" dxfId="1030" priority="18">
      <formula>IF($T$2=$Z$12,1,0)</formula>
    </cfRule>
    <cfRule type="expression" dxfId="1029" priority="19">
      <formula>IF($T$2=$Z$11,1,0)</formula>
    </cfRule>
  </conditionalFormatting>
  <conditionalFormatting sqref="F854">
    <cfRule type="cellIs" dxfId="1028" priority="17" operator="equal">
      <formula>0</formula>
    </cfRule>
  </conditionalFormatting>
  <conditionalFormatting sqref="T6:U10 W6:W10">
    <cfRule type="expression" dxfId="1027" priority="111">
      <formula>IF($T$4=$Y$19,0,1)</formula>
    </cfRule>
  </conditionalFormatting>
  <conditionalFormatting sqref="P12:Q13 S19:T20">
    <cfRule type="expression" dxfId="1026" priority="112">
      <formula>IF(AND($V$4&lt;&gt;$Y$11,OR($T$4&lt;&gt;$Y$19,$T$3&lt;&gt;$Y$13)),1,0)</formula>
    </cfRule>
  </conditionalFormatting>
  <conditionalFormatting sqref="P78:V78">
    <cfRule type="expression" dxfId="1025" priority="113">
      <formula>IF(AND($S$78&gt;35%,$T$4&lt;&gt;$Y$19),1,0)</formula>
    </cfRule>
  </conditionalFormatting>
  <conditionalFormatting sqref="S21:T52 P14:Q60">
    <cfRule type="expression" dxfId="1024" priority="114">
      <formula>IF(AND($V$4&lt;&gt;$Y$11,OR($T$4&lt;&gt;$Y$19,$T$3&lt;&gt;$Y$13)),1,0)</formula>
    </cfRule>
  </conditionalFormatting>
  <conditionalFormatting sqref="V19:W23">
    <cfRule type="expression" dxfId="1023" priority="115">
      <formula>IF(OR($T$3&lt;&gt;$Y$19,$T$4&lt;&gt;$Y$19),0,1)</formula>
    </cfRule>
  </conditionalFormatting>
  <conditionalFormatting sqref="V19:W20">
    <cfRule type="expression" dxfId="1022" priority="116">
      <formula>IF(OR($T$3&lt;&gt;$Y$19,$T$4&lt;&gt;$Y$19),1,0)</formula>
    </cfRule>
  </conditionalFormatting>
  <conditionalFormatting sqref="V21:W23">
    <cfRule type="expression" dxfId="1021" priority="117">
      <formula>IF(OR($T$3&lt;&gt;$Y$19,$T$4&lt;&gt;$Y$19),1,0)</formula>
    </cfRule>
  </conditionalFormatting>
  <conditionalFormatting sqref="S3:T4">
    <cfRule type="expression" dxfId="1020" priority="118">
      <formula>IF(OR(AND($S$78&gt;35%,$T$4&lt;&gt;$Y$19),AND($S$77&gt;130%,$T$3&lt;&gt;$Y$13)),1,0)</formula>
    </cfRule>
  </conditionalFormatting>
  <conditionalFormatting sqref="S21:S52 P14:P60">
    <cfRule type="expression" dxfId="1019" priority="119">
      <formula>IF(AND($T$5=$AA$12,$V$4&lt;&gt;$Y$11,$P$15&gt;0,OR($T$4&lt;&gt;$Y$19,$T$3&lt;&gt;$Y$13),$P$14&lt;$R$3),1,0)</formula>
    </cfRule>
  </conditionalFormatting>
  <conditionalFormatting sqref="P6 P8:P10 Q6:S7">
    <cfRule type="expression" dxfId="1018" priority="120">
      <formula>IF($T$3=$Y$18,1,0)</formula>
    </cfRule>
  </conditionalFormatting>
  <conditionalFormatting sqref="S2:T2">
    <cfRule type="expression" dxfId="1017" priority="121">
      <formula>IF(AND($T$3=$Y$13,$T$4&lt;&gt;$Y$19),0,1)</formula>
    </cfRule>
  </conditionalFormatting>
  <conditionalFormatting sqref="U6:U7 W6:W7 T6:T10">
    <cfRule type="expression" dxfId="1016" priority="122">
      <formula>IF(OR($T$4=$Y$20,$T$4=$Y$21,$T$4=$Y$22),1,0)</formula>
    </cfRule>
  </conditionalFormatting>
  <conditionalFormatting sqref="T6:T10 U6:U7 W6:W7">
    <cfRule type="expression" dxfId="1015" priority="123">
      <formula>IF(OR($T$4=$Y$23,$T$4=$Y$24),1,0)</formula>
    </cfRule>
  </conditionalFormatting>
  <conditionalFormatting sqref="T6:T10 U6:U7 W6:W7">
    <cfRule type="expression" dxfId="1014" priority="124">
      <formula>IF(OR($T$4=$Y$25,$T$4=$Y$26),1,0)</formula>
    </cfRule>
  </conditionalFormatting>
  <conditionalFormatting sqref="T6:U9 W6:W9">
    <cfRule type="expression" dxfId="1013" priority="125">
      <formula>IF($T$4=$Y$27,1,0)</formula>
    </cfRule>
  </conditionalFormatting>
  <conditionalFormatting sqref="T10:U10 W10">
    <cfRule type="expression" dxfId="1012" priority="126">
      <formula>IF($T$4=$Y$27,1,0)</formula>
    </cfRule>
  </conditionalFormatting>
  <conditionalFormatting sqref="T6:T9 U6:U7 W6:W7">
    <cfRule type="expression" dxfId="1011" priority="127">
      <formula>IF($T$4=$Y$27,1,0)</formula>
    </cfRule>
  </conditionalFormatting>
  <conditionalFormatting sqref="F839">
    <cfRule type="cellIs" dxfId="1010" priority="16" operator="equal">
      <formula>0</formula>
    </cfRule>
  </conditionalFormatting>
  <conditionalFormatting sqref="V6:V10">
    <cfRule type="expression" dxfId="1009" priority="9">
      <formula>IF($T$4=$Y$19,0,1)</formula>
    </cfRule>
  </conditionalFormatting>
  <conditionalFormatting sqref="V6:V7">
    <cfRule type="expression" dxfId="1008" priority="10">
      <formula>IF(OR($T$4=$Y$20,$T$4=$Y$21,$T$4=$Y$22),1,0)</formula>
    </cfRule>
  </conditionalFormatting>
  <conditionalFormatting sqref="V6:V7">
    <cfRule type="expression" dxfId="1007" priority="11">
      <formula>IF(OR($T$4=$Y$23,$T$4=$Y$24),1,0)</formula>
    </cfRule>
  </conditionalFormatting>
  <conditionalFormatting sqref="V6:V7">
    <cfRule type="expression" dxfId="1006" priority="12">
      <formula>IF(OR($T$4=$Y$25,$T$4=$Y$26),1,0)</formula>
    </cfRule>
  </conditionalFormatting>
  <conditionalFormatting sqref="V6:V9">
    <cfRule type="expression" dxfId="1005" priority="13">
      <formula>IF($T$4=$Y$27,1,0)</formula>
    </cfRule>
  </conditionalFormatting>
  <conditionalFormatting sqref="V10">
    <cfRule type="expression" dxfId="1004" priority="14">
      <formula>IF($T$4=$Y$27,1,0)</formula>
    </cfRule>
  </conditionalFormatting>
  <conditionalFormatting sqref="V6:V7">
    <cfRule type="expression" dxfId="1003" priority="15">
      <formula>IF($T$4=$Y$27,1,0)</formula>
    </cfRule>
  </conditionalFormatting>
  <conditionalFormatting sqref="R8:R10">
    <cfRule type="expression" dxfId="1002" priority="8">
      <formula>IF($T$3=$Y$13,0,1)</formula>
    </cfRule>
  </conditionalFormatting>
  <conditionalFormatting sqref="R149:R152">
    <cfRule type="expression" dxfId="1001" priority="6">
      <formula>IF($V$3=$Y$3,1,0)</formula>
    </cfRule>
  </conditionalFormatting>
  <conditionalFormatting sqref="R151 R149">
    <cfRule type="expression" dxfId="1000" priority="7">
      <formula>IF($V$3=$Y$3,1,0)</formula>
    </cfRule>
  </conditionalFormatting>
  <conditionalFormatting sqref="R147:R148">
    <cfRule type="expression" dxfId="999" priority="4">
      <formula>IF($V$3=$Y$3,1,0)</formula>
    </cfRule>
  </conditionalFormatting>
  <conditionalFormatting sqref="R147:R148">
    <cfRule type="expression" dxfId="998" priority="5">
      <formula>IF($V$3=$Y$3,1,0)</formula>
    </cfRule>
  </conditionalFormatting>
  <conditionalFormatting sqref="F1039">
    <cfRule type="cellIs" dxfId="997" priority="3" operator="equal">
      <formula>0</formula>
    </cfRule>
  </conditionalFormatting>
  <conditionalFormatting sqref="P167:U167">
    <cfRule type="expression" dxfId="996" priority="2">
      <formula>IF(OR($V$3=$Y$2,$V$3=$Y$4),1,0)</formula>
    </cfRule>
  </conditionalFormatting>
  <conditionalFormatting sqref="F918">
    <cfRule type="cellIs" dxfId="995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9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ТИП4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ТИП4</v>
      </c>
      <c r="AC5" s="163" t="str">
        <f ca="1">HYPERLINK("#"&amp;AB5&amp;"!A1","1")</f>
        <v>1</v>
      </c>
      <c r="AD5" s="229">
        <f ca="1">_xlfn.SHEET()-2</f>
        <v>4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IF(AK24&gt;0,ТИП4!ПЛ*7,0)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ТИП4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ТИП4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ТИП4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ТИП4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IF(ТИП4!ПЛ&lt;1000,"Рейка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IF(ТИП4!ПЛ&lt;1000,"Рейка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IF(ТИП4!ПЛ&lt;1000,"Рейка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IF(ТИП4!ПЛ&lt;1000,"Рейка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IF(ТИП4!ПЛ&lt;1000,"Рейка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IF(ТИП4!ПЛ&lt;1000,"Рейка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990" priority="66" operator="equal">
      <formula>"  "</formula>
    </cfRule>
  </conditionalFormatting>
  <conditionalFormatting sqref="Y73:Y74 P73:V75 Z73:AB73 Y75:AB75">
    <cfRule type="expression" dxfId="989" priority="65">
      <formula>IF($V$3=$Y$2,0,1)</formula>
    </cfRule>
  </conditionalFormatting>
  <conditionalFormatting sqref="Y73:Y74 P73:V74 Q139:T140 S154:T155 P131:T131 P139 R154 P147 S147:T148 Q147:Q148">
    <cfRule type="expression" dxfId="988" priority="64">
      <formula>IF($V$3=$Y$3,1,0)</formula>
    </cfRule>
  </conditionalFormatting>
  <conditionalFormatting sqref="Y73:Y74 P73:V74 Q100:S100 Q94:T94 P87:T87 P80:T80 Z73:AB73">
    <cfRule type="expression" dxfId="987" priority="63">
      <formula>IF($V$3=$Y$4,1,0)</formula>
    </cfRule>
  </conditionalFormatting>
  <conditionalFormatting sqref="Z73">
    <cfRule type="expression" dxfId="986" priority="62">
      <formula>IF($V$3=$Y$3,1,0)</formula>
    </cfRule>
  </conditionalFormatting>
  <conditionalFormatting sqref="Y75:Z75">
    <cfRule type="expression" dxfId="985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984" priority="60">
      <formula>IF($V$3=$Y$4,1,0)</formula>
    </cfRule>
  </conditionalFormatting>
  <conditionalFormatting sqref="AA73">
    <cfRule type="expression" dxfId="983" priority="59">
      <formula>IF($V$3=$Y$3,1,0)</formula>
    </cfRule>
  </conditionalFormatting>
  <conditionalFormatting sqref="AA75">
    <cfRule type="expression" dxfId="982" priority="58">
      <formula>IF($V$3=$Y$3,1,0)</formula>
    </cfRule>
  </conditionalFormatting>
  <conditionalFormatting sqref="F828:F832 F837:F838 F840">
    <cfRule type="cellIs" dxfId="981" priority="57" operator="equal">
      <formula>0</formula>
    </cfRule>
  </conditionalFormatting>
  <conditionalFormatting sqref="I20">
    <cfRule type="cellIs" dxfId="980" priority="56" operator="equal">
      <formula>"  "</formula>
    </cfRule>
  </conditionalFormatting>
  <conditionalFormatting sqref="I48">
    <cfRule type="cellIs" dxfId="979" priority="55" operator="equal">
      <formula>"  "</formula>
    </cfRule>
  </conditionalFormatting>
  <conditionalFormatting sqref="F845">
    <cfRule type="cellIs" dxfId="978" priority="54" operator="equal">
      <formula>0</formula>
    </cfRule>
  </conditionalFormatting>
  <conditionalFormatting sqref="F844">
    <cfRule type="cellIs" dxfId="977" priority="53" operator="equal">
      <formula>0</formula>
    </cfRule>
  </conditionalFormatting>
  <conditionalFormatting sqref="F846">
    <cfRule type="cellIs" dxfId="976" priority="52" operator="equal">
      <formula>0</formula>
    </cfRule>
  </conditionalFormatting>
  <conditionalFormatting sqref="F847:F853">
    <cfRule type="cellIs" dxfId="975" priority="51" operator="equal">
      <formula>0</formula>
    </cfRule>
  </conditionalFormatting>
  <conditionalFormatting sqref="I49:I58">
    <cfRule type="cellIs" dxfId="974" priority="50" operator="equal">
      <formula>"  "</formula>
    </cfRule>
  </conditionalFormatting>
  <conditionalFormatting sqref="U80:W80">
    <cfRule type="expression" dxfId="973" priority="67">
      <formula>IF($AE$5=1,1,0)</formula>
    </cfRule>
  </conditionalFormatting>
  <conditionalFormatting sqref="U81:W81 U83:W83 U85:W85">
    <cfRule type="expression" dxfId="972" priority="68">
      <formula>IF($AE$5=1,1,0)</formula>
    </cfRule>
  </conditionalFormatting>
  <conditionalFormatting sqref="U82:W82 U84:W84">
    <cfRule type="expression" dxfId="971" priority="69">
      <formula>IF($AE$5=1,1,0)</formula>
    </cfRule>
  </conditionalFormatting>
  <conditionalFormatting sqref="U87:W87">
    <cfRule type="expression" dxfId="970" priority="70">
      <formula>IF($AE$6=1,1,0)</formula>
    </cfRule>
  </conditionalFormatting>
  <conditionalFormatting sqref="U88:W88 U90:W90 U92:W92">
    <cfRule type="expression" dxfId="969" priority="71">
      <formula>IF($AE$6=1,1,0)</formula>
    </cfRule>
  </conditionalFormatting>
  <conditionalFormatting sqref="U89:W89 W91">
    <cfRule type="expression" dxfId="968" priority="72">
      <formula>IF($AE$6=1,1,0)</formula>
    </cfRule>
  </conditionalFormatting>
  <conditionalFormatting sqref="U94:W94">
    <cfRule type="expression" dxfId="967" priority="73">
      <formula>IF($AE$7=1,1,0)</formula>
    </cfRule>
  </conditionalFormatting>
  <conditionalFormatting sqref="U95:W95 U97:W97">
    <cfRule type="expression" dxfId="966" priority="74">
      <formula>IF($AE$7=1,1,0)</formula>
    </cfRule>
  </conditionalFormatting>
  <conditionalFormatting sqref="U96:W96 U98:W98">
    <cfRule type="expression" dxfId="965" priority="75">
      <formula>IF($AE$7=1,1,0)</formula>
    </cfRule>
  </conditionalFormatting>
  <conditionalFormatting sqref="U131:W132">
    <cfRule type="expression" dxfId="964" priority="76">
      <formula>IF($AF$5=1,1,0)</formula>
    </cfRule>
  </conditionalFormatting>
  <conditionalFormatting sqref="U133:W133 U135:W135 U137:W137">
    <cfRule type="expression" dxfId="963" priority="77">
      <formula>IF($AF$5=1,1,0)</formula>
    </cfRule>
  </conditionalFormatting>
  <conditionalFormatting sqref="U134:W134 U136:W136">
    <cfRule type="expression" dxfId="962" priority="78">
      <formula>IF($AF$5=1,1,0)</formula>
    </cfRule>
  </conditionalFormatting>
  <conditionalFormatting sqref="U139:W140">
    <cfRule type="expression" dxfId="961" priority="79">
      <formula>IF($AF$6=1,1,0)</formula>
    </cfRule>
  </conditionalFormatting>
  <conditionalFormatting sqref="U141:W141 U143:W143 U145:W145">
    <cfRule type="expression" dxfId="960" priority="80">
      <formula>IF($AF$6=1,1,0)</formula>
    </cfRule>
  </conditionalFormatting>
  <conditionalFormatting sqref="U142:W142 U144:W144">
    <cfRule type="expression" dxfId="959" priority="81">
      <formula>IF($AF$6=1,1,0)</formula>
    </cfRule>
  </conditionalFormatting>
  <conditionalFormatting sqref="U147:W148">
    <cfRule type="expression" dxfId="958" priority="82">
      <formula>IF($AF$7=1,1,0)</formula>
    </cfRule>
  </conditionalFormatting>
  <conditionalFormatting sqref="U149:W149 U151:W151">
    <cfRule type="expression" dxfId="957" priority="83">
      <formula>IF($AF$7=1,1,0)</formula>
    </cfRule>
  </conditionalFormatting>
  <conditionalFormatting sqref="U150:W150 U152:W152">
    <cfRule type="expression" dxfId="956" priority="84">
      <formula>IF($AF$7=1,1,0)</formula>
    </cfRule>
  </conditionalFormatting>
  <conditionalFormatting sqref="I986:I988">
    <cfRule type="cellIs" dxfId="955" priority="48" operator="equal">
      <formula>0</formula>
    </cfRule>
  </conditionalFormatting>
  <conditionalFormatting sqref="I984:I985">
    <cfRule type="cellIs" dxfId="954" priority="49" operator="equal">
      <formula>0</formula>
    </cfRule>
  </conditionalFormatting>
  <conditionalFormatting sqref="W14:W15">
    <cfRule type="expression" dxfId="953" priority="47">
      <formula>IF($W$16=" ",0,1)</formula>
    </cfRule>
  </conditionalFormatting>
  <conditionalFormatting sqref="I842">
    <cfRule type="cellIs" dxfId="952" priority="46" operator="equal">
      <formula>0</formula>
    </cfRule>
  </conditionalFormatting>
  <conditionalFormatting sqref="AB73">
    <cfRule type="expression" dxfId="951" priority="45">
      <formula>IF($V$3=$Y$3,1,0)</formula>
    </cfRule>
  </conditionalFormatting>
  <conditionalFormatting sqref="AB75">
    <cfRule type="expression" dxfId="950" priority="44">
      <formula>IF($V$3=$Y$3,1,0)</formula>
    </cfRule>
  </conditionalFormatting>
  <conditionalFormatting sqref="G1008">
    <cfRule type="cellIs" dxfId="949" priority="43" operator="equal">
      <formula>0</formula>
    </cfRule>
  </conditionalFormatting>
  <conditionalFormatting sqref="I62">
    <cfRule type="cellIs" dxfId="948" priority="42" operator="equal">
      <formula>"  "</formula>
    </cfRule>
  </conditionalFormatting>
  <conditionalFormatting sqref="I1018:I1021">
    <cfRule type="cellIs" dxfId="947" priority="41" operator="equal">
      <formula>0</formula>
    </cfRule>
  </conditionalFormatting>
  <conditionalFormatting sqref="F827">
    <cfRule type="cellIs" dxfId="946" priority="40" operator="equal">
      <formula>0</formula>
    </cfRule>
  </conditionalFormatting>
  <conditionalFormatting sqref="F921">
    <cfRule type="cellIs" dxfId="945" priority="39" operator="equal">
      <formula>0</formula>
    </cfRule>
  </conditionalFormatting>
  <conditionalFormatting sqref="F1038">
    <cfRule type="cellIs" dxfId="944" priority="38" operator="equal">
      <formula>0</formula>
    </cfRule>
  </conditionalFormatting>
  <conditionalFormatting sqref="R3">
    <cfRule type="expression" dxfId="943" priority="85">
      <formula>SUM($F$16:$F$21)=0</formula>
    </cfRule>
    <cfRule type="expression" dxfId="942" priority="86">
      <formula>SUM($F$16:$F$21)&lt;&gt;$R$3</formula>
    </cfRule>
  </conditionalFormatting>
  <conditionalFormatting sqref="F917">
    <cfRule type="cellIs" dxfId="941" priority="37" operator="equal">
      <formula>0</formula>
    </cfRule>
  </conditionalFormatting>
  <conditionalFormatting sqref="U91:V91">
    <cfRule type="expression" dxfId="940" priority="36">
      <formula>IF($AE$6=1,1,0)</formula>
    </cfRule>
  </conditionalFormatting>
  <conditionalFormatting sqref="F843">
    <cfRule type="cellIs" dxfId="939" priority="35" operator="equal">
      <formula>0</formula>
    </cfRule>
  </conditionalFormatting>
  <conditionalFormatting sqref="P4">
    <cfRule type="expression" dxfId="938" priority="33">
      <formula>IF(AA4&lt;3%,1,0)</formula>
    </cfRule>
    <cfRule type="expression" dxfId="937" priority="34">
      <formula>IF(AA4&gt;3%,1,0)</formula>
    </cfRule>
  </conditionalFormatting>
  <conditionalFormatting sqref="F841">
    <cfRule type="cellIs" dxfId="936" priority="32" operator="equal">
      <formula>0</formula>
    </cfRule>
  </conditionalFormatting>
  <conditionalFormatting sqref="S6:S10 P8:Q10 P6:R7">
    <cfRule type="expression" dxfId="935" priority="87">
      <formula>IF($T$3=$Y$13,0,1)</formula>
    </cfRule>
  </conditionalFormatting>
  <conditionalFormatting sqref="Q99:S101 Q93:T98 P103:U106 P79:T92">
    <cfRule type="expression" dxfId="934" priority="88">
      <formula>IF($V$3=$Y$4,1,0)</formula>
    </cfRule>
  </conditionalFormatting>
  <conditionalFormatting sqref="P160:S163 T160:U161 P130:T145 Q146:T146 R153:T156 S147:T152 P147:Q152">
    <cfRule type="expression" dxfId="933" priority="89">
      <formula>IF($V$3=$Y$3,1,0)</formula>
    </cfRule>
  </conditionalFormatting>
  <conditionalFormatting sqref="P6:P10 Q6:S7">
    <cfRule type="expression" dxfId="932" priority="90">
      <formula>IF(OR($T$3=$Y$14,$T$3=$Y$15),1,0)</formula>
    </cfRule>
  </conditionalFormatting>
  <conditionalFormatting sqref="S14:W17">
    <cfRule type="expression" dxfId="931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930" priority="93">
      <formula>IF($V$3=$Y$3,1,0)</formula>
    </cfRule>
  </conditionalFormatting>
  <conditionalFormatting sqref="P77:V77">
    <cfRule type="expression" dxfId="929" priority="94">
      <formula>IF($S$77=0%,1,0)</formula>
    </cfRule>
    <cfRule type="expression" dxfId="928" priority="95">
      <formula>IF(AND(OR($S$77&lt;105%,$S$77&gt;130%),$T$3&lt;&gt;$Y$13),1,0)</formula>
    </cfRule>
  </conditionalFormatting>
  <conditionalFormatting sqref="U5:V5">
    <cfRule type="expression" dxfId="927" priority="96">
      <formula>IF($V$5=$AA$22,0,1)</formula>
    </cfRule>
    <cfRule type="expression" dxfId="926" priority="97">
      <formula>IF(AND($T$3=$Y$13,$V$4=$Y$12),1,0)</formula>
    </cfRule>
  </conditionalFormatting>
  <conditionalFormatting sqref="P108:U113">
    <cfRule type="expression" dxfId="925" priority="98">
      <formula>IF(OR($V$3=$Y$2,$V$3=$Y$3),1,0)</formula>
    </cfRule>
  </conditionalFormatting>
  <conditionalFormatting sqref="P165:U166">
    <cfRule type="expression" dxfId="924" priority="99">
      <formula>IF(OR($V$3=$Y$2,$V$3=$Y$4),1,0)</formula>
    </cfRule>
  </conditionalFormatting>
  <conditionalFormatting sqref="R226">
    <cfRule type="expression" dxfId="923" priority="31">
      <formula>IF($P$228="Средний расход",1,0)</formula>
    </cfRule>
  </conditionalFormatting>
  <conditionalFormatting sqref="S12:U13">
    <cfRule type="expression" dxfId="922" priority="100">
      <formula>IF($V$4=$AA$11,1,0)</formula>
    </cfRule>
    <cfRule type="expression" dxfId="921" priority="101">
      <formula>IF(OR($V$4=$Y$11,$V$4=$A$10),0,1)</formula>
    </cfRule>
    <cfRule type="expression" dxfId="920" priority="102">
      <formula>IF(OR($V$4=$Y$11,$V$4=$A$10),0,1)</formula>
    </cfRule>
  </conditionalFormatting>
  <conditionalFormatting sqref="S14:U17">
    <cfRule type="expression" dxfId="919" priority="103">
      <formula>IF(AND($T$3&lt;&gt;$Y$13,OR($V$4=$Y$12,$V$4=$AA$7)),1,0)</formula>
    </cfRule>
  </conditionalFormatting>
  <conditionalFormatting sqref="V14:W17">
    <cfRule type="expression" dxfId="918" priority="104">
      <formula>IF(AND($T$3&lt;&gt;$Y$13,OR($V$4=$AA$7,$V$4=$Y$12)),1,0)</formula>
    </cfRule>
  </conditionalFormatting>
  <conditionalFormatting sqref="P228:W294">
    <cfRule type="expression" dxfId="917" priority="105">
      <formula>IF(AND($T$3=$AA$5,$T$4=$AA$5),1,0)</formula>
    </cfRule>
  </conditionalFormatting>
  <conditionalFormatting sqref="P228:T230 P240:Q294 S240:T294 V240:W294">
    <cfRule type="expression" dxfId="916" priority="106">
      <formula>IF(AND($T$3=$AA$5,$T$4&lt;&gt;$AA$5),1,0)</formula>
    </cfRule>
  </conditionalFormatting>
  <conditionalFormatting sqref="P232:Q237 S232:T237 V232:W237 P226:R226">
    <cfRule type="expression" dxfId="915" priority="107">
      <formula>IF(AND($T$3&lt;&gt;$AA$5,$T$4&lt;&gt;$AA$5),1,0)</formula>
    </cfRule>
  </conditionalFormatting>
  <conditionalFormatting sqref="P12:Q60 S19:T52">
    <cfRule type="expression" dxfId="914" priority="92">
      <formula>IF(AND(OR($V$4=$AA$10,$V$4=$AA$11),$AA$3=$AA$5),1,0)</formula>
    </cfRule>
  </conditionalFormatting>
  <conditionalFormatting sqref="X4">
    <cfRule type="expression" dxfId="913" priority="108">
      <formula>IF($V$4=$AA$10,0,1)</formula>
    </cfRule>
  </conditionalFormatting>
  <conditionalFormatting sqref="W5">
    <cfRule type="expression" dxfId="912" priority="109">
      <formula>IF(OR($V$4=$AA$10,$V$4=$AA$11),0,1)</formula>
    </cfRule>
  </conditionalFormatting>
  <conditionalFormatting sqref="U2:W2">
    <cfRule type="expression" dxfId="911" priority="30">
      <formula>IF($R$4=$Y$6,1,0)</formula>
    </cfRule>
  </conditionalFormatting>
  <conditionalFormatting sqref="F835">
    <cfRule type="cellIs" dxfId="910" priority="29" operator="equal">
      <formula>0</formula>
    </cfRule>
  </conditionalFormatting>
  <conditionalFormatting sqref="P170:V176">
    <cfRule type="expression" dxfId="909" priority="20">
      <formula>IF($V$2=$AA$19,1,0)</formula>
    </cfRule>
  </conditionalFormatting>
  <conditionalFormatting sqref="F1041">
    <cfRule type="cellIs" dxfId="908" priority="27" operator="equal">
      <formula>0</formula>
    </cfRule>
  </conditionalFormatting>
  <conditionalFormatting sqref="R173">
    <cfRule type="expression" dxfId="907" priority="28">
      <formula>IF($R$173&gt;0,0,1)</formula>
    </cfRule>
  </conditionalFormatting>
  <conditionalFormatting sqref="R172">
    <cfRule type="expression" dxfId="906" priority="26">
      <formula>IF($R$172&gt;0,0,1)</formula>
    </cfRule>
  </conditionalFormatting>
  <conditionalFormatting sqref="R176">
    <cfRule type="expression" dxfId="905" priority="25">
      <formula>IF($R$176&gt;0,0,1)</formula>
    </cfRule>
  </conditionalFormatting>
  <conditionalFormatting sqref="L4">
    <cfRule type="expression" dxfId="904" priority="22">
      <formula>IF($L$4&lt;&gt;0,1,0)</formula>
    </cfRule>
    <cfRule type="expression" dxfId="903" priority="23">
      <formula>IF($J$4=$AJ$15,1,0)</formula>
    </cfRule>
  </conditionalFormatting>
  <conditionalFormatting sqref="P6:P10 Q6:S6">
    <cfRule type="expression" dxfId="902" priority="110">
      <formula>IF(OR($T$3=$Y$16,$T$3=$Y$17),1,0)</formula>
    </cfRule>
  </conditionalFormatting>
  <conditionalFormatting sqref="R175">
    <cfRule type="expression" dxfId="901" priority="24">
      <formula>IF($R$175&gt;0,0,1)</formula>
    </cfRule>
  </conditionalFormatting>
  <conditionalFormatting sqref="R174">
    <cfRule type="expression" dxfId="900" priority="21">
      <formula>IF($R$174&gt;0,0,1)</formula>
    </cfRule>
  </conditionalFormatting>
  <conditionalFormatting sqref="V11 T11">
    <cfRule type="expression" dxfId="899" priority="18">
      <formula>IF($T$2=$Z$12,1,0)</formula>
    </cfRule>
    <cfRule type="expression" dxfId="898" priority="19">
      <formula>IF($T$2=$Z$11,1,0)</formula>
    </cfRule>
  </conditionalFormatting>
  <conditionalFormatting sqref="F854">
    <cfRule type="cellIs" dxfId="897" priority="17" operator="equal">
      <formula>0</formula>
    </cfRule>
  </conditionalFormatting>
  <conditionalFormatting sqref="T6:U10 W6:W10">
    <cfRule type="expression" dxfId="896" priority="111">
      <formula>IF($T$4=$Y$19,0,1)</formula>
    </cfRule>
  </conditionalFormatting>
  <conditionalFormatting sqref="P12:Q13 S19:T20">
    <cfRule type="expression" dxfId="895" priority="112">
      <formula>IF(AND($V$4&lt;&gt;$Y$11,OR($T$4&lt;&gt;$Y$19,$T$3&lt;&gt;$Y$13)),1,0)</formula>
    </cfRule>
  </conditionalFormatting>
  <conditionalFormatting sqref="P78:V78">
    <cfRule type="expression" dxfId="894" priority="113">
      <formula>IF(AND($S$78&gt;35%,$T$4&lt;&gt;$Y$19),1,0)</formula>
    </cfRule>
  </conditionalFormatting>
  <conditionalFormatting sqref="S21:T52 P14:Q60">
    <cfRule type="expression" dxfId="893" priority="114">
      <formula>IF(AND($V$4&lt;&gt;$Y$11,OR($T$4&lt;&gt;$Y$19,$T$3&lt;&gt;$Y$13)),1,0)</formula>
    </cfRule>
  </conditionalFormatting>
  <conditionalFormatting sqref="V19:W23">
    <cfRule type="expression" dxfId="892" priority="115">
      <formula>IF(OR($T$3&lt;&gt;$Y$19,$T$4&lt;&gt;$Y$19),0,1)</formula>
    </cfRule>
  </conditionalFormatting>
  <conditionalFormatting sqref="V19:W20">
    <cfRule type="expression" dxfId="891" priority="116">
      <formula>IF(OR($T$3&lt;&gt;$Y$19,$T$4&lt;&gt;$Y$19),1,0)</formula>
    </cfRule>
  </conditionalFormatting>
  <conditionalFormatting sqref="V21:W23">
    <cfRule type="expression" dxfId="890" priority="117">
      <formula>IF(OR($T$3&lt;&gt;$Y$19,$T$4&lt;&gt;$Y$19),1,0)</formula>
    </cfRule>
  </conditionalFormatting>
  <conditionalFormatting sqref="S3:T4">
    <cfRule type="expression" dxfId="889" priority="118">
      <formula>IF(OR(AND($S$78&gt;35%,$T$4&lt;&gt;$Y$19),AND($S$77&gt;130%,$T$3&lt;&gt;$Y$13)),1,0)</formula>
    </cfRule>
  </conditionalFormatting>
  <conditionalFormatting sqref="S21:S52 P14:P60">
    <cfRule type="expression" dxfId="888" priority="119">
      <formula>IF(AND($T$5=$AA$12,$V$4&lt;&gt;$Y$11,$P$15&gt;0,OR($T$4&lt;&gt;$Y$19,$T$3&lt;&gt;$Y$13),$P$14&lt;$R$3),1,0)</formula>
    </cfRule>
  </conditionalFormatting>
  <conditionalFormatting sqref="P6 P8:P10 Q6:S7">
    <cfRule type="expression" dxfId="887" priority="120">
      <formula>IF($T$3=$Y$18,1,0)</formula>
    </cfRule>
  </conditionalFormatting>
  <conditionalFormatting sqref="S2:T2">
    <cfRule type="expression" dxfId="886" priority="121">
      <formula>IF(AND($T$3=$Y$13,$T$4&lt;&gt;$Y$19),0,1)</formula>
    </cfRule>
  </conditionalFormatting>
  <conditionalFormatting sqref="U6:U7 W6:W7 T6:T10">
    <cfRule type="expression" dxfId="885" priority="122">
      <formula>IF(OR($T$4=$Y$20,$T$4=$Y$21,$T$4=$Y$22),1,0)</formula>
    </cfRule>
  </conditionalFormatting>
  <conditionalFormatting sqref="T6:T10 U6:U7 W6:W7">
    <cfRule type="expression" dxfId="884" priority="123">
      <formula>IF(OR($T$4=$Y$23,$T$4=$Y$24),1,0)</formula>
    </cfRule>
  </conditionalFormatting>
  <conditionalFormatting sqref="T6:T10 U6:U7 W6:W7">
    <cfRule type="expression" dxfId="883" priority="124">
      <formula>IF(OR($T$4=$Y$25,$T$4=$Y$26),1,0)</formula>
    </cfRule>
  </conditionalFormatting>
  <conditionalFormatting sqref="T6:U9 W6:W9">
    <cfRule type="expression" dxfId="882" priority="125">
      <formula>IF($T$4=$Y$27,1,0)</formula>
    </cfRule>
  </conditionalFormatting>
  <conditionalFormatting sqref="T10:U10 W10">
    <cfRule type="expression" dxfId="881" priority="126">
      <formula>IF($T$4=$Y$27,1,0)</formula>
    </cfRule>
  </conditionalFormatting>
  <conditionalFormatting sqref="T6:T9 U6:U7 W6:W7">
    <cfRule type="expression" dxfId="880" priority="127">
      <formula>IF($T$4=$Y$27,1,0)</formula>
    </cfRule>
  </conditionalFormatting>
  <conditionalFormatting sqref="F839">
    <cfRule type="cellIs" dxfId="879" priority="16" operator="equal">
      <formula>0</formula>
    </cfRule>
  </conditionalFormatting>
  <conditionalFormatting sqref="V6:V10">
    <cfRule type="expression" dxfId="878" priority="9">
      <formula>IF($T$4=$Y$19,0,1)</formula>
    </cfRule>
  </conditionalFormatting>
  <conditionalFormatting sqref="V6:V7">
    <cfRule type="expression" dxfId="877" priority="10">
      <formula>IF(OR($T$4=$Y$20,$T$4=$Y$21,$T$4=$Y$22),1,0)</formula>
    </cfRule>
  </conditionalFormatting>
  <conditionalFormatting sqref="V6:V7">
    <cfRule type="expression" dxfId="876" priority="11">
      <formula>IF(OR($T$4=$Y$23,$T$4=$Y$24),1,0)</formula>
    </cfRule>
  </conditionalFormatting>
  <conditionalFormatting sqref="V6:V7">
    <cfRule type="expression" dxfId="875" priority="12">
      <formula>IF(OR($T$4=$Y$25,$T$4=$Y$26),1,0)</formula>
    </cfRule>
  </conditionalFormatting>
  <conditionalFormatting sqref="V6:V9">
    <cfRule type="expression" dxfId="874" priority="13">
      <formula>IF($T$4=$Y$27,1,0)</formula>
    </cfRule>
  </conditionalFormatting>
  <conditionalFormatting sqref="V10">
    <cfRule type="expression" dxfId="873" priority="14">
      <formula>IF($T$4=$Y$27,1,0)</formula>
    </cfRule>
  </conditionalFormatting>
  <conditionalFormatting sqref="V6:V7">
    <cfRule type="expression" dxfId="872" priority="15">
      <formula>IF($T$4=$Y$27,1,0)</formula>
    </cfRule>
  </conditionalFormatting>
  <conditionalFormatting sqref="R8:R10">
    <cfRule type="expression" dxfId="871" priority="8">
      <formula>IF($T$3=$Y$13,0,1)</formula>
    </cfRule>
  </conditionalFormatting>
  <conditionalFormatting sqref="R149:R152">
    <cfRule type="expression" dxfId="870" priority="6">
      <formula>IF($V$3=$Y$3,1,0)</formula>
    </cfRule>
  </conditionalFormatting>
  <conditionalFormatting sqref="R151 R149">
    <cfRule type="expression" dxfId="869" priority="7">
      <formula>IF($V$3=$Y$3,1,0)</formula>
    </cfRule>
  </conditionalFormatting>
  <conditionalFormatting sqref="R147:R148">
    <cfRule type="expression" dxfId="868" priority="4">
      <formula>IF($V$3=$Y$3,1,0)</formula>
    </cfRule>
  </conditionalFormatting>
  <conditionalFormatting sqref="R147:R148">
    <cfRule type="expression" dxfId="867" priority="5">
      <formula>IF($V$3=$Y$3,1,0)</formula>
    </cfRule>
  </conditionalFormatting>
  <conditionalFormatting sqref="F1039">
    <cfRule type="cellIs" dxfId="866" priority="3" operator="equal">
      <formula>0</formula>
    </cfRule>
  </conditionalFormatting>
  <conditionalFormatting sqref="P167:U167">
    <cfRule type="expression" dxfId="865" priority="2">
      <formula>IF(OR($V$3=$Y$2,$V$3=$Y$4),1,0)</formula>
    </cfRule>
  </conditionalFormatting>
  <conditionalFormatting sqref="F918">
    <cfRule type="cellIs" dxfId="864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0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ТИП5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ТИП5</v>
      </c>
      <c r="AC5" s="163" t="str">
        <f ca="1">HYPERLINK("#"&amp;AB5&amp;"!A1","1")</f>
        <v>1</v>
      </c>
      <c r="AD5" s="229">
        <f ca="1">_xlfn.SHEET()-2</f>
        <v>5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IF(AK24&gt;0,ТИП5!ПЛ*7,0)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ТИП5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ТИП5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ТИП5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ТИП5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IF(ТИП5!ПЛ&lt;1000,"Рейка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IF(ТИП5!ПЛ&lt;1000,"Рейка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IF(ТИП5!ПЛ&lt;1000,"Рейка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IF(ТИП5!ПЛ&lt;1000,"Рейка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IF(ТИП5!ПЛ&lt;1000,"Рейка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IF(ТИП5!ПЛ&lt;1000,"Рейка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859" priority="66" operator="equal">
      <formula>"  "</formula>
    </cfRule>
  </conditionalFormatting>
  <conditionalFormatting sqref="Y73:Y74 P73:V75 Z73:AB73 Y75:AB75">
    <cfRule type="expression" dxfId="858" priority="65">
      <formula>IF($V$3=$Y$2,0,1)</formula>
    </cfRule>
  </conditionalFormatting>
  <conditionalFormatting sqref="Y73:Y74 P73:V74 Q139:T140 S154:T155 P131:T131 P139 R154 P147 S147:T148 Q147:Q148">
    <cfRule type="expression" dxfId="857" priority="64">
      <formula>IF($V$3=$Y$3,1,0)</formula>
    </cfRule>
  </conditionalFormatting>
  <conditionalFormatting sqref="Y73:Y74 P73:V74 Q100:S100 Q94:T94 P87:T87 P80:T80 Z73:AB73">
    <cfRule type="expression" dxfId="856" priority="63">
      <formula>IF($V$3=$Y$4,1,0)</formula>
    </cfRule>
  </conditionalFormatting>
  <conditionalFormatting sqref="Z73">
    <cfRule type="expression" dxfId="855" priority="62">
      <formula>IF($V$3=$Y$3,1,0)</formula>
    </cfRule>
  </conditionalFormatting>
  <conditionalFormatting sqref="Y75:Z75">
    <cfRule type="expression" dxfId="854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853" priority="60">
      <formula>IF($V$3=$Y$4,1,0)</formula>
    </cfRule>
  </conditionalFormatting>
  <conditionalFormatting sqref="AA73">
    <cfRule type="expression" dxfId="852" priority="59">
      <formula>IF($V$3=$Y$3,1,0)</formula>
    </cfRule>
  </conditionalFormatting>
  <conditionalFormatting sqref="AA75">
    <cfRule type="expression" dxfId="851" priority="58">
      <formula>IF($V$3=$Y$3,1,0)</formula>
    </cfRule>
  </conditionalFormatting>
  <conditionalFormatting sqref="F828:F832 F837:F838 F840">
    <cfRule type="cellIs" dxfId="850" priority="57" operator="equal">
      <formula>0</formula>
    </cfRule>
  </conditionalFormatting>
  <conditionalFormatting sqref="I20">
    <cfRule type="cellIs" dxfId="849" priority="56" operator="equal">
      <formula>"  "</formula>
    </cfRule>
  </conditionalFormatting>
  <conditionalFormatting sqref="I48">
    <cfRule type="cellIs" dxfId="848" priority="55" operator="equal">
      <formula>"  "</formula>
    </cfRule>
  </conditionalFormatting>
  <conditionalFormatting sqref="F845">
    <cfRule type="cellIs" dxfId="847" priority="54" operator="equal">
      <formula>0</formula>
    </cfRule>
  </conditionalFormatting>
  <conditionalFormatting sqref="F844">
    <cfRule type="cellIs" dxfId="846" priority="53" operator="equal">
      <formula>0</formula>
    </cfRule>
  </conditionalFormatting>
  <conditionalFormatting sqref="F846">
    <cfRule type="cellIs" dxfId="845" priority="52" operator="equal">
      <formula>0</formula>
    </cfRule>
  </conditionalFormatting>
  <conditionalFormatting sqref="F847:F853">
    <cfRule type="cellIs" dxfId="844" priority="51" operator="equal">
      <formula>0</formula>
    </cfRule>
  </conditionalFormatting>
  <conditionalFormatting sqref="I49:I58">
    <cfRule type="cellIs" dxfId="843" priority="50" operator="equal">
      <formula>"  "</formula>
    </cfRule>
  </conditionalFormatting>
  <conditionalFormatting sqref="U80:W80">
    <cfRule type="expression" dxfId="842" priority="67">
      <formula>IF($AE$5=1,1,0)</formula>
    </cfRule>
  </conditionalFormatting>
  <conditionalFormatting sqref="U81:W81 U83:W83 U85:W85">
    <cfRule type="expression" dxfId="841" priority="68">
      <formula>IF($AE$5=1,1,0)</formula>
    </cfRule>
  </conditionalFormatting>
  <conditionalFormatting sqref="U82:W82 U84:W84">
    <cfRule type="expression" dxfId="840" priority="69">
      <formula>IF($AE$5=1,1,0)</formula>
    </cfRule>
  </conditionalFormatting>
  <conditionalFormatting sqref="U87:W87">
    <cfRule type="expression" dxfId="839" priority="70">
      <formula>IF($AE$6=1,1,0)</formula>
    </cfRule>
  </conditionalFormatting>
  <conditionalFormatting sqref="U88:W88 U90:W90 U92:W92">
    <cfRule type="expression" dxfId="838" priority="71">
      <formula>IF($AE$6=1,1,0)</formula>
    </cfRule>
  </conditionalFormatting>
  <conditionalFormatting sqref="U89:W89 W91">
    <cfRule type="expression" dxfId="837" priority="72">
      <formula>IF($AE$6=1,1,0)</formula>
    </cfRule>
  </conditionalFormatting>
  <conditionalFormatting sqref="U94:W94">
    <cfRule type="expression" dxfId="836" priority="73">
      <formula>IF($AE$7=1,1,0)</formula>
    </cfRule>
  </conditionalFormatting>
  <conditionalFormatting sqref="U95:W95 U97:W97">
    <cfRule type="expression" dxfId="835" priority="74">
      <formula>IF($AE$7=1,1,0)</formula>
    </cfRule>
  </conditionalFormatting>
  <conditionalFormatting sqref="U96:W96 U98:W98">
    <cfRule type="expression" dxfId="834" priority="75">
      <formula>IF($AE$7=1,1,0)</formula>
    </cfRule>
  </conditionalFormatting>
  <conditionalFormatting sqref="U131:W132">
    <cfRule type="expression" dxfId="833" priority="76">
      <formula>IF($AF$5=1,1,0)</formula>
    </cfRule>
  </conditionalFormatting>
  <conditionalFormatting sqref="U133:W133 U135:W135 U137:W137">
    <cfRule type="expression" dxfId="832" priority="77">
      <formula>IF($AF$5=1,1,0)</formula>
    </cfRule>
  </conditionalFormatting>
  <conditionalFormatting sqref="U134:W134 U136:W136">
    <cfRule type="expression" dxfId="831" priority="78">
      <formula>IF($AF$5=1,1,0)</formula>
    </cfRule>
  </conditionalFormatting>
  <conditionalFormatting sqref="U139:W140">
    <cfRule type="expression" dxfId="830" priority="79">
      <formula>IF($AF$6=1,1,0)</formula>
    </cfRule>
  </conditionalFormatting>
  <conditionalFormatting sqref="U141:W141 U143:W143 U145:W145">
    <cfRule type="expression" dxfId="829" priority="80">
      <formula>IF($AF$6=1,1,0)</formula>
    </cfRule>
  </conditionalFormatting>
  <conditionalFormatting sqref="U142:W142 U144:W144">
    <cfRule type="expression" dxfId="828" priority="81">
      <formula>IF($AF$6=1,1,0)</formula>
    </cfRule>
  </conditionalFormatting>
  <conditionalFormatting sqref="U147:W148">
    <cfRule type="expression" dxfId="827" priority="82">
      <formula>IF($AF$7=1,1,0)</formula>
    </cfRule>
  </conditionalFormatting>
  <conditionalFormatting sqref="U149:W149 U151:W151">
    <cfRule type="expression" dxfId="826" priority="83">
      <formula>IF($AF$7=1,1,0)</formula>
    </cfRule>
  </conditionalFormatting>
  <conditionalFormatting sqref="U150:W150 U152:W152">
    <cfRule type="expression" dxfId="825" priority="84">
      <formula>IF($AF$7=1,1,0)</formula>
    </cfRule>
  </conditionalFormatting>
  <conditionalFormatting sqref="I986:I988">
    <cfRule type="cellIs" dxfId="824" priority="48" operator="equal">
      <formula>0</formula>
    </cfRule>
  </conditionalFormatting>
  <conditionalFormatting sqref="I984:I985">
    <cfRule type="cellIs" dxfId="823" priority="49" operator="equal">
      <formula>0</formula>
    </cfRule>
  </conditionalFormatting>
  <conditionalFormatting sqref="W14:W15">
    <cfRule type="expression" dxfId="822" priority="47">
      <formula>IF($W$16=" ",0,1)</formula>
    </cfRule>
  </conditionalFormatting>
  <conditionalFormatting sqref="I842">
    <cfRule type="cellIs" dxfId="821" priority="46" operator="equal">
      <formula>0</formula>
    </cfRule>
  </conditionalFormatting>
  <conditionalFormatting sqref="AB73">
    <cfRule type="expression" dxfId="820" priority="45">
      <formula>IF($V$3=$Y$3,1,0)</formula>
    </cfRule>
  </conditionalFormatting>
  <conditionalFormatting sqref="AB75">
    <cfRule type="expression" dxfId="819" priority="44">
      <formula>IF($V$3=$Y$3,1,0)</formula>
    </cfRule>
  </conditionalFormatting>
  <conditionalFormatting sqref="G1008">
    <cfRule type="cellIs" dxfId="818" priority="43" operator="equal">
      <formula>0</formula>
    </cfRule>
  </conditionalFormatting>
  <conditionalFormatting sqref="I62">
    <cfRule type="cellIs" dxfId="817" priority="42" operator="equal">
      <formula>"  "</formula>
    </cfRule>
  </conditionalFormatting>
  <conditionalFormatting sqref="I1018:I1021">
    <cfRule type="cellIs" dxfId="816" priority="41" operator="equal">
      <formula>0</formula>
    </cfRule>
  </conditionalFormatting>
  <conditionalFormatting sqref="F827">
    <cfRule type="cellIs" dxfId="815" priority="40" operator="equal">
      <formula>0</formula>
    </cfRule>
  </conditionalFormatting>
  <conditionalFormatting sqref="F921">
    <cfRule type="cellIs" dxfId="814" priority="39" operator="equal">
      <formula>0</formula>
    </cfRule>
  </conditionalFormatting>
  <conditionalFormatting sqref="F1038">
    <cfRule type="cellIs" dxfId="813" priority="38" operator="equal">
      <formula>0</formula>
    </cfRule>
  </conditionalFormatting>
  <conditionalFormatting sqref="R3">
    <cfRule type="expression" dxfId="812" priority="85">
      <formula>SUM($F$16:$F$21)=0</formula>
    </cfRule>
    <cfRule type="expression" dxfId="811" priority="86">
      <formula>SUM($F$16:$F$21)&lt;&gt;$R$3</formula>
    </cfRule>
  </conditionalFormatting>
  <conditionalFormatting sqref="F917">
    <cfRule type="cellIs" dxfId="810" priority="37" operator="equal">
      <formula>0</formula>
    </cfRule>
  </conditionalFormatting>
  <conditionalFormatting sqref="U91:V91">
    <cfRule type="expression" dxfId="809" priority="36">
      <formula>IF($AE$6=1,1,0)</formula>
    </cfRule>
  </conditionalFormatting>
  <conditionalFormatting sqref="F843">
    <cfRule type="cellIs" dxfId="808" priority="35" operator="equal">
      <formula>0</formula>
    </cfRule>
  </conditionalFormatting>
  <conditionalFormatting sqref="P4">
    <cfRule type="expression" dxfId="807" priority="33">
      <formula>IF(AA4&lt;3%,1,0)</formula>
    </cfRule>
    <cfRule type="expression" dxfId="806" priority="34">
      <formula>IF(AA4&gt;3%,1,0)</formula>
    </cfRule>
  </conditionalFormatting>
  <conditionalFormatting sqref="F841">
    <cfRule type="cellIs" dxfId="805" priority="32" operator="equal">
      <formula>0</formula>
    </cfRule>
  </conditionalFormatting>
  <conditionalFormatting sqref="S6:S10 P8:Q10 P6:R7">
    <cfRule type="expression" dxfId="804" priority="87">
      <formula>IF($T$3=$Y$13,0,1)</formula>
    </cfRule>
  </conditionalFormatting>
  <conditionalFormatting sqref="Q99:S101 Q93:T98 P103:U106 P79:T92">
    <cfRule type="expression" dxfId="803" priority="88">
      <formula>IF($V$3=$Y$4,1,0)</formula>
    </cfRule>
  </conditionalFormatting>
  <conditionalFormatting sqref="P160:S163 T160:U161 P130:T145 Q146:T146 R153:T156 S147:T152 P147:Q152">
    <cfRule type="expression" dxfId="802" priority="89">
      <formula>IF($V$3=$Y$3,1,0)</formula>
    </cfRule>
  </conditionalFormatting>
  <conditionalFormatting sqref="P6:P10 Q6:S7">
    <cfRule type="expression" dxfId="801" priority="90">
      <formula>IF(OR($T$3=$Y$14,$T$3=$Y$15),1,0)</formula>
    </cfRule>
  </conditionalFormatting>
  <conditionalFormatting sqref="S14:W17">
    <cfRule type="expression" dxfId="800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799" priority="93">
      <formula>IF($V$3=$Y$3,1,0)</formula>
    </cfRule>
  </conditionalFormatting>
  <conditionalFormatting sqref="P77:V77">
    <cfRule type="expression" dxfId="798" priority="94">
      <formula>IF($S$77=0%,1,0)</formula>
    </cfRule>
    <cfRule type="expression" dxfId="797" priority="95">
      <formula>IF(AND(OR($S$77&lt;105%,$S$77&gt;130%),$T$3&lt;&gt;$Y$13),1,0)</formula>
    </cfRule>
  </conditionalFormatting>
  <conditionalFormatting sqref="U5:V5">
    <cfRule type="expression" dxfId="796" priority="96">
      <formula>IF($V$5=$AA$22,0,1)</formula>
    </cfRule>
    <cfRule type="expression" dxfId="795" priority="97">
      <formula>IF(AND($T$3=$Y$13,$V$4=$Y$12),1,0)</formula>
    </cfRule>
  </conditionalFormatting>
  <conditionalFormatting sqref="P108:U113">
    <cfRule type="expression" dxfId="794" priority="98">
      <formula>IF(OR($V$3=$Y$2,$V$3=$Y$3),1,0)</formula>
    </cfRule>
  </conditionalFormatting>
  <conditionalFormatting sqref="P165:U166">
    <cfRule type="expression" dxfId="793" priority="99">
      <formula>IF(OR($V$3=$Y$2,$V$3=$Y$4),1,0)</formula>
    </cfRule>
  </conditionalFormatting>
  <conditionalFormatting sqref="R226">
    <cfRule type="expression" dxfId="792" priority="31">
      <formula>IF($P$228="Средний расход",1,0)</formula>
    </cfRule>
  </conditionalFormatting>
  <conditionalFormatting sqref="S12:U13">
    <cfRule type="expression" dxfId="791" priority="100">
      <formula>IF($V$4=$AA$11,1,0)</formula>
    </cfRule>
    <cfRule type="expression" dxfId="790" priority="101">
      <formula>IF(OR($V$4=$Y$11,$V$4=$A$10),0,1)</formula>
    </cfRule>
    <cfRule type="expression" dxfId="789" priority="102">
      <formula>IF(OR($V$4=$Y$11,$V$4=$A$10),0,1)</formula>
    </cfRule>
  </conditionalFormatting>
  <conditionalFormatting sqref="S14:U17">
    <cfRule type="expression" dxfId="788" priority="103">
      <formula>IF(AND($T$3&lt;&gt;$Y$13,OR($V$4=$Y$12,$V$4=$AA$7)),1,0)</formula>
    </cfRule>
  </conditionalFormatting>
  <conditionalFormatting sqref="V14:W17">
    <cfRule type="expression" dxfId="787" priority="104">
      <formula>IF(AND($T$3&lt;&gt;$Y$13,OR($V$4=$AA$7,$V$4=$Y$12)),1,0)</formula>
    </cfRule>
  </conditionalFormatting>
  <conditionalFormatting sqref="P228:W294">
    <cfRule type="expression" dxfId="786" priority="105">
      <formula>IF(AND($T$3=$AA$5,$T$4=$AA$5),1,0)</formula>
    </cfRule>
  </conditionalFormatting>
  <conditionalFormatting sqref="P228:T230 P240:Q294 S240:T294 V240:W294">
    <cfRule type="expression" dxfId="785" priority="106">
      <formula>IF(AND($T$3=$AA$5,$T$4&lt;&gt;$AA$5),1,0)</formula>
    </cfRule>
  </conditionalFormatting>
  <conditionalFormatting sqref="P232:Q237 S232:T237 V232:W237 P226:R226">
    <cfRule type="expression" dxfId="784" priority="107">
      <formula>IF(AND($T$3&lt;&gt;$AA$5,$T$4&lt;&gt;$AA$5),1,0)</formula>
    </cfRule>
  </conditionalFormatting>
  <conditionalFormatting sqref="P12:Q60 S19:T52">
    <cfRule type="expression" dxfId="783" priority="92">
      <formula>IF(AND(OR($V$4=$AA$10,$V$4=$AA$11),$AA$3=$AA$5),1,0)</formula>
    </cfRule>
  </conditionalFormatting>
  <conditionalFormatting sqref="X4">
    <cfRule type="expression" dxfId="782" priority="108">
      <formula>IF($V$4=$AA$10,0,1)</formula>
    </cfRule>
  </conditionalFormatting>
  <conditionalFormatting sqref="W5">
    <cfRule type="expression" dxfId="781" priority="109">
      <formula>IF(OR($V$4=$AA$10,$V$4=$AA$11),0,1)</formula>
    </cfRule>
  </conditionalFormatting>
  <conditionalFormatting sqref="U2:W2">
    <cfRule type="expression" dxfId="780" priority="30">
      <formula>IF($R$4=$Y$6,1,0)</formula>
    </cfRule>
  </conditionalFormatting>
  <conditionalFormatting sqref="F835">
    <cfRule type="cellIs" dxfId="779" priority="29" operator="equal">
      <formula>0</formula>
    </cfRule>
  </conditionalFormatting>
  <conditionalFormatting sqref="P170:V176">
    <cfRule type="expression" dxfId="778" priority="20">
      <formula>IF($V$2=$AA$19,1,0)</formula>
    </cfRule>
  </conditionalFormatting>
  <conditionalFormatting sqref="F1041">
    <cfRule type="cellIs" dxfId="777" priority="27" operator="equal">
      <formula>0</formula>
    </cfRule>
  </conditionalFormatting>
  <conditionalFormatting sqref="R173">
    <cfRule type="expression" dxfId="776" priority="28">
      <formula>IF($R$173&gt;0,0,1)</formula>
    </cfRule>
  </conditionalFormatting>
  <conditionalFormatting sqref="R172">
    <cfRule type="expression" dxfId="775" priority="26">
      <formula>IF($R$172&gt;0,0,1)</formula>
    </cfRule>
  </conditionalFormatting>
  <conditionalFormatting sqref="R176">
    <cfRule type="expression" dxfId="774" priority="25">
      <formula>IF($R$176&gt;0,0,1)</formula>
    </cfRule>
  </conditionalFormatting>
  <conditionalFormatting sqref="L4">
    <cfRule type="expression" dxfId="773" priority="22">
      <formula>IF($L$4&lt;&gt;0,1,0)</formula>
    </cfRule>
    <cfRule type="expression" dxfId="772" priority="23">
      <formula>IF($J$4=$AJ$15,1,0)</formula>
    </cfRule>
  </conditionalFormatting>
  <conditionalFormatting sqref="P6:P10 Q6:S6">
    <cfRule type="expression" dxfId="771" priority="110">
      <formula>IF(OR($T$3=$Y$16,$T$3=$Y$17),1,0)</formula>
    </cfRule>
  </conditionalFormatting>
  <conditionalFormatting sqref="R175">
    <cfRule type="expression" dxfId="770" priority="24">
      <formula>IF($R$175&gt;0,0,1)</formula>
    </cfRule>
  </conditionalFormatting>
  <conditionalFormatting sqref="R174">
    <cfRule type="expression" dxfId="769" priority="21">
      <formula>IF($R$174&gt;0,0,1)</formula>
    </cfRule>
  </conditionalFormatting>
  <conditionalFormatting sqref="V11 T11">
    <cfRule type="expression" dxfId="768" priority="18">
      <formula>IF($T$2=$Z$12,1,0)</formula>
    </cfRule>
    <cfRule type="expression" dxfId="767" priority="19">
      <formula>IF($T$2=$Z$11,1,0)</formula>
    </cfRule>
  </conditionalFormatting>
  <conditionalFormatting sqref="F854">
    <cfRule type="cellIs" dxfId="766" priority="17" operator="equal">
      <formula>0</formula>
    </cfRule>
  </conditionalFormatting>
  <conditionalFormatting sqref="T6:U10 W6:W10">
    <cfRule type="expression" dxfId="765" priority="111">
      <formula>IF($T$4=$Y$19,0,1)</formula>
    </cfRule>
  </conditionalFormatting>
  <conditionalFormatting sqref="P12:Q13 S19:T20">
    <cfRule type="expression" dxfId="764" priority="112">
      <formula>IF(AND($V$4&lt;&gt;$Y$11,OR($T$4&lt;&gt;$Y$19,$T$3&lt;&gt;$Y$13)),1,0)</formula>
    </cfRule>
  </conditionalFormatting>
  <conditionalFormatting sqref="P78:V78">
    <cfRule type="expression" dxfId="763" priority="113">
      <formula>IF(AND($S$78&gt;35%,$T$4&lt;&gt;$Y$19),1,0)</formula>
    </cfRule>
  </conditionalFormatting>
  <conditionalFormatting sqref="S21:T52 P14:Q60">
    <cfRule type="expression" dxfId="762" priority="114">
      <formula>IF(AND($V$4&lt;&gt;$Y$11,OR($T$4&lt;&gt;$Y$19,$T$3&lt;&gt;$Y$13)),1,0)</formula>
    </cfRule>
  </conditionalFormatting>
  <conditionalFormatting sqref="V19:W23">
    <cfRule type="expression" dxfId="761" priority="115">
      <formula>IF(OR($T$3&lt;&gt;$Y$19,$T$4&lt;&gt;$Y$19),0,1)</formula>
    </cfRule>
  </conditionalFormatting>
  <conditionalFormatting sqref="V19:W20">
    <cfRule type="expression" dxfId="760" priority="116">
      <formula>IF(OR($T$3&lt;&gt;$Y$19,$T$4&lt;&gt;$Y$19),1,0)</formula>
    </cfRule>
  </conditionalFormatting>
  <conditionalFormatting sqref="V21:W23">
    <cfRule type="expression" dxfId="759" priority="117">
      <formula>IF(OR($T$3&lt;&gt;$Y$19,$T$4&lt;&gt;$Y$19),1,0)</formula>
    </cfRule>
  </conditionalFormatting>
  <conditionalFormatting sqref="S3:T4">
    <cfRule type="expression" dxfId="758" priority="118">
      <formula>IF(OR(AND($S$78&gt;35%,$T$4&lt;&gt;$Y$19),AND($S$77&gt;130%,$T$3&lt;&gt;$Y$13)),1,0)</formula>
    </cfRule>
  </conditionalFormatting>
  <conditionalFormatting sqref="S21:S52 P14:P60">
    <cfRule type="expression" dxfId="757" priority="119">
      <formula>IF(AND($T$5=$AA$12,$V$4&lt;&gt;$Y$11,$P$15&gt;0,OR($T$4&lt;&gt;$Y$19,$T$3&lt;&gt;$Y$13),$P$14&lt;$R$3),1,0)</formula>
    </cfRule>
  </conditionalFormatting>
  <conditionalFormatting sqref="P6 P8:P10 Q6:S7">
    <cfRule type="expression" dxfId="756" priority="120">
      <formula>IF($T$3=$Y$18,1,0)</formula>
    </cfRule>
  </conditionalFormatting>
  <conditionalFormatting sqref="S2:T2">
    <cfRule type="expression" dxfId="755" priority="121">
      <formula>IF(AND($T$3=$Y$13,$T$4&lt;&gt;$Y$19),0,1)</formula>
    </cfRule>
  </conditionalFormatting>
  <conditionalFormatting sqref="U6:U7 W6:W7 T6:T10">
    <cfRule type="expression" dxfId="754" priority="122">
      <formula>IF(OR($T$4=$Y$20,$T$4=$Y$21,$T$4=$Y$22),1,0)</formula>
    </cfRule>
  </conditionalFormatting>
  <conditionalFormatting sqref="T6:T10 U6:U7 W6:W7">
    <cfRule type="expression" dxfId="753" priority="123">
      <formula>IF(OR($T$4=$Y$23,$T$4=$Y$24),1,0)</formula>
    </cfRule>
  </conditionalFormatting>
  <conditionalFormatting sqref="T6:T10 U6:U7 W6:W7">
    <cfRule type="expression" dxfId="752" priority="124">
      <formula>IF(OR($T$4=$Y$25,$T$4=$Y$26),1,0)</formula>
    </cfRule>
  </conditionalFormatting>
  <conditionalFormatting sqref="T6:U9 W6:W9">
    <cfRule type="expression" dxfId="751" priority="125">
      <formula>IF($T$4=$Y$27,1,0)</formula>
    </cfRule>
  </conditionalFormatting>
  <conditionalFormatting sqref="T10:U10 W10">
    <cfRule type="expression" dxfId="750" priority="126">
      <formula>IF($T$4=$Y$27,1,0)</formula>
    </cfRule>
  </conditionalFormatting>
  <conditionalFormatting sqref="T6:T9 U6:U7 W6:W7">
    <cfRule type="expression" dxfId="749" priority="127">
      <formula>IF($T$4=$Y$27,1,0)</formula>
    </cfRule>
  </conditionalFormatting>
  <conditionalFormatting sqref="F839">
    <cfRule type="cellIs" dxfId="748" priority="16" operator="equal">
      <formula>0</formula>
    </cfRule>
  </conditionalFormatting>
  <conditionalFormatting sqref="V6:V10">
    <cfRule type="expression" dxfId="747" priority="9">
      <formula>IF($T$4=$Y$19,0,1)</formula>
    </cfRule>
  </conditionalFormatting>
  <conditionalFormatting sqref="V6:V7">
    <cfRule type="expression" dxfId="746" priority="10">
      <formula>IF(OR($T$4=$Y$20,$T$4=$Y$21,$T$4=$Y$22),1,0)</formula>
    </cfRule>
  </conditionalFormatting>
  <conditionalFormatting sqref="V6:V7">
    <cfRule type="expression" dxfId="745" priority="11">
      <formula>IF(OR($T$4=$Y$23,$T$4=$Y$24),1,0)</formula>
    </cfRule>
  </conditionalFormatting>
  <conditionalFormatting sqref="V6:V7">
    <cfRule type="expression" dxfId="744" priority="12">
      <formula>IF(OR($T$4=$Y$25,$T$4=$Y$26),1,0)</formula>
    </cfRule>
  </conditionalFormatting>
  <conditionalFormatting sqref="V6:V9">
    <cfRule type="expression" dxfId="743" priority="13">
      <formula>IF($T$4=$Y$27,1,0)</formula>
    </cfRule>
  </conditionalFormatting>
  <conditionalFormatting sqref="V10">
    <cfRule type="expression" dxfId="742" priority="14">
      <formula>IF($T$4=$Y$27,1,0)</formula>
    </cfRule>
  </conditionalFormatting>
  <conditionalFormatting sqref="V6:V7">
    <cfRule type="expression" dxfId="741" priority="15">
      <formula>IF($T$4=$Y$27,1,0)</formula>
    </cfRule>
  </conditionalFormatting>
  <conditionalFormatting sqref="R8:R10">
    <cfRule type="expression" dxfId="740" priority="8">
      <formula>IF($T$3=$Y$13,0,1)</formula>
    </cfRule>
  </conditionalFormatting>
  <conditionalFormatting sqref="R149:R152">
    <cfRule type="expression" dxfId="739" priority="6">
      <formula>IF($V$3=$Y$3,1,0)</formula>
    </cfRule>
  </conditionalFormatting>
  <conditionalFormatting sqref="R151 R149">
    <cfRule type="expression" dxfId="738" priority="7">
      <formula>IF($V$3=$Y$3,1,0)</formula>
    </cfRule>
  </conditionalFormatting>
  <conditionalFormatting sqref="R147:R148">
    <cfRule type="expression" dxfId="737" priority="4">
      <formula>IF($V$3=$Y$3,1,0)</formula>
    </cfRule>
  </conditionalFormatting>
  <conditionalFormatting sqref="R147:R148">
    <cfRule type="expression" dxfId="736" priority="5">
      <formula>IF($V$3=$Y$3,1,0)</formula>
    </cfRule>
  </conditionalFormatting>
  <conditionalFormatting sqref="F1039">
    <cfRule type="cellIs" dxfId="735" priority="3" operator="equal">
      <formula>0</formula>
    </cfRule>
  </conditionalFormatting>
  <conditionalFormatting sqref="P167:U167">
    <cfRule type="expression" dxfId="734" priority="2">
      <formula>IF(OR($V$3=$Y$2,$V$3=$Y$4),1,0)</formula>
    </cfRule>
  </conditionalFormatting>
  <conditionalFormatting sqref="F918">
    <cfRule type="cellIs" dxfId="733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1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ТИП6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ТИП6</v>
      </c>
      <c r="AC5" s="163" t="str">
        <f ca="1">HYPERLINK("#"&amp;AB5&amp;"!A1","1")</f>
        <v>1</v>
      </c>
      <c r="AD5" s="229">
        <f ca="1">_xlfn.SHEET()-2</f>
        <v>6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IF(AK24&gt;0,ТИП6!ПЛ*7,0)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ТИП6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ТИП6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ТИП6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ТИП6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IF(ТИП6!ПЛ&lt;1000,"Рейка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IF(ТИП6!ПЛ&lt;1000,"Рейка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IF(ТИП6!ПЛ&lt;1000,"Рейка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IF(ТИП6!ПЛ&lt;1000,"Рейка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IF(ТИП6!ПЛ&lt;1000,"Рейка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IF(ТИП6!ПЛ&lt;1000,"Рейка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728" priority="66" operator="equal">
      <formula>"  "</formula>
    </cfRule>
  </conditionalFormatting>
  <conditionalFormatting sqref="Y73:Y74 P73:V75 Z73:AB73 Y75:AB75">
    <cfRule type="expression" dxfId="727" priority="65">
      <formula>IF($V$3=$Y$2,0,1)</formula>
    </cfRule>
  </conditionalFormatting>
  <conditionalFormatting sqref="Y73:Y74 P73:V74 Q139:T140 S154:T155 P131:T131 P139 R154 P147 S147:T148 Q147:Q148">
    <cfRule type="expression" dxfId="726" priority="64">
      <formula>IF($V$3=$Y$3,1,0)</formula>
    </cfRule>
  </conditionalFormatting>
  <conditionalFormatting sqref="Y73:Y74 P73:V74 Q100:S100 Q94:T94 P87:T87 P80:T80 Z73:AB73">
    <cfRule type="expression" dxfId="725" priority="63">
      <formula>IF($V$3=$Y$4,1,0)</formula>
    </cfRule>
  </conditionalFormatting>
  <conditionalFormatting sqref="Z73">
    <cfRule type="expression" dxfId="724" priority="62">
      <formula>IF($V$3=$Y$3,1,0)</formula>
    </cfRule>
  </conditionalFormatting>
  <conditionalFormatting sqref="Y75:Z75">
    <cfRule type="expression" dxfId="723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722" priority="60">
      <formula>IF($V$3=$Y$4,1,0)</formula>
    </cfRule>
  </conditionalFormatting>
  <conditionalFormatting sqref="AA73">
    <cfRule type="expression" dxfId="721" priority="59">
      <formula>IF($V$3=$Y$3,1,0)</formula>
    </cfRule>
  </conditionalFormatting>
  <conditionalFormatting sqref="AA75">
    <cfRule type="expression" dxfId="720" priority="58">
      <formula>IF($V$3=$Y$3,1,0)</formula>
    </cfRule>
  </conditionalFormatting>
  <conditionalFormatting sqref="F828:F832 F837:F838 F840">
    <cfRule type="cellIs" dxfId="719" priority="57" operator="equal">
      <formula>0</formula>
    </cfRule>
  </conditionalFormatting>
  <conditionalFormatting sqref="I20">
    <cfRule type="cellIs" dxfId="718" priority="56" operator="equal">
      <formula>"  "</formula>
    </cfRule>
  </conditionalFormatting>
  <conditionalFormatting sqref="I48">
    <cfRule type="cellIs" dxfId="717" priority="55" operator="equal">
      <formula>"  "</formula>
    </cfRule>
  </conditionalFormatting>
  <conditionalFormatting sqref="F845">
    <cfRule type="cellIs" dxfId="716" priority="54" operator="equal">
      <formula>0</formula>
    </cfRule>
  </conditionalFormatting>
  <conditionalFormatting sqref="F844">
    <cfRule type="cellIs" dxfId="715" priority="53" operator="equal">
      <formula>0</formula>
    </cfRule>
  </conditionalFormatting>
  <conditionalFormatting sqref="F846">
    <cfRule type="cellIs" dxfId="714" priority="52" operator="equal">
      <formula>0</formula>
    </cfRule>
  </conditionalFormatting>
  <conditionalFormatting sqref="F847:F853">
    <cfRule type="cellIs" dxfId="713" priority="51" operator="equal">
      <formula>0</formula>
    </cfRule>
  </conditionalFormatting>
  <conditionalFormatting sqref="I49:I58">
    <cfRule type="cellIs" dxfId="712" priority="50" operator="equal">
      <formula>"  "</formula>
    </cfRule>
  </conditionalFormatting>
  <conditionalFormatting sqref="U80:W80">
    <cfRule type="expression" dxfId="711" priority="67">
      <formula>IF($AE$5=1,1,0)</formula>
    </cfRule>
  </conditionalFormatting>
  <conditionalFormatting sqref="U81:W81 U83:W83 U85:W85">
    <cfRule type="expression" dxfId="710" priority="68">
      <formula>IF($AE$5=1,1,0)</formula>
    </cfRule>
  </conditionalFormatting>
  <conditionalFormatting sqref="U82:W82 U84:W84">
    <cfRule type="expression" dxfId="709" priority="69">
      <formula>IF($AE$5=1,1,0)</formula>
    </cfRule>
  </conditionalFormatting>
  <conditionalFormatting sqref="U87:W87">
    <cfRule type="expression" dxfId="708" priority="70">
      <formula>IF($AE$6=1,1,0)</formula>
    </cfRule>
  </conditionalFormatting>
  <conditionalFormatting sqref="U88:W88 U90:W90 U92:W92">
    <cfRule type="expression" dxfId="707" priority="71">
      <formula>IF($AE$6=1,1,0)</formula>
    </cfRule>
  </conditionalFormatting>
  <conditionalFormatting sqref="U89:W89 W91">
    <cfRule type="expression" dxfId="706" priority="72">
      <formula>IF($AE$6=1,1,0)</formula>
    </cfRule>
  </conditionalFormatting>
  <conditionalFormatting sqref="U94:W94">
    <cfRule type="expression" dxfId="705" priority="73">
      <formula>IF($AE$7=1,1,0)</formula>
    </cfRule>
  </conditionalFormatting>
  <conditionalFormatting sqref="U95:W95 U97:W97">
    <cfRule type="expression" dxfId="704" priority="74">
      <formula>IF($AE$7=1,1,0)</formula>
    </cfRule>
  </conditionalFormatting>
  <conditionalFormatting sqref="U96:W96 U98:W98">
    <cfRule type="expression" dxfId="703" priority="75">
      <formula>IF($AE$7=1,1,0)</formula>
    </cfRule>
  </conditionalFormatting>
  <conditionalFormatting sqref="U131:W132">
    <cfRule type="expression" dxfId="702" priority="76">
      <formula>IF($AF$5=1,1,0)</formula>
    </cfRule>
  </conditionalFormatting>
  <conditionalFormatting sqref="U133:W133 U135:W135 U137:W137">
    <cfRule type="expression" dxfId="701" priority="77">
      <formula>IF($AF$5=1,1,0)</formula>
    </cfRule>
  </conditionalFormatting>
  <conditionalFormatting sqref="U134:W134 U136:W136">
    <cfRule type="expression" dxfId="700" priority="78">
      <formula>IF($AF$5=1,1,0)</formula>
    </cfRule>
  </conditionalFormatting>
  <conditionalFormatting sqref="U139:W140">
    <cfRule type="expression" dxfId="699" priority="79">
      <formula>IF($AF$6=1,1,0)</formula>
    </cfRule>
  </conditionalFormatting>
  <conditionalFormatting sqref="U141:W141 U143:W143 U145:W145">
    <cfRule type="expression" dxfId="698" priority="80">
      <formula>IF($AF$6=1,1,0)</formula>
    </cfRule>
  </conditionalFormatting>
  <conditionalFormatting sqref="U142:W142 U144:W144">
    <cfRule type="expression" dxfId="697" priority="81">
      <formula>IF($AF$6=1,1,0)</formula>
    </cfRule>
  </conditionalFormatting>
  <conditionalFormatting sqref="U147:W148">
    <cfRule type="expression" dxfId="696" priority="82">
      <formula>IF($AF$7=1,1,0)</formula>
    </cfRule>
  </conditionalFormatting>
  <conditionalFormatting sqref="U149:W149 U151:W151">
    <cfRule type="expression" dxfId="695" priority="83">
      <formula>IF($AF$7=1,1,0)</formula>
    </cfRule>
  </conditionalFormatting>
  <conditionalFormatting sqref="U150:W150 U152:W152">
    <cfRule type="expression" dxfId="694" priority="84">
      <formula>IF($AF$7=1,1,0)</formula>
    </cfRule>
  </conditionalFormatting>
  <conditionalFormatting sqref="I986:I988">
    <cfRule type="cellIs" dxfId="693" priority="48" operator="equal">
      <formula>0</formula>
    </cfRule>
  </conditionalFormatting>
  <conditionalFormatting sqref="I984:I985">
    <cfRule type="cellIs" dxfId="692" priority="49" operator="equal">
      <formula>0</formula>
    </cfRule>
  </conditionalFormatting>
  <conditionalFormatting sqref="W14:W15">
    <cfRule type="expression" dxfId="691" priority="47">
      <formula>IF($W$16=" ",0,1)</formula>
    </cfRule>
  </conditionalFormatting>
  <conditionalFormatting sqref="I842">
    <cfRule type="cellIs" dxfId="690" priority="46" operator="equal">
      <formula>0</formula>
    </cfRule>
  </conditionalFormatting>
  <conditionalFormatting sqref="AB73">
    <cfRule type="expression" dxfId="689" priority="45">
      <formula>IF($V$3=$Y$3,1,0)</formula>
    </cfRule>
  </conditionalFormatting>
  <conditionalFormatting sqref="AB75">
    <cfRule type="expression" dxfId="688" priority="44">
      <formula>IF($V$3=$Y$3,1,0)</formula>
    </cfRule>
  </conditionalFormatting>
  <conditionalFormatting sqref="G1008">
    <cfRule type="cellIs" dxfId="687" priority="43" operator="equal">
      <formula>0</formula>
    </cfRule>
  </conditionalFormatting>
  <conditionalFormatting sqref="I62">
    <cfRule type="cellIs" dxfId="686" priority="42" operator="equal">
      <formula>"  "</formula>
    </cfRule>
  </conditionalFormatting>
  <conditionalFormatting sqref="I1018:I1021">
    <cfRule type="cellIs" dxfId="685" priority="41" operator="equal">
      <formula>0</formula>
    </cfRule>
  </conditionalFormatting>
  <conditionalFormatting sqref="F827">
    <cfRule type="cellIs" dxfId="684" priority="40" operator="equal">
      <formula>0</formula>
    </cfRule>
  </conditionalFormatting>
  <conditionalFormatting sqref="F921">
    <cfRule type="cellIs" dxfId="683" priority="39" operator="equal">
      <formula>0</formula>
    </cfRule>
  </conditionalFormatting>
  <conditionalFormatting sqref="F1038">
    <cfRule type="cellIs" dxfId="682" priority="38" operator="equal">
      <formula>0</formula>
    </cfRule>
  </conditionalFormatting>
  <conditionalFormatting sqref="R3">
    <cfRule type="expression" dxfId="681" priority="85">
      <formula>SUM($F$16:$F$21)=0</formula>
    </cfRule>
    <cfRule type="expression" dxfId="680" priority="86">
      <formula>SUM($F$16:$F$21)&lt;&gt;$R$3</formula>
    </cfRule>
  </conditionalFormatting>
  <conditionalFormatting sqref="F917">
    <cfRule type="cellIs" dxfId="679" priority="37" operator="equal">
      <formula>0</formula>
    </cfRule>
  </conditionalFormatting>
  <conditionalFormatting sqref="U91:V91">
    <cfRule type="expression" dxfId="678" priority="36">
      <formula>IF($AE$6=1,1,0)</formula>
    </cfRule>
  </conditionalFormatting>
  <conditionalFormatting sqref="F843">
    <cfRule type="cellIs" dxfId="677" priority="35" operator="equal">
      <formula>0</formula>
    </cfRule>
  </conditionalFormatting>
  <conditionalFormatting sqref="P4">
    <cfRule type="expression" dxfId="676" priority="33">
      <formula>IF(AA4&lt;3%,1,0)</formula>
    </cfRule>
    <cfRule type="expression" dxfId="675" priority="34">
      <formula>IF(AA4&gt;3%,1,0)</formula>
    </cfRule>
  </conditionalFormatting>
  <conditionalFormatting sqref="F841">
    <cfRule type="cellIs" dxfId="674" priority="32" operator="equal">
      <formula>0</formula>
    </cfRule>
  </conditionalFormatting>
  <conditionalFormatting sqref="S6:S10 P8:Q10 P6:R7">
    <cfRule type="expression" dxfId="673" priority="87">
      <formula>IF($T$3=$Y$13,0,1)</formula>
    </cfRule>
  </conditionalFormatting>
  <conditionalFormatting sqref="Q99:S101 Q93:T98 P103:U106 P79:T92">
    <cfRule type="expression" dxfId="672" priority="88">
      <formula>IF($V$3=$Y$4,1,0)</formula>
    </cfRule>
  </conditionalFormatting>
  <conditionalFormatting sqref="P160:S163 T160:U161 P130:T145 Q146:T146 R153:T156 S147:T152 P147:Q152">
    <cfRule type="expression" dxfId="671" priority="89">
      <formula>IF($V$3=$Y$3,1,0)</formula>
    </cfRule>
  </conditionalFormatting>
  <conditionalFormatting sqref="P6:P10 Q6:S7">
    <cfRule type="expression" dxfId="670" priority="90">
      <formula>IF(OR($T$3=$Y$14,$T$3=$Y$15),1,0)</formula>
    </cfRule>
  </conditionalFormatting>
  <conditionalFormatting sqref="S14:W17">
    <cfRule type="expression" dxfId="669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668" priority="93">
      <formula>IF($V$3=$Y$3,1,0)</formula>
    </cfRule>
  </conditionalFormatting>
  <conditionalFormatting sqref="P77:V77">
    <cfRule type="expression" dxfId="667" priority="94">
      <formula>IF($S$77=0%,1,0)</formula>
    </cfRule>
    <cfRule type="expression" dxfId="666" priority="95">
      <formula>IF(AND(OR($S$77&lt;105%,$S$77&gt;130%),$T$3&lt;&gt;$Y$13),1,0)</formula>
    </cfRule>
  </conditionalFormatting>
  <conditionalFormatting sqref="U5:V5">
    <cfRule type="expression" dxfId="665" priority="96">
      <formula>IF($V$5=$AA$22,0,1)</formula>
    </cfRule>
    <cfRule type="expression" dxfId="664" priority="97">
      <formula>IF(AND($T$3=$Y$13,$V$4=$Y$12),1,0)</formula>
    </cfRule>
  </conditionalFormatting>
  <conditionalFormatting sqref="P108:U113">
    <cfRule type="expression" dxfId="663" priority="98">
      <formula>IF(OR($V$3=$Y$2,$V$3=$Y$3),1,0)</formula>
    </cfRule>
  </conditionalFormatting>
  <conditionalFormatting sqref="P165:U166">
    <cfRule type="expression" dxfId="662" priority="99">
      <formula>IF(OR($V$3=$Y$2,$V$3=$Y$4),1,0)</formula>
    </cfRule>
  </conditionalFormatting>
  <conditionalFormatting sqref="R226">
    <cfRule type="expression" dxfId="661" priority="31">
      <formula>IF($P$228="Средний расход",1,0)</formula>
    </cfRule>
  </conditionalFormatting>
  <conditionalFormatting sqref="S12:U13">
    <cfRule type="expression" dxfId="660" priority="100">
      <formula>IF($V$4=$AA$11,1,0)</formula>
    </cfRule>
    <cfRule type="expression" dxfId="659" priority="101">
      <formula>IF(OR($V$4=$Y$11,$V$4=$A$10),0,1)</formula>
    </cfRule>
    <cfRule type="expression" dxfId="658" priority="102">
      <formula>IF(OR($V$4=$Y$11,$V$4=$A$10),0,1)</formula>
    </cfRule>
  </conditionalFormatting>
  <conditionalFormatting sqref="S14:U17">
    <cfRule type="expression" dxfId="657" priority="103">
      <formula>IF(AND($T$3&lt;&gt;$Y$13,OR($V$4=$Y$12,$V$4=$AA$7)),1,0)</formula>
    </cfRule>
  </conditionalFormatting>
  <conditionalFormatting sqref="V14:W17">
    <cfRule type="expression" dxfId="656" priority="104">
      <formula>IF(AND($T$3&lt;&gt;$Y$13,OR($V$4=$AA$7,$V$4=$Y$12)),1,0)</formula>
    </cfRule>
  </conditionalFormatting>
  <conditionalFormatting sqref="P228:W294">
    <cfRule type="expression" dxfId="655" priority="105">
      <formula>IF(AND($T$3=$AA$5,$T$4=$AA$5),1,0)</formula>
    </cfRule>
  </conditionalFormatting>
  <conditionalFormatting sqref="P228:T230 P240:Q294 S240:T294 V240:W294">
    <cfRule type="expression" dxfId="654" priority="106">
      <formula>IF(AND($T$3=$AA$5,$T$4&lt;&gt;$AA$5),1,0)</formula>
    </cfRule>
  </conditionalFormatting>
  <conditionalFormatting sqref="P232:Q237 S232:T237 V232:W237 P226:R226">
    <cfRule type="expression" dxfId="653" priority="107">
      <formula>IF(AND($T$3&lt;&gt;$AA$5,$T$4&lt;&gt;$AA$5),1,0)</formula>
    </cfRule>
  </conditionalFormatting>
  <conditionalFormatting sqref="P12:Q60 S19:T52">
    <cfRule type="expression" dxfId="652" priority="92">
      <formula>IF(AND(OR($V$4=$AA$10,$V$4=$AA$11),$AA$3=$AA$5),1,0)</formula>
    </cfRule>
  </conditionalFormatting>
  <conditionalFormatting sqref="X4">
    <cfRule type="expression" dxfId="651" priority="108">
      <formula>IF($V$4=$AA$10,0,1)</formula>
    </cfRule>
  </conditionalFormatting>
  <conditionalFormatting sqref="W5">
    <cfRule type="expression" dxfId="650" priority="109">
      <formula>IF(OR($V$4=$AA$10,$V$4=$AA$11),0,1)</formula>
    </cfRule>
  </conditionalFormatting>
  <conditionalFormatting sqref="U2:W2">
    <cfRule type="expression" dxfId="649" priority="30">
      <formula>IF($R$4=$Y$6,1,0)</formula>
    </cfRule>
  </conditionalFormatting>
  <conditionalFormatting sqref="F835">
    <cfRule type="cellIs" dxfId="648" priority="29" operator="equal">
      <formula>0</formula>
    </cfRule>
  </conditionalFormatting>
  <conditionalFormatting sqref="P170:V176">
    <cfRule type="expression" dxfId="647" priority="20">
      <formula>IF($V$2=$AA$19,1,0)</formula>
    </cfRule>
  </conditionalFormatting>
  <conditionalFormatting sqref="F1041">
    <cfRule type="cellIs" dxfId="646" priority="27" operator="equal">
      <formula>0</formula>
    </cfRule>
  </conditionalFormatting>
  <conditionalFormatting sqref="R173">
    <cfRule type="expression" dxfId="645" priority="28">
      <formula>IF($R$173&gt;0,0,1)</formula>
    </cfRule>
  </conditionalFormatting>
  <conditionalFormatting sqref="R172">
    <cfRule type="expression" dxfId="644" priority="26">
      <formula>IF($R$172&gt;0,0,1)</formula>
    </cfRule>
  </conditionalFormatting>
  <conditionalFormatting sqref="R176">
    <cfRule type="expression" dxfId="643" priority="25">
      <formula>IF($R$176&gt;0,0,1)</formula>
    </cfRule>
  </conditionalFormatting>
  <conditionalFormatting sqref="L4">
    <cfRule type="expression" dxfId="642" priority="22">
      <formula>IF($L$4&lt;&gt;0,1,0)</formula>
    </cfRule>
    <cfRule type="expression" dxfId="641" priority="23">
      <formula>IF($J$4=$AJ$15,1,0)</formula>
    </cfRule>
  </conditionalFormatting>
  <conditionalFormatting sqref="P6:P10 Q6:S6">
    <cfRule type="expression" dxfId="640" priority="110">
      <formula>IF(OR($T$3=$Y$16,$T$3=$Y$17),1,0)</formula>
    </cfRule>
  </conditionalFormatting>
  <conditionalFormatting sqref="R175">
    <cfRule type="expression" dxfId="639" priority="24">
      <formula>IF($R$175&gt;0,0,1)</formula>
    </cfRule>
  </conditionalFormatting>
  <conditionalFormatting sqref="R174">
    <cfRule type="expression" dxfId="638" priority="21">
      <formula>IF($R$174&gt;0,0,1)</formula>
    </cfRule>
  </conditionalFormatting>
  <conditionalFormatting sqref="V11 T11">
    <cfRule type="expression" dxfId="637" priority="18">
      <formula>IF($T$2=$Z$12,1,0)</formula>
    </cfRule>
    <cfRule type="expression" dxfId="636" priority="19">
      <formula>IF($T$2=$Z$11,1,0)</formula>
    </cfRule>
  </conditionalFormatting>
  <conditionalFormatting sqref="F854">
    <cfRule type="cellIs" dxfId="635" priority="17" operator="equal">
      <formula>0</formula>
    </cfRule>
  </conditionalFormatting>
  <conditionalFormatting sqref="T6:U10 W6:W10">
    <cfRule type="expression" dxfId="634" priority="111">
      <formula>IF($T$4=$Y$19,0,1)</formula>
    </cfRule>
  </conditionalFormatting>
  <conditionalFormatting sqref="P12:Q13 S19:T20">
    <cfRule type="expression" dxfId="633" priority="112">
      <formula>IF(AND($V$4&lt;&gt;$Y$11,OR($T$4&lt;&gt;$Y$19,$T$3&lt;&gt;$Y$13)),1,0)</formula>
    </cfRule>
  </conditionalFormatting>
  <conditionalFormatting sqref="P78:V78">
    <cfRule type="expression" dxfId="632" priority="113">
      <formula>IF(AND($S$78&gt;35%,$T$4&lt;&gt;$Y$19),1,0)</formula>
    </cfRule>
  </conditionalFormatting>
  <conditionalFormatting sqref="S21:T52 P14:Q60">
    <cfRule type="expression" dxfId="631" priority="114">
      <formula>IF(AND($V$4&lt;&gt;$Y$11,OR($T$4&lt;&gt;$Y$19,$T$3&lt;&gt;$Y$13)),1,0)</formula>
    </cfRule>
  </conditionalFormatting>
  <conditionalFormatting sqref="V19:W23">
    <cfRule type="expression" dxfId="630" priority="115">
      <formula>IF(OR($T$3&lt;&gt;$Y$19,$T$4&lt;&gt;$Y$19),0,1)</formula>
    </cfRule>
  </conditionalFormatting>
  <conditionalFormatting sqref="V19:W20">
    <cfRule type="expression" dxfId="629" priority="116">
      <formula>IF(OR($T$3&lt;&gt;$Y$19,$T$4&lt;&gt;$Y$19),1,0)</formula>
    </cfRule>
  </conditionalFormatting>
  <conditionalFormatting sqref="V21:W23">
    <cfRule type="expression" dxfId="628" priority="117">
      <formula>IF(OR($T$3&lt;&gt;$Y$19,$T$4&lt;&gt;$Y$19),1,0)</formula>
    </cfRule>
  </conditionalFormatting>
  <conditionalFormatting sqref="S3:T4">
    <cfRule type="expression" dxfId="627" priority="118">
      <formula>IF(OR(AND($S$78&gt;35%,$T$4&lt;&gt;$Y$19),AND($S$77&gt;130%,$T$3&lt;&gt;$Y$13)),1,0)</formula>
    </cfRule>
  </conditionalFormatting>
  <conditionalFormatting sqref="S21:S52 P14:P60">
    <cfRule type="expression" dxfId="626" priority="119">
      <formula>IF(AND($T$5=$AA$12,$V$4&lt;&gt;$Y$11,$P$15&gt;0,OR($T$4&lt;&gt;$Y$19,$T$3&lt;&gt;$Y$13),$P$14&lt;$R$3),1,0)</formula>
    </cfRule>
  </conditionalFormatting>
  <conditionalFormatting sqref="P6 P8:P10 Q6:S7">
    <cfRule type="expression" dxfId="625" priority="120">
      <formula>IF($T$3=$Y$18,1,0)</formula>
    </cfRule>
  </conditionalFormatting>
  <conditionalFormatting sqref="S2:T2">
    <cfRule type="expression" dxfId="624" priority="121">
      <formula>IF(AND($T$3=$Y$13,$T$4&lt;&gt;$Y$19),0,1)</formula>
    </cfRule>
  </conditionalFormatting>
  <conditionalFormatting sqref="U6:U7 W6:W7 T6:T10">
    <cfRule type="expression" dxfId="623" priority="122">
      <formula>IF(OR($T$4=$Y$20,$T$4=$Y$21,$T$4=$Y$22),1,0)</formula>
    </cfRule>
  </conditionalFormatting>
  <conditionalFormatting sqref="T6:T10 U6:U7 W6:W7">
    <cfRule type="expression" dxfId="622" priority="123">
      <formula>IF(OR($T$4=$Y$23,$T$4=$Y$24),1,0)</formula>
    </cfRule>
  </conditionalFormatting>
  <conditionalFormatting sqref="T6:T10 U6:U7 W6:W7">
    <cfRule type="expression" dxfId="621" priority="124">
      <formula>IF(OR($T$4=$Y$25,$T$4=$Y$26),1,0)</formula>
    </cfRule>
  </conditionalFormatting>
  <conditionalFormatting sqref="T6:U9 W6:W9">
    <cfRule type="expression" dxfId="620" priority="125">
      <formula>IF($T$4=$Y$27,1,0)</formula>
    </cfRule>
  </conditionalFormatting>
  <conditionalFormatting sqref="T10:U10 W10">
    <cfRule type="expression" dxfId="619" priority="126">
      <formula>IF($T$4=$Y$27,1,0)</formula>
    </cfRule>
  </conditionalFormatting>
  <conditionalFormatting sqref="T6:T9 U6:U7 W6:W7">
    <cfRule type="expression" dxfId="618" priority="127">
      <formula>IF($T$4=$Y$27,1,0)</formula>
    </cfRule>
  </conditionalFormatting>
  <conditionalFormatting sqref="F839">
    <cfRule type="cellIs" dxfId="617" priority="16" operator="equal">
      <formula>0</formula>
    </cfRule>
  </conditionalFormatting>
  <conditionalFormatting sqref="V6:V10">
    <cfRule type="expression" dxfId="616" priority="9">
      <formula>IF($T$4=$Y$19,0,1)</formula>
    </cfRule>
  </conditionalFormatting>
  <conditionalFormatting sqref="V6:V7">
    <cfRule type="expression" dxfId="615" priority="10">
      <formula>IF(OR($T$4=$Y$20,$T$4=$Y$21,$T$4=$Y$22),1,0)</formula>
    </cfRule>
  </conditionalFormatting>
  <conditionalFormatting sqref="V6:V7">
    <cfRule type="expression" dxfId="614" priority="11">
      <formula>IF(OR($T$4=$Y$23,$T$4=$Y$24),1,0)</formula>
    </cfRule>
  </conditionalFormatting>
  <conditionalFormatting sqref="V6:V7">
    <cfRule type="expression" dxfId="613" priority="12">
      <formula>IF(OR($T$4=$Y$25,$T$4=$Y$26),1,0)</formula>
    </cfRule>
  </conditionalFormatting>
  <conditionalFormatting sqref="V6:V9">
    <cfRule type="expression" dxfId="612" priority="13">
      <formula>IF($T$4=$Y$27,1,0)</formula>
    </cfRule>
  </conditionalFormatting>
  <conditionalFormatting sqref="V10">
    <cfRule type="expression" dxfId="611" priority="14">
      <formula>IF($T$4=$Y$27,1,0)</formula>
    </cfRule>
  </conditionalFormatting>
  <conditionalFormatting sqref="V6:V7">
    <cfRule type="expression" dxfId="610" priority="15">
      <formula>IF($T$4=$Y$27,1,0)</formula>
    </cfRule>
  </conditionalFormatting>
  <conditionalFormatting sqref="R8:R10">
    <cfRule type="expression" dxfId="609" priority="8">
      <formula>IF($T$3=$Y$13,0,1)</formula>
    </cfRule>
  </conditionalFormatting>
  <conditionalFormatting sqref="R149:R152">
    <cfRule type="expression" dxfId="608" priority="6">
      <formula>IF($V$3=$Y$3,1,0)</formula>
    </cfRule>
  </conditionalFormatting>
  <conditionalFormatting sqref="R151 R149">
    <cfRule type="expression" dxfId="607" priority="7">
      <formula>IF($V$3=$Y$3,1,0)</formula>
    </cfRule>
  </conditionalFormatting>
  <conditionalFormatting sqref="R147:R148">
    <cfRule type="expression" dxfId="606" priority="4">
      <formula>IF($V$3=$Y$3,1,0)</formula>
    </cfRule>
  </conditionalFormatting>
  <conditionalFormatting sqref="R147:R148">
    <cfRule type="expression" dxfId="605" priority="5">
      <formula>IF($V$3=$Y$3,1,0)</formula>
    </cfRule>
  </conditionalFormatting>
  <conditionalFormatting sqref="F1039">
    <cfRule type="cellIs" dxfId="604" priority="3" operator="equal">
      <formula>0</formula>
    </cfRule>
  </conditionalFormatting>
  <conditionalFormatting sqref="P167:U167">
    <cfRule type="expression" dxfId="603" priority="2">
      <formula>IF(OR($V$3=$Y$2,$V$3=$Y$4),1,0)</formula>
    </cfRule>
  </conditionalFormatting>
  <conditionalFormatting sqref="F918">
    <cfRule type="cellIs" dxfId="602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2"/>
  <dimension ref="A1:BM1333"/>
  <sheetViews>
    <sheetView workbookViewId="0">
      <selection activeCell="K5" sqref="K5:L7"/>
    </sheetView>
  </sheetViews>
  <sheetFormatPr defaultColWidth="4.6640625" defaultRowHeight="13.2" outlineLevelCol="1"/>
  <cols>
    <col min="1" max="2" width="4.33203125" style="1011" customWidth="1"/>
    <col min="3" max="3" width="17.33203125" style="1011" customWidth="1"/>
    <col min="4" max="4" width="13.6640625" style="1011" customWidth="1"/>
    <col min="5" max="5" width="15.88671875" style="1011" customWidth="1"/>
    <col min="6" max="6" width="4.5546875" style="1011" customWidth="1"/>
    <col min="7" max="7" width="12.6640625" style="1011" customWidth="1"/>
    <col min="8" max="8" width="5.33203125" style="1011" customWidth="1"/>
    <col min="9" max="9" width="12" style="1011" customWidth="1"/>
    <col min="10" max="10" width="5" style="1011" customWidth="1"/>
    <col min="11" max="11" width="13.6640625" style="1011" customWidth="1"/>
    <col min="12" max="12" width="16.6640625" style="1011" customWidth="1"/>
    <col min="13" max="13" width="2.6640625" style="158" customWidth="1"/>
    <col min="14" max="14" width="6.6640625" style="219" customWidth="1"/>
    <col min="15" max="15" width="3.6640625" style="1011" customWidth="1" outlineLevel="1"/>
    <col min="16" max="16" width="11.6640625" style="1011" customWidth="1" outlineLevel="1"/>
    <col min="17" max="17" width="12.6640625" style="1011" customWidth="1" outlineLevel="1"/>
    <col min="18" max="18" width="11.6640625" style="1011" customWidth="1" outlineLevel="1"/>
    <col min="19" max="19" width="12" style="1011" customWidth="1" outlineLevel="1"/>
    <col min="20" max="20" width="11.6640625" style="1011" customWidth="1" outlineLevel="1"/>
    <col min="21" max="21" width="12.44140625" style="1011" customWidth="1" outlineLevel="1"/>
    <col min="22" max="23" width="11.6640625" style="1011" customWidth="1" outlineLevel="1"/>
    <col min="24" max="24" width="3.6640625" style="1011" customWidth="1"/>
    <col min="25" max="25" width="12.6640625" style="1011" hidden="1" customWidth="1" outlineLevel="1"/>
    <col min="26" max="26" width="14" style="1011" hidden="1" customWidth="1" outlineLevel="1"/>
    <col min="27" max="39" width="12.6640625" style="1011" hidden="1" customWidth="1" outlineLevel="1"/>
    <col min="40" max="40" width="14.6640625" style="1011" hidden="1" customWidth="1" outlineLevel="1"/>
    <col min="41" max="45" width="12.6640625" style="1011" hidden="1" customWidth="1" outlineLevel="1"/>
    <col min="46" max="47" width="4.6640625" style="1011" hidden="1" customWidth="1" outlineLevel="1"/>
    <col min="48" max="48" width="23.33203125" style="1011" hidden="1" customWidth="1" outlineLevel="1"/>
    <col min="49" max="53" width="4.6640625" style="1011" hidden="1" customWidth="1" outlineLevel="1"/>
    <col min="54" max="54" width="18.44140625" style="1011" hidden="1" customWidth="1" outlineLevel="1"/>
    <col min="55" max="59" width="4.6640625" style="1011" hidden="1" customWidth="1" outlineLevel="1"/>
    <col min="60" max="60" width="4.6640625" style="1011" collapsed="1"/>
    <col min="61" max="16384" width="4.6640625" style="1011"/>
  </cols>
  <sheetData>
    <row r="1" spans="1:65" ht="95.1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AA1" s="285"/>
      <c r="AC1" s="569" t="s">
        <v>1471</v>
      </c>
      <c r="AD1" s="569"/>
      <c r="AE1" s="570"/>
    </row>
    <row r="2" spans="1:65" ht="15" customHeight="1" thickBot="1">
      <c r="B2" s="1"/>
      <c r="I2" s="95" t="s">
        <v>372</v>
      </c>
      <c r="J2" s="1403">
        <f>ПЛ</f>
        <v>0</v>
      </c>
      <c r="K2" s="1403"/>
      <c r="L2" s="96" t="s">
        <v>428</v>
      </c>
      <c r="M2" s="1035"/>
      <c r="P2" s="97" t="s">
        <v>113</v>
      </c>
      <c r="S2" s="601" t="s">
        <v>823</v>
      </c>
      <c r="T2" s="602" t="s">
        <v>634</v>
      </c>
      <c r="U2" s="213" t="s">
        <v>654</v>
      </c>
      <c r="V2" s="98" t="s">
        <v>6</v>
      </c>
      <c r="W2" s="503" t="str">
        <f ca="1">HYPERLINK("#"&amp;$AB$5&amp;"!Q170","↓ ")</f>
        <v xml:space="preserve">↓ </v>
      </c>
      <c r="Y2" s="429" t="s">
        <v>114</v>
      </c>
      <c r="Z2" s="430"/>
      <c r="AA2" s="427" t="s">
        <v>114</v>
      </c>
    </row>
    <row r="3" spans="1:65" ht="15" customHeight="1">
      <c r="I3" s="95" t="s">
        <v>1470</v>
      </c>
      <c r="J3" s="1393">
        <f>SUM(J73,L62,L36,L22,L15,L12)</f>
        <v>0</v>
      </c>
      <c r="K3" s="1393"/>
      <c r="L3" s="96" t="s">
        <v>115</v>
      </c>
      <c r="M3" s="1035"/>
      <c r="N3" s="245"/>
      <c r="O3" s="598" t="s">
        <v>116</v>
      </c>
      <c r="P3" s="599"/>
      <c r="Q3" s="598" t="s">
        <v>117</v>
      </c>
      <c r="R3" s="600"/>
      <c r="S3" s="601" t="s">
        <v>118</v>
      </c>
      <c r="T3" s="602" t="s">
        <v>114</v>
      </c>
      <c r="U3" s="598" t="s">
        <v>119</v>
      </c>
      <c r="V3" s="599" t="s">
        <v>114</v>
      </c>
      <c r="W3" s="1035"/>
      <c r="Y3" s="429" t="s">
        <v>120</v>
      </c>
      <c r="Z3" s="430" t="str">
        <f>IF(V3=Y3,1,IF(V3=Y4,0,"-"))</f>
        <v>-</v>
      </c>
      <c r="AA3" s="427" t="s">
        <v>114</v>
      </c>
      <c r="AB3" s="1011" t="str">
        <f>IF(R4&lt;&gt;Y8,"-",R5)</f>
        <v>-</v>
      </c>
      <c r="AV3" s="267" t="e">
        <f>INDEX(AV5:AV13,MATCH(1,AY5:AY13,0))</f>
        <v>#N/A</v>
      </c>
      <c r="AW3" s="204"/>
      <c r="AX3" s="204"/>
      <c r="AY3" s="204"/>
      <c r="AZ3" s="204"/>
      <c r="BA3" s="204"/>
      <c r="BB3" s="268" t="e">
        <f>INDEX(BB5:BB13,MATCH(1,BE5:BE13,0))</f>
        <v>#N/A</v>
      </c>
      <c r="BC3" s="204"/>
      <c r="BD3" s="204"/>
      <c r="BE3" s="269"/>
    </row>
    <row r="4" spans="1:65" ht="15" customHeight="1" thickBot="1">
      <c r="I4" s="95" t="s">
        <v>371</v>
      </c>
      <c r="J4" s="1404"/>
      <c r="K4" s="1404"/>
      <c r="L4" s="771"/>
      <c r="M4" s="1035"/>
      <c r="N4" s="245"/>
      <c r="O4" s="598" t="s">
        <v>121</v>
      </c>
      <c r="P4" s="599"/>
      <c r="Q4" s="598" t="s">
        <v>122</v>
      </c>
      <c r="R4" s="599" t="s">
        <v>114</v>
      </c>
      <c r="S4" s="601" t="s">
        <v>123</v>
      </c>
      <c r="T4" s="602" t="s">
        <v>114</v>
      </c>
      <c r="U4" s="603" t="s">
        <v>124</v>
      </c>
      <c r="V4" s="600" t="s">
        <v>114</v>
      </c>
      <c r="X4" s="279"/>
      <c r="Y4" s="429" t="s">
        <v>125</v>
      </c>
      <c r="Z4" s="430" t="str">
        <f>IF(V3=Y4,1,IF(V3=Y3,0,"-"))</f>
        <v>-</v>
      </c>
      <c r="AA4" s="428">
        <f>IF(SUM(T81:T85,T88:T92,T95:T98,S101,S104,T133:T137,T141:T145,T149:T152,T156,S161)=0,0,IFERROR(ABS((100%-SUM(T81:T85,T88:T92,T95:T98,S101,S104,T133:T137,T141:T145,T149:T152,T156,S161)/ПР)),0))</f>
        <v>0</v>
      </c>
      <c r="AJ4" s="772"/>
      <c r="AL4" s="1"/>
      <c r="AV4" s="205"/>
      <c r="AW4" s="1024"/>
      <c r="AX4" s="1024"/>
      <c r="AY4" s="1024"/>
      <c r="AZ4" s="1024"/>
      <c r="BA4" s="1024"/>
      <c r="BB4" s="1024"/>
      <c r="BC4" s="1024"/>
      <c r="BD4" s="1024"/>
      <c r="BE4" s="206"/>
    </row>
    <row r="5" spans="1:65" ht="15" customHeight="1" thickBot="1">
      <c r="B5" s="1405" t="s">
        <v>126</v>
      </c>
      <c r="C5" s="1406"/>
      <c r="D5" s="1406"/>
      <c r="E5" s="1406"/>
      <c r="F5" s="1226" t="str">
        <f>номер_объекта</f>
        <v>11-27ХХ-МПКПМКИ-12.21</v>
      </c>
      <c r="G5" s="1226"/>
      <c r="H5" s="1226"/>
      <c r="I5" s="1226"/>
      <c r="J5" s="1226"/>
      <c r="K5" s="1229" t="str">
        <f ca="1">AB5</f>
        <v>ТИП7</v>
      </c>
      <c r="L5" s="1230"/>
      <c r="M5" s="1035"/>
      <c r="N5" s="245"/>
      <c r="O5" s="598" t="str">
        <f>IF(AND(ПР&lt;&gt;0,R4=Y8,V3&lt;&gt;Y2),"ГОФРЫ:"," ")</f>
        <v xml:space="preserve"> </v>
      </c>
      <c r="P5" s="604"/>
      <c r="Q5" s="603" t="str">
        <f>IF(AND(ПР&lt;&gt;0,R4=Y8,V3&lt;&gt;Y2),"ПРОФИЛЬ:"," ")</f>
        <v xml:space="preserve"> </v>
      </c>
      <c r="R5" s="599"/>
      <c r="S5" s="601" t="s">
        <v>429</v>
      </c>
      <c r="T5" s="602" t="s">
        <v>431</v>
      </c>
      <c r="U5" s="598" t="s">
        <v>385</v>
      </c>
      <c r="V5" s="599" t="s">
        <v>114</v>
      </c>
      <c r="W5" s="503" t="str">
        <f ca="1">HYPERLINK("#"&amp;$AB$5&amp;"!V250","↓ ")</f>
        <v xml:space="preserve">↓ </v>
      </c>
      <c r="Y5" s="93"/>
      <c r="Z5" s="93"/>
      <c r="AA5" s="102" t="str">
        <f>Y11</f>
        <v>НЕТ</v>
      </c>
      <c r="AB5" s="211" t="str">
        <f ca="1">CONCATENATE(AC6,AD5)</f>
        <v>ТИП7</v>
      </c>
      <c r="AC5" s="163" t="str">
        <f ca="1">HYPERLINK("#"&amp;AB5&amp;"!A1","1")</f>
        <v>1</v>
      </c>
      <c r="AD5" s="229">
        <f ca="1">_xlfn.SHEET()-2</f>
        <v>7</v>
      </c>
      <c r="AE5" s="230">
        <f t="array" ref="AE5">IF(OR(Q81:Q85=Z17,Q81:Q85=Z18,Q81:Q85=Z19,Q81:Q85=Z20),1,0)</f>
        <v>0</v>
      </c>
      <c r="AF5" s="231">
        <f t="array" ref="AF5">IF(OR(Q133:Q137=Z17,Q133:Q137=Z18,Q133:Q137=Z19,Q133:Q137=Z20),1,0)</f>
        <v>0</v>
      </c>
      <c r="AJ5" s="876" t="s">
        <v>731</v>
      </c>
      <c r="AL5" s="1"/>
      <c r="AV5" s="270" t="s">
        <v>1474</v>
      </c>
      <c r="AW5" s="1024"/>
      <c r="AX5" s="1024"/>
      <c r="AY5" s="1024">
        <f t="array" ref="AY5">IF(OR($C$23:$C$61=AV5),1,0)</f>
        <v>0</v>
      </c>
      <c r="AZ5" s="1024"/>
      <c r="BA5" s="1024"/>
      <c r="BB5" s="242" t="s">
        <v>1475</v>
      </c>
      <c r="BC5" s="1024"/>
      <c r="BD5" s="1024"/>
      <c r="BE5" s="206">
        <f t="array" ref="BE5">IF(OR($C$23:$C$61=BB5),1,0)</f>
        <v>0</v>
      </c>
    </row>
    <row r="6" spans="1:65" ht="15" customHeight="1" thickBot="1">
      <c r="B6" s="1407"/>
      <c r="C6" s="1408"/>
      <c r="D6" s="1408"/>
      <c r="E6" s="1408"/>
      <c r="F6" s="1227"/>
      <c r="G6" s="1227"/>
      <c r="H6" s="1227"/>
      <c r="I6" s="1227"/>
      <c r="J6" s="1227"/>
      <c r="K6" s="1231"/>
      <c r="L6" s="1232"/>
      <c r="M6" s="1035"/>
      <c r="N6" s="246"/>
      <c r="O6" s="1024"/>
      <c r="P6" s="1430" t="str">
        <f>IF(T3="нет"," ",T3)</f>
        <v xml:space="preserve"> </v>
      </c>
      <c r="Q6" s="1398" t="str">
        <f>IF(T3="нет"," ","Кол-во, шт.")</f>
        <v xml:space="preserve"> </v>
      </c>
      <c r="R6" s="1398" t="str">
        <f>IF(T3="нет"," ","Площадь, м2")</f>
        <v xml:space="preserve"> </v>
      </c>
      <c r="S6" s="1415" t="str">
        <f>IF(T3="нет"," ",IF(T3="PIR 1.7%","Площадь плит, м2","Объем плит, м3"))</f>
        <v xml:space="preserve"> </v>
      </c>
      <c r="T6" s="1430" t="str">
        <f>IF(T4="нет"," ",T4)</f>
        <v xml:space="preserve"> </v>
      </c>
      <c r="U6" s="1398" t="str">
        <f>IF(T4="нет"," ","Кол-во, шт.")</f>
        <v xml:space="preserve"> </v>
      </c>
      <c r="V6" s="1398" t="str">
        <f>IF(T4="нет"," ","Площадь, м2")</f>
        <v xml:space="preserve"> </v>
      </c>
      <c r="W6" s="1415" t="str">
        <f>IF(T4="нет"," ",IF(OR(T4=Y25,T4=Y26),"Площадь плит, м2]","Объем плит, м3"))</f>
        <v xml:space="preserve"> </v>
      </c>
      <c r="X6" s="99"/>
      <c r="Y6" s="100" t="s">
        <v>114</v>
      </c>
      <c r="Z6" s="513"/>
      <c r="AA6" s="102" t="str">
        <f>Y12</f>
        <v>ДА</v>
      </c>
      <c r="AB6" s="208" t="str">
        <f ca="1">REPLACE(CELL("имяфайла"),1,FIND("]",CELL("имяфайла")),"")</f>
        <v>ОБЩАЯ СПЕЦИФИКАЦИЯ</v>
      </c>
      <c r="AC6" s="171" t="s">
        <v>258</v>
      </c>
      <c r="AD6" s="483">
        <f>IF(OR($V$4=$AA$10,$V$4=$AA$11),1,0)</f>
        <v>0</v>
      </c>
      <c r="AE6" s="232">
        <f t="array" ref="AE6">IF(OR(Q88:Q92=Z17,Q88:Q92=Z18,Q88:Q92=Z19,Q88:Q92=Z20),1,0)</f>
        <v>0</v>
      </c>
      <c r="AF6" s="233">
        <f t="array" ref="AF6">IF(OR(Q141:Q145=Z17,Q141:Q145=Z18,Q141:Q145=Z19,Q141:Q145=Z20),1,0)</f>
        <v>0</v>
      </c>
      <c r="AJ6" s="876" t="s">
        <v>732</v>
      </c>
      <c r="AL6" s="1"/>
      <c r="AV6" s="270" t="s">
        <v>822</v>
      </c>
      <c r="AW6" s="1024"/>
      <c r="AX6" s="1024"/>
      <c r="AY6" s="1024">
        <f t="array" ref="AY6">IF(OR($C$23:$C$61=AV6),1,0)</f>
        <v>0</v>
      </c>
      <c r="AZ6" s="1024"/>
      <c r="BA6" s="1024"/>
      <c r="BB6" s="242" t="s">
        <v>1488</v>
      </c>
      <c r="BC6" s="1024"/>
      <c r="BD6" s="1024"/>
      <c r="BE6" s="206">
        <f t="array" ref="BE6">IF(OR($C$23:$C$61=BB6),1,0)</f>
        <v>0</v>
      </c>
    </row>
    <row r="7" spans="1:65" ht="15" customHeight="1" thickBot="1">
      <c r="B7" s="1407"/>
      <c r="C7" s="1408"/>
      <c r="D7" s="1408"/>
      <c r="E7" s="1408"/>
      <c r="F7" s="1227"/>
      <c r="G7" s="1227"/>
      <c r="H7" s="1227"/>
      <c r="I7" s="1227"/>
      <c r="J7" s="1227"/>
      <c r="K7" s="1231"/>
      <c r="L7" s="1232"/>
      <c r="P7" s="1430"/>
      <c r="Q7" s="1398"/>
      <c r="R7" s="1398"/>
      <c r="S7" s="1415"/>
      <c r="T7" s="1430"/>
      <c r="U7" s="1398"/>
      <c r="V7" s="1398"/>
      <c r="W7" s="1415"/>
      <c r="X7" s="99"/>
      <c r="Y7" s="100" t="s">
        <v>127</v>
      </c>
      <c r="Z7" s="514" t="s">
        <v>246</v>
      </c>
      <c r="AA7" s="102" t="s">
        <v>508</v>
      </c>
      <c r="AB7" s="164" t="s">
        <v>256</v>
      </c>
      <c r="AC7" s="168">
        <f>IF(R5=Z7,AC9,IF(R5=Z8,AC8,IF(R5=Z9,AC9,IF(R5=Z10,AC10,0))))</f>
        <v>0</v>
      </c>
      <c r="AD7" s="1"/>
      <c r="AE7" s="234">
        <f t="array" ref="AE7">IF(OR(R95:R98=Z18,R95:R98=Z19,R95:R98=Z20,R95:R98=Z17),1,0)</f>
        <v>0</v>
      </c>
      <c r="AF7" s="235">
        <f t="array" ref="AF7">IF(OR(Q149:Q152=Z17,Q149:Q152=Z18,Q149:Q152=Z19,Q149:Q152=Z20),1,0)</f>
        <v>0</v>
      </c>
      <c r="AJ7" s="876" t="s">
        <v>733</v>
      </c>
      <c r="AL7" s="1"/>
      <c r="AV7" s="270" t="s">
        <v>184</v>
      </c>
      <c r="AW7" s="1024"/>
      <c r="AX7" s="1024"/>
      <c r="AY7" s="1024">
        <f t="array" ref="AY7">IF(OR($C$23:$C$61=AV7),1,0)</f>
        <v>0</v>
      </c>
      <c r="AZ7" s="1024"/>
      <c r="BA7" s="1024"/>
      <c r="BB7" s="242" t="s">
        <v>1480</v>
      </c>
      <c r="BC7" s="1024"/>
      <c r="BD7" s="1024"/>
      <c r="BE7" s="206">
        <f t="array" ref="BE7">IF(OR($C$23:$C$61=BB7),1,0)</f>
        <v>0</v>
      </c>
    </row>
    <row r="8" spans="1:65" ht="20.100000000000001" customHeight="1" thickBot="1">
      <c r="B8" s="1202" t="s">
        <v>128</v>
      </c>
      <c r="C8" s="1416" t="s">
        <v>129</v>
      </c>
      <c r="D8" s="1417"/>
      <c r="E8" s="1417"/>
      <c r="F8" s="1417"/>
      <c r="G8" s="1418"/>
      <c r="H8" s="1425" t="s">
        <v>130</v>
      </c>
      <c r="I8" s="1364" t="s">
        <v>131</v>
      </c>
      <c r="J8" s="1364" t="s">
        <v>132</v>
      </c>
      <c r="K8" s="1364" t="s">
        <v>133</v>
      </c>
      <c r="L8" s="1364" t="s">
        <v>1469</v>
      </c>
      <c r="N8" s="1428" t="s">
        <v>135</v>
      </c>
      <c r="P8" s="1034" t="str">
        <f>IF(T3="нет"," ","Плиты А")</f>
        <v xml:space="preserve"> </v>
      </c>
      <c r="Q8" s="1"/>
      <c r="R8" s="1"/>
      <c r="S8" s="836" t="str">
        <f>IF(OR(T3=Y14,T3=Y15),Q8*(0.0576/2),IF(T3=Y16,Q8*0.0144,IF(T3=Y17,Q8*0.0126,IF(T3=Y18,Q8*0.72," "))))</f>
        <v xml:space="preserve"> </v>
      </c>
      <c r="T8" s="1034" t="str">
        <f>IF(T4="нет"," ",IF(OR(T4=Y20,T4=Y21,T4=Y22),"Плиты А",IF(T4=Y27,"Плиты М","Плиты J")))</f>
        <v xml:space="preserve"> </v>
      </c>
      <c r="U8" s="1"/>
      <c r="V8" s="1"/>
      <c r="W8" s="836" t="str">
        <f>IF(OR(T4=Y20,T4=Y21),U8*0.0306,IF(T4=Y22,U8*0.0198,IF(T4=Y23,U8*0.0144,IF(T4=Y24,U8*0.0126,IF(OR(T4=Y25,T4=Y26),U8*0.72,IF(T4=Y27,U8*0.0252," "))))))</f>
        <v xml:space="preserve"> </v>
      </c>
      <c r="X8" s="99"/>
      <c r="Y8" s="101" t="s">
        <v>136</v>
      </c>
      <c r="Z8" s="514" t="s">
        <v>244</v>
      </c>
      <c r="AA8" s="102" t="s">
        <v>574</v>
      </c>
      <c r="AB8" s="165">
        <v>75</v>
      </c>
      <c r="AC8" s="368">
        <f>0.25*0.075*0.1*5.35*1.03</f>
        <v>1.0332187499999999E-2</v>
      </c>
      <c r="AD8" s="372">
        <v>1.18</v>
      </c>
      <c r="AJ8" s="876" t="s">
        <v>738</v>
      </c>
      <c r="AL8" s="1"/>
      <c r="AV8" s="270" t="s">
        <v>1484</v>
      </c>
      <c r="AW8" s="1024"/>
      <c r="AX8" s="1024"/>
      <c r="AY8" s="1024">
        <f t="array" ref="AY8">IF(OR($C$23:$C$61=AV8),1,0)</f>
        <v>0</v>
      </c>
      <c r="AZ8" s="1024"/>
      <c r="BA8" s="1024"/>
      <c r="BB8" s="242" t="s">
        <v>1483</v>
      </c>
      <c r="BC8" s="1024"/>
      <c r="BD8" s="1024"/>
      <c r="BE8" s="206">
        <f t="array" ref="BE8">IF(OR($C$23:$C$61=BB8),1,0)</f>
        <v>0</v>
      </c>
    </row>
    <row r="9" spans="1:65" ht="20.100000000000001" customHeight="1" thickBot="1">
      <c r="B9" s="1203"/>
      <c r="C9" s="1419"/>
      <c r="D9" s="1420"/>
      <c r="E9" s="1420"/>
      <c r="F9" s="1420"/>
      <c r="G9" s="1421"/>
      <c r="H9" s="1426"/>
      <c r="I9" s="1365"/>
      <c r="J9" s="1365"/>
      <c r="K9" s="1365"/>
      <c r="L9" s="1365"/>
      <c r="N9" s="1429"/>
      <c r="P9" s="1034" t="str">
        <f>IF(T3="нет"," ","Плиты Б")</f>
        <v xml:space="preserve"> </v>
      </c>
      <c r="Q9" s="1"/>
      <c r="R9" s="1"/>
      <c r="S9" s="836" t="str">
        <f>IF(OR(T3=Y14,T3=Y15),Q9*(0.0864/2),IF(T3=Y16,Q9*0.0288,IF(T3=Y17,Q9*0.03068,IF(T3=Y18,Q9*0.72," "))))</f>
        <v xml:space="preserve"> </v>
      </c>
      <c r="T9" s="1034" t="str">
        <f>IF(T4="нет"," ",IF(OR(T4=Y20,T4=Y21,T4=Y22),"Плиты Б",IF(T4=Y27,"Плита 50",IF(OR(T4=Y23,T4=Y24,T4=Y26),"Плиты К","Добор 40"))))</f>
        <v xml:space="preserve"> </v>
      </c>
      <c r="U9" s="1"/>
      <c r="V9" s="1"/>
      <c r="W9" s="836" t="str">
        <f>IF(OR(T4=Y20,T4=Y21),U9*0.0486,IF(T4=Y22,U9*0.0378,IF(T4=Y23,U9*0.0288,IF(T4=Y24,U9*0.0306,IF(OR(T4=Y25,T4=Y26),U9*0.72,IF(T4=Y27,U9*0.036," "))))))</f>
        <v xml:space="preserve"> </v>
      </c>
      <c r="X9" s="99"/>
      <c r="Y9" s="100" t="s">
        <v>242</v>
      </c>
      <c r="Z9" s="515" t="s">
        <v>245</v>
      </c>
      <c r="AA9" s="102" t="s">
        <v>575</v>
      </c>
      <c r="AB9" s="166">
        <v>114</v>
      </c>
      <c r="AC9" s="369">
        <f>4*0.25*0.114*0.13*1.03</f>
        <v>1.5264600000000001E-2</v>
      </c>
      <c r="AD9" s="373">
        <v>1.1000000000000001</v>
      </c>
      <c r="AE9" s="371" t="s">
        <v>338</v>
      </c>
      <c r="AF9" s="238" t="s">
        <v>339</v>
      </c>
      <c r="AJ9" s="876" t="s">
        <v>1047</v>
      </c>
      <c r="AL9" s="1"/>
      <c r="AV9" s="271" t="s">
        <v>1486</v>
      </c>
      <c r="AW9" s="1024"/>
      <c r="AX9" s="1024"/>
      <c r="AY9" s="1024">
        <f t="array" ref="AY9">IF(OR($C$23:$C$61=AV9),1,0)</f>
        <v>0</v>
      </c>
      <c r="AZ9" s="1024"/>
      <c r="BA9" s="1024"/>
      <c r="BB9" s="242" t="s">
        <v>1481</v>
      </c>
      <c r="BC9" s="1024"/>
      <c r="BD9" s="1024"/>
      <c r="BE9" s="206">
        <f t="array" ref="BE9">IF(OR($C$23:$C$61=BB9),1,0)</f>
        <v>0</v>
      </c>
    </row>
    <row r="10" spans="1:65" ht="20.100000000000001" customHeight="1" thickBot="1">
      <c r="B10" s="1213"/>
      <c r="C10" s="1422"/>
      <c r="D10" s="1423"/>
      <c r="E10" s="1423"/>
      <c r="F10" s="1423"/>
      <c r="G10" s="1424"/>
      <c r="H10" s="1427"/>
      <c r="I10" s="1366"/>
      <c r="J10" s="1366"/>
      <c r="K10" s="1366"/>
      <c r="L10" s="1366"/>
      <c r="N10" s="398" t="s">
        <v>521</v>
      </c>
      <c r="P10" s="1034" t="str">
        <f>IF(T3="нет"," ",IF(OR(T3=Y14,T3=Y15),"Плиты С",IF(T3=Y17,"Плита 50","Плита 40")))</f>
        <v xml:space="preserve"> </v>
      </c>
      <c r="Q10" s="1"/>
      <c r="R10" s="1"/>
      <c r="S10" s="836" t="str">
        <f>IF(OR(T3=Y14,T3=Y15),Q10*(0.0576/2),IF(T3=Y16,Q10*0.0288,IF(T3=Y17,Q10*0.036,IF(T3=Y18,Q10*0.72," "))))</f>
        <v xml:space="preserve"> </v>
      </c>
      <c r="T10" s="1034" t="str">
        <f>IF(T4="нет"," ",IF(OR(T4=Y20,T4=Y21,T4=Y22),"Плиты C",IF(T4=Y24,"Плита 50",IF(T4=Y27," ",IF(T4=Y26,"Добор 80",IF(T4=Y25," ","Плита 40"))))))</f>
        <v xml:space="preserve"> </v>
      </c>
      <c r="U10" s="1"/>
      <c r="V10" s="1"/>
      <c r="W10" s="836" t="str">
        <f>IF(OR(T4=Y20,T4=Y22,T4=Y21,T4=Y24),U10*0.036,IF(T4=Y23,U10*0.0288,IF(T4=Y25,"",IF(T4=Y26,0.72*U10,IF(T4=Y27," "," ")))))</f>
        <v xml:space="preserve"> </v>
      </c>
      <c r="X10" s="99"/>
      <c r="Y10" s="101" t="s">
        <v>243</v>
      </c>
      <c r="Z10" s="516" t="s">
        <v>257</v>
      </c>
      <c r="AA10" s="102" t="s">
        <v>650</v>
      </c>
      <c r="AB10" s="167">
        <v>159</v>
      </c>
      <c r="AC10" s="370">
        <f>0.25*0.16*0.153*1.03*3.58</f>
        <v>2.2566888E-2</v>
      </c>
      <c r="AD10" s="374">
        <v>1.3</v>
      </c>
      <c r="AJ10" s="876" t="s">
        <v>1046</v>
      </c>
      <c r="AL10" s="1"/>
      <c r="AV10" s="271" t="s">
        <v>1487</v>
      </c>
      <c r="AW10" s="1024"/>
      <c r="AX10" s="1024"/>
      <c r="AY10" s="1024">
        <f t="array" ref="AY10">IF(OR($C$23:$C$61=AV10),1,0)</f>
        <v>0</v>
      </c>
      <c r="AZ10" s="1024"/>
      <c r="BA10" s="1024"/>
      <c r="BB10" s="242" t="s">
        <v>1482</v>
      </c>
      <c r="BC10" s="1024"/>
      <c r="BD10" s="1024"/>
      <c r="BE10" s="206">
        <f t="array" ref="BE10">IF(OR($C$23:$C$61=BB10),1,0)</f>
        <v>0</v>
      </c>
    </row>
    <row r="11" spans="1:65" ht="15" customHeight="1" thickBot="1">
      <c r="B11" s="1030">
        <v>1</v>
      </c>
      <c r="C11" s="1197">
        <v>2</v>
      </c>
      <c r="D11" s="1198"/>
      <c r="E11" s="1198"/>
      <c r="F11" s="1198"/>
      <c r="G11" s="1199"/>
      <c r="H11" s="606">
        <v>3</v>
      </c>
      <c r="I11" s="624">
        <v>4</v>
      </c>
      <c r="J11" s="605">
        <v>5</v>
      </c>
      <c r="K11" s="624">
        <v>6</v>
      </c>
      <c r="L11" s="605">
        <v>7</v>
      </c>
      <c r="N11" s="1032">
        <v>1</v>
      </c>
      <c r="P11" s="99"/>
      <c r="Q11" s="99"/>
      <c r="R11" s="99"/>
      <c r="S11" s="99"/>
      <c r="T11" s="1400" t="s">
        <v>825</v>
      </c>
      <c r="U11" s="1400"/>
      <c r="V11" s="1036"/>
      <c r="W11" s="99"/>
      <c r="X11" s="99"/>
      <c r="Y11" s="102" t="s">
        <v>114</v>
      </c>
      <c r="Z11" s="786" t="s">
        <v>634</v>
      </c>
      <c r="AA11" s="102" t="s">
        <v>621</v>
      </c>
      <c r="AC11" s="169"/>
      <c r="AD11" s="158"/>
      <c r="AJ11" s="876" t="s">
        <v>1054</v>
      </c>
      <c r="AL11" s="1"/>
      <c r="AV11" s="272" t="s">
        <v>1103</v>
      </c>
      <c r="AW11" s="1024"/>
      <c r="AX11" s="1024"/>
      <c r="AY11" s="1024">
        <f t="array" ref="AY11">IF(OR($C$23:$C$61=AV11),1,0)</f>
        <v>0</v>
      </c>
      <c r="AZ11" s="1024"/>
      <c r="BA11" s="1024"/>
      <c r="BB11" s="240" t="s">
        <v>1488</v>
      </c>
      <c r="BC11" s="1024"/>
      <c r="BD11" s="1024"/>
      <c r="BE11" s="206">
        <f t="array" ref="BE11">IF(OR($C$23:$C$61=BB11),1,0)</f>
        <v>0</v>
      </c>
    </row>
    <row r="12" spans="1:65" ht="15" customHeight="1" thickBot="1">
      <c r="B12" s="644"/>
      <c r="C12" s="625" t="s">
        <v>138</v>
      </c>
      <c r="D12" s="1024"/>
      <c r="E12" s="1024"/>
      <c r="F12" s="1024"/>
      <c r="G12" s="1024"/>
      <c r="H12" s="619" t="str">
        <f ca="1">HYPERLINK("#"&amp;AB5&amp;"!A840","1111")</f>
        <v>1111</v>
      </c>
      <c r="I12" s="620"/>
      <c r="J12" s="621"/>
      <c r="K12" s="622"/>
      <c r="L12" s="623">
        <f>SUM(L13:L14)</f>
        <v>0</v>
      </c>
      <c r="N12" s="1032">
        <f>IF(SUM(I13:I14)&gt;0,1,0)</f>
        <v>0</v>
      </c>
      <c r="P12" s="104" t="str">
        <f>IF(V4=AA5," ","ВЫГРУЗКА КРЕПЕЖА")</f>
        <v xml:space="preserve"> </v>
      </c>
      <c r="Q12" s="104"/>
      <c r="S12" s="1401" t="str">
        <f>IF(V4="НЕТ"," ","Количество крепежа по ветровому расчету, на м2")</f>
        <v xml:space="preserve"> </v>
      </c>
      <c r="T12" s="1401"/>
      <c r="U12" s="1402" t="str">
        <f>IF(OR(V4=AA6,V4=AA7,V4=AA9,V4=AA10),4,IF(V4=AA8,0," "))</f>
        <v xml:space="preserve"> </v>
      </c>
      <c r="V12" s="105"/>
      <c r="W12" s="1024"/>
      <c r="Y12" s="102" t="s">
        <v>137</v>
      </c>
      <c r="Z12" s="787" t="s">
        <v>824</v>
      </c>
      <c r="AA12" s="356" t="s">
        <v>431</v>
      </c>
      <c r="AB12" s="1409" t="s">
        <v>267</v>
      </c>
      <c r="AC12" s="1411">
        <f>SUM($I$13:$I$14,$I$16:$I$21,$I$23:$I$35,$I$23:$I$62,$I$63:$I$69,$I$83:$I$97,$I$101:$I$113,$I$115)</f>
        <v>0</v>
      </c>
      <c r="AD12" s="1412"/>
      <c r="AE12" s="266">
        <f>IF(AND(T3=Y13,T4=Y25),3.4,3.4)</f>
        <v>3.4</v>
      </c>
      <c r="AF12" s="295">
        <f>IF(AF13=0,0,COUNT(AF13))</f>
        <v>0</v>
      </c>
      <c r="AJ12" s="876" t="s">
        <v>739</v>
      </c>
      <c r="AL12" s="1"/>
      <c r="AV12" s="272" t="s">
        <v>1485</v>
      </c>
      <c r="AW12" s="1024"/>
      <c r="AX12" s="1024"/>
      <c r="AY12" s="1024">
        <f t="array" ref="AY12">IF(OR($C$23:$C$61=AV12),1,0)</f>
        <v>0</v>
      </c>
      <c r="AZ12" s="1024"/>
      <c r="BA12" s="1024"/>
      <c r="BB12" s="1024"/>
      <c r="BC12" s="1024"/>
      <c r="BD12" s="1024"/>
      <c r="BE12" s="206"/>
      <c r="BM12" s="285"/>
    </row>
    <row r="13" spans="1:65" ht="15" customHeight="1" thickBot="1">
      <c r="B13" s="1037">
        <f>SUBTOTAL(3,$I$13:I13)</f>
        <v>0</v>
      </c>
      <c r="C13" s="626"/>
      <c r="D13" s="627"/>
      <c r="E13" s="627"/>
      <c r="F13" s="627"/>
      <c r="G13" s="628"/>
      <c r="H13" s="608"/>
      <c r="I13" s="609"/>
      <c r="J13" s="1013"/>
      <c r="K13" s="609"/>
      <c r="L13" s="610">
        <f>IFERROR(I13*K13,0)</f>
        <v>0</v>
      </c>
      <c r="N13" s="1032">
        <f>IF(OR(I13=" ",I13=0),0,1)</f>
        <v>0</v>
      </c>
      <c r="P13" s="104" t="str">
        <f>IF(V4=AA5," ","ВЫСОТА")</f>
        <v xml:space="preserve"> </v>
      </c>
      <c r="Q13" s="104" t="str">
        <f>IF(V4=AA5," ","КОЛ-ВО")</f>
        <v xml:space="preserve"> </v>
      </c>
      <c r="S13" s="1401"/>
      <c r="T13" s="1401"/>
      <c r="U13" s="1402"/>
      <c r="V13" s="105"/>
      <c r="W13" s="1024"/>
      <c r="Y13" s="108" t="s">
        <v>114</v>
      </c>
      <c r="AA13" s="355" t="s">
        <v>432</v>
      </c>
      <c r="AB13" s="1410"/>
      <c r="AC13" s="1413"/>
      <c r="AD13" s="1414"/>
      <c r="AE13" s="295">
        <f>SUM(W21:W23)</f>
        <v>0</v>
      </c>
      <c r="AF13" s="295">
        <f>IF(AND((SUM(W21:W23)=0),T3=Y13,T4=Y19),0,ПЛ)</f>
        <v>0</v>
      </c>
      <c r="AJ13" s="876" t="s">
        <v>734</v>
      </c>
      <c r="AL13" s="1"/>
      <c r="AV13" s="205"/>
      <c r="AW13" s="1024"/>
      <c r="AX13" s="1024"/>
      <c r="AY13" s="1024"/>
      <c r="AZ13" s="1024"/>
      <c r="BA13" s="1024"/>
      <c r="BB13" s="1024"/>
      <c r="BC13" s="1024"/>
      <c r="BD13" s="1024"/>
      <c r="BE13" s="206"/>
    </row>
    <row r="14" spans="1:65" ht="15" customHeight="1" thickBot="1">
      <c r="B14" s="1037">
        <f>SUBTOTAL(3,$I$13:I14)</f>
        <v>0</v>
      </c>
      <c r="C14" s="626"/>
      <c r="D14" s="627"/>
      <c r="E14" s="627"/>
      <c r="F14" s="627"/>
      <c r="G14" s="628"/>
      <c r="H14" s="608"/>
      <c r="I14" s="611"/>
      <c r="J14" s="1013"/>
      <c r="K14" s="609"/>
      <c r="L14" s="610">
        <f>IFERROR(I14*K14,0)</f>
        <v>0</v>
      </c>
      <c r="N14" s="1032">
        <f>IF(OR(I14=" ",I14=0),0,1)</f>
        <v>0</v>
      </c>
      <c r="P14" s="255"/>
      <c r="Q14" s="255"/>
      <c r="S14" s="1396" t="str">
        <f>IF(AND(OR(V4="ДА",V4="ДА 6,3"),T3&lt;&gt;"НЕТ"),"Количество крепежа по клинам, на м2"," ")</f>
        <v xml:space="preserve"> </v>
      </c>
      <c r="T14" s="1396"/>
      <c r="U14" s="1397" t="str">
        <f>IFERROR(IF(AND(OR(V4="ДА",V4="ДА 6,3"),OR(T3=Y14,T3=Y15,T3=Y17,T3=Y16)),SUM(Q14:Q60,T21:T52)/ПЛ,IF(AND(OR(V4="ДА",V4="ДА 6,3"),T3=Y18),SUM(Q14:Q60,T21:T52)/ПЛ," ")),0)</f>
        <v xml:space="preserve"> </v>
      </c>
      <c r="V14" s="1396" t="str">
        <f>IF(AND(OR(V4="ДА",V4="ДА 6,3"),T3&lt;&gt;"НЕТ"),"ДВР"," ")</f>
        <v xml:space="preserve"> </v>
      </c>
      <c r="W14" s="1399" t="str">
        <f>IF(AND(OR(V4="ДА",V4="ДА 6,3"),T3&lt;&gt;"НЕТ"),4," ")</f>
        <v xml:space="preserve"> </v>
      </c>
      <c r="Y14" s="108" t="s">
        <v>801</v>
      </c>
      <c r="Z14" s="493"/>
      <c r="AA14" s="377" t="s">
        <v>114</v>
      </c>
      <c r="AJ14" s="876" t="s">
        <v>737</v>
      </c>
      <c r="AL14" s="1"/>
      <c r="AV14" s="205"/>
      <c r="AW14" s="1024"/>
      <c r="AX14" s="1024"/>
      <c r="AY14" s="1024"/>
      <c r="AZ14" s="1024"/>
      <c r="BA14" s="1024"/>
      <c r="BB14" s="1024"/>
      <c r="BC14" s="1024"/>
      <c r="BD14" s="1024"/>
      <c r="BE14" s="206"/>
    </row>
    <row r="15" spans="1:65" ht="15" customHeight="1" thickBot="1">
      <c r="B15" s="1037"/>
      <c r="C15" s="625" t="s">
        <v>139</v>
      </c>
      <c r="D15" s="1024"/>
      <c r="E15" s="1024"/>
      <c r="F15" s="1024"/>
      <c r="G15" s="1024"/>
      <c r="H15" s="607" t="str">
        <f ca="1">HYPERLINK("#"&amp;AB5&amp;"!A850","1111")</f>
        <v>1111</v>
      </c>
      <c r="I15" s="1037"/>
      <c r="J15" s="1037"/>
      <c r="K15" s="1037"/>
      <c r="L15" s="597">
        <f>SUM(L16:L21)</f>
        <v>0</v>
      </c>
      <c r="N15" s="1032">
        <f>IF(SUM(I16:I21)&gt;0,1,0)</f>
        <v>0</v>
      </c>
      <c r="P15" s="255"/>
      <c r="Q15" s="255"/>
      <c r="S15" s="1396"/>
      <c r="T15" s="1396"/>
      <c r="U15" s="1397"/>
      <c r="V15" s="1396"/>
      <c r="W15" s="1399"/>
      <c r="Y15" s="108" t="s">
        <v>800</v>
      </c>
      <c r="Z15" s="494" t="s">
        <v>251</v>
      </c>
      <c r="AA15" s="378" t="s">
        <v>470</v>
      </c>
      <c r="AB15" s="345" t="s">
        <v>295</v>
      </c>
      <c r="AC15" s="346">
        <f>ОБЩИЕ_ДАННЫЕ!N81</f>
        <v>1</v>
      </c>
      <c r="AD15" s="345">
        <f>IF(P3=0,0,IF(P3&lt;=1000,1,IF(AND(P3&gt;1000,P3&lt;=5000),2,IF(AND(P3&gt;5000,P3&lt;=10000),3,IF(P3&gt;10000,4,0)))))</f>
        <v>0</v>
      </c>
      <c r="AE15" s="345" t="s">
        <v>297</v>
      </c>
      <c r="AF15" s="345" t="s">
        <v>298</v>
      </c>
      <c r="AJ15" s="876" t="s">
        <v>1045</v>
      </c>
      <c r="AL15" s="1"/>
      <c r="AV15" s="205"/>
      <c r="AW15" s="1024"/>
      <c r="AX15" s="1024"/>
      <c r="AY15" s="1024"/>
      <c r="AZ15" s="1024"/>
      <c r="BA15" s="1024"/>
      <c r="BB15" s="1024"/>
      <c r="BC15" s="1024"/>
      <c r="BD15" s="1024"/>
      <c r="BE15" s="206"/>
    </row>
    <row r="16" spans="1:65" ht="15" customHeight="1" thickBot="1">
      <c r="B16" s="1037">
        <f>SUBTOTAL(3,$I$13:I16)</f>
        <v>0</v>
      </c>
      <c r="C16" s="1014"/>
      <c r="D16" s="640"/>
      <c r="E16" s="640"/>
      <c r="F16" s="656"/>
      <c r="G16" s="628"/>
      <c r="H16" s="608"/>
      <c r="I16" s="711"/>
      <c r="J16" s="1013"/>
      <c r="K16" s="609"/>
      <c r="L16" s="610">
        <f t="shared" ref="L16:L21" si="0">IFERROR(I16*K16,0)</f>
        <v>0</v>
      </c>
      <c r="N16" s="1032">
        <f t="shared" ref="N16:N21" si="1">IF(OR(I16=" ",I16=0),0,1)</f>
        <v>0</v>
      </c>
      <c r="P16" s="255"/>
      <c r="Q16" s="255"/>
      <c r="S16" s="1396" t="str">
        <f>IF(AND(OR(V4="ДА",V4="ДА 6,3"),T3&lt;&gt;"НЕТ"),"Общее количество крепежа на м2"," ")</f>
        <v xml:space="preserve"> </v>
      </c>
      <c r="T16" s="1396"/>
      <c r="U16" s="1397" t="str">
        <f>IF(AND(OR(V4="ДА",V4="ДА 6,3"),T3&lt;&gt;"НЕТ"),U14+U12," ")</f>
        <v xml:space="preserve"> </v>
      </c>
      <c r="V16" s="1399" t="str">
        <f>IF(AND(OR(V4="ДА",V4="ДА 6,3"),T3&lt;&gt;"НЕТ"),"РРК"," ")</f>
        <v xml:space="preserve"> </v>
      </c>
      <c r="W16" s="1399" t="str">
        <f>IF(AND(OR(V4="ДА",V4="ДА 6,3"),OR(T3=Y14,T3=Y15,T3=Y17,T3=Y16)),3.5+W14,IF(AND(OR(V4="ДА",V4="ДА 6,3"),T3=Y18),3.5+W14," "))</f>
        <v xml:space="preserve"> </v>
      </c>
      <c r="Y16" s="108" t="s">
        <v>140</v>
      </c>
      <c r="Z16" s="494" t="s">
        <v>250</v>
      </c>
      <c r="AA16" s="378" t="s">
        <v>472</v>
      </c>
      <c r="AB16" s="347" t="s">
        <v>296</v>
      </c>
      <c r="AC16" s="348">
        <f>IFERROR(IF(OR(AND(T3=Y14,OR(T4=Y20,T4=Y22)),AND(T3=Y16,T4=Y23)),INDEX(Прайс!J9:M11,T5,AD15)*AC15,0),0)</f>
        <v>0</v>
      </c>
      <c r="AD16" s="349" t="s">
        <v>291</v>
      </c>
      <c r="AE16" s="350">
        <f>IF(AC16&gt;0,$T$5,0)</f>
        <v>0</v>
      </c>
      <c r="AF16" s="351">
        <f>IF(AC16&gt;0,COUNT(T5),0)</f>
        <v>0</v>
      </c>
      <c r="AJ16" s="876" t="s">
        <v>1055</v>
      </c>
      <c r="AL16" s="1"/>
      <c r="AV16" s="205"/>
      <c r="AW16" s="1024"/>
      <c r="AX16" s="1024"/>
      <c r="AY16" s="1024"/>
      <c r="AZ16" s="1024"/>
      <c r="BA16" s="1024"/>
      <c r="BB16" s="1024"/>
      <c r="BC16" s="1024"/>
      <c r="BD16" s="1024"/>
      <c r="BE16" s="206"/>
    </row>
    <row r="17" spans="1:57" ht="15" customHeight="1" thickBot="1">
      <c r="B17" s="1037">
        <f>SUBTOTAL(3,$I$13:I17)</f>
        <v>0</v>
      </c>
      <c r="C17" s="626"/>
      <c r="D17" s="627"/>
      <c r="E17" s="627"/>
      <c r="F17" s="638"/>
      <c r="G17" s="628"/>
      <c r="H17" s="608"/>
      <c r="I17" s="711"/>
      <c r="J17" s="1013"/>
      <c r="K17" s="609"/>
      <c r="L17" s="610">
        <f t="shared" si="0"/>
        <v>0</v>
      </c>
      <c r="N17" s="1032">
        <f t="shared" si="1"/>
        <v>0</v>
      </c>
      <c r="P17" s="899"/>
      <c r="Q17" s="899"/>
      <c r="S17" s="1396"/>
      <c r="T17" s="1396"/>
      <c r="U17" s="1397"/>
      <c r="V17" s="1399"/>
      <c r="W17" s="1399"/>
      <c r="Y17" s="108" t="s">
        <v>944</v>
      </c>
      <c r="Z17" s="494" t="s">
        <v>241</v>
      </c>
      <c r="AA17" s="379" t="s">
        <v>114</v>
      </c>
      <c r="AB17" s="347">
        <v>1</v>
      </c>
      <c r="AC17" s="345">
        <f>IFERROR(IF(AND(T3=Y13,OR(T4=Y27,T4=Y23,T4=Y20,T4=Y22)),INDEX(Прайс!J6:M8,T5,AD15)*AC15,IF(AND(T4=Y19,OR(T3=Y14,T3=Y16)),INDEX(Прайс!J6:M8,T5,AD15)*AC15,0)),0)</f>
        <v>0</v>
      </c>
      <c r="AD17" s="349" t="s">
        <v>292</v>
      </c>
      <c r="AE17" s="350">
        <f>IF(AC17&gt;0,$T$5,0)</f>
        <v>0</v>
      </c>
      <c r="AF17" s="350">
        <f>IF(AC17&gt;0,COUNT(T5),0)</f>
        <v>0</v>
      </c>
      <c r="AJ17" s="876" t="s">
        <v>1056</v>
      </c>
      <c r="AL17" s="1"/>
      <c r="AV17" s="205"/>
      <c r="AW17" s="1024"/>
      <c r="AX17" s="1024"/>
      <c r="AY17" s="1024"/>
      <c r="AZ17" s="1024"/>
      <c r="BA17" s="1024"/>
      <c r="BB17" s="1024"/>
      <c r="BC17" s="1024"/>
      <c r="BD17" s="1024"/>
      <c r="BE17" s="206"/>
    </row>
    <row r="18" spans="1:57" ht="15" customHeight="1" thickBot="1">
      <c r="B18" s="1037">
        <f>SUBTOTAL(3,$I$13:I18)</f>
        <v>0</v>
      </c>
      <c r="C18" s="626"/>
      <c r="D18" s="627"/>
      <c r="E18" s="627"/>
      <c r="F18" s="627"/>
      <c r="G18" s="628"/>
      <c r="H18" s="608"/>
      <c r="I18" s="609"/>
      <c r="J18" s="1013"/>
      <c r="K18" s="609"/>
      <c r="L18" s="610">
        <f t="shared" si="0"/>
        <v>0</v>
      </c>
      <c r="N18" s="1032">
        <f t="shared" si="1"/>
        <v>0</v>
      </c>
      <c r="P18" s="899"/>
      <c r="Q18" s="899"/>
      <c r="Y18" s="108" t="s">
        <v>141</v>
      </c>
      <c r="Z18" s="495" t="s">
        <v>252</v>
      </c>
      <c r="AA18" s="379" t="s">
        <v>1150</v>
      </c>
      <c r="AB18" s="347">
        <v>2</v>
      </c>
      <c r="AC18" s="345">
        <f>IFERROR(IF(OR(AND(T4=Y25,T3=Y18)),INDEX(Прайс!J15:M17,T5,AD15)*AC15,0),0)</f>
        <v>0</v>
      </c>
      <c r="AD18" s="349" t="s">
        <v>293</v>
      </c>
      <c r="AE18" s="350">
        <f>IF(AC18&gt;0,$T$5,0)</f>
        <v>0</v>
      </c>
      <c r="AF18" s="350">
        <f>IF(AC18&gt;0,COUNT(T5),0)</f>
        <v>0</v>
      </c>
      <c r="AJ18" s="876" t="s">
        <v>300</v>
      </c>
      <c r="AL18" s="1"/>
      <c r="AV18" s="205"/>
      <c r="AW18" s="1024"/>
      <c r="AX18" s="1024"/>
      <c r="AY18" s="1024"/>
      <c r="AZ18" s="1024"/>
      <c r="BA18" s="1024"/>
      <c r="BB18" s="1024"/>
      <c r="BC18" s="1024"/>
      <c r="BD18" s="1024"/>
      <c r="BE18" s="206"/>
    </row>
    <row r="19" spans="1:57" ht="15" customHeight="1" thickBot="1">
      <c r="B19" s="1037">
        <f>SUBTOTAL(3,$I$13:I19)</f>
        <v>0</v>
      </c>
      <c r="C19" s="639"/>
      <c r="D19" s="640"/>
      <c r="E19" s="640"/>
      <c r="F19" s="640"/>
      <c r="G19" s="641"/>
      <c r="H19" s="1037"/>
      <c r="I19" s="1037"/>
      <c r="J19" s="1037"/>
      <c r="K19" s="609"/>
      <c r="L19" s="610">
        <f t="shared" si="0"/>
        <v>0</v>
      </c>
      <c r="N19" s="1032">
        <f t="shared" si="1"/>
        <v>0</v>
      </c>
      <c r="P19" s="899"/>
      <c r="Q19" s="899"/>
      <c r="S19" s="104" t="str">
        <f>IF(Y11=AD13," ","продолжение таблицы ")</f>
        <v xml:space="preserve">продолжение таблицы </v>
      </c>
      <c r="T19" s="104"/>
      <c r="U19" s="281"/>
      <c r="V19" s="104" t="s">
        <v>414</v>
      </c>
      <c r="W19" s="1032"/>
      <c r="Y19" s="109" t="s">
        <v>114</v>
      </c>
      <c r="Z19" s="494" t="s">
        <v>304</v>
      </c>
      <c r="AA19" s="505" t="s">
        <v>6</v>
      </c>
      <c r="AB19" s="347">
        <v>3</v>
      </c>
      <c r="AC19" s="345">
        <f>IFERROR(IF(AND(T3=Y13,T4=Y25),INDEX(Прайс!J12:M14,T5,AD15)*AC15,IF(AND(T4=Y19,T3=Y18),INDEX(Прайс!J12:M14,T5,AD15)*AC15,0)),0)</f>
        <v>0</v>
      </c>
      <c r="AD19" s="352" t="s">
        <v>294</v>
      </c>
      <c r="AE19" s="353">
        <f>IF(AC19&gt;0,$T$5,0)</f>
        <v>0</v>
      </c>
      <c r="AF19" s="353">
        <f>IF(AC19&gt;0,COUNT(T5),0)</f>
        <v>0</v>
      </c>
      <c r="AV19" s="205"/>
      <c r="AW19" s="1024"/>
      <c r="AX19" s="1024"/>
      <c r="AY19" s="1024"/>
      <c r="AZ19" s="1024"/>
      <c r="BA19" s="1024"/>
      <c r="BB19" s="1024"/>
      <c r="BC19" s="1024"/>
      <c r="BD19" s="1024"/>
      <c r="BE19" s="206"/>
    </row>
    <row r="20" spans="1:57" ht="15" customHeight="1" thickBot="1">
      <c r="B20" s="1037">
        <f>SUBTOTAL(3,$I$13:I20)</f>
        <v>0</v>
      </c>
      <c r="C20" s="626"/>
      <c r="D20" s="642"/>
      <c r="E20" s="642"/>
      <c r="F20" s="643"/>
      <c r="G20" s="1016"/>
      <c r="H20" s="1037"/>
      <c r="I20" s="595"/>
      <c r="J20" s="1037"/>
      <c r="K20" s="609"/>
      <c r="L20" s="610">
        <f t="shared" si="0"/>
        <v>0</v>
      </c>
      <c r="N20" s="1032">
        <f t="shared" si="1"/>
        <v>0</v>
      </c>
      <c r="P20" s="255"/>
      <c r="Q20" s="255"/>
      <c r="S20" s="104" t="str">
        <f>IF(Y11=AD13," ","ВЫСОТА")</f>
        <v>ВЫСОТА</v>
      </c>
      <c r="T20" s="104" t="str">
        <f>IF(Y11=AD13," ","КОЛ-ВО")</f>
        <v>КОЛ-ВО</v>
      </c>
      <c r="U20" s="281"/>
      <c r="V20" s="1026" t="s">
        <v>415</v>
      </c>
      <c r="W20" s="1026" t="s">
        <v>416</v>
      </c>
      <c r="X20" s="110"/>
      <c r="Y20" s="109" t="s">
        <v>602</v>
      </c>
      <c r="Z20" s="496" t="s">
        <v>305</v>
      </c>
      <c r="AA20" s="506" t="s">
        <v>655</v>
      </c>
      <c r="AB20" s="205" t="s">
        <v>373</v>
      </c>
      <c r="AC20" s="266">
        <f>IF(AND(P3&gt;0,OR(V3&lt;&gt;Y2,T3&lt;&gt;Y13,T4&lt;&gt;Y19)),1,0)</f>
        <v>0</v>
      </c>
      <c r="AJ20" s="772">
        <f>IF(J4="",0,CONCATENATE(J4," ",L4))</f>
        <v>0</v>
      </c>
      <c r="AV20" s="205"/>
      <c r="AW20" s="1024"/>
      <c r="AX20" s="1024"/>
      <c r="AY20" s="1024"/>
      <c r="AZ20" s="1024"/>
      <c r="BA20" s="1024"/>
      <c r="BB20" s="1024"/>
      <c r="BC20" s="1024"/>
      <c r="BD20" s="1024"/>
      <c r="BE20" s="206"/>
    </row>
    <row r="21" spans="1:57" ht="15" customHeight="1" thickBot="1">
      <c r="B21" s="1037">
        <f>SUBTOTAL(3,$I$13:I21)</f>
        <v>0</v>
      </c>
      <c r="C21" s="626"/>
      <c r="D21" s="627"/>
      <c r="E21" s="627"/>
      <c r="F21" s="627"/>
      <c r="G21" s="628"/>
      <c r="H21" s="608"/>
      <c r="I21" s="609"/>
      <c r="J21" s="1013"/>
      <c r="K21" s="609"/>
      <c r="L21" s="610">
        <f t="shared" si="0"/>
        <v>0</v>
      </c>
      <c r="N21" s="1032">
        <f t="shared" si="1"/>
        <v>0</v>
      </c>
      <c r="P21" s="255"/>
      <c r="Q21" s="255"/>
      <c r="S21" s="1035"/>
      <c r="T21" s="1035"/>
      <c r="U21" s="111"/>
      <c r="V21" s="293" t="s">
        <v>417</v>
      </c>
      <c r="W21" s="1"/>
      <c r="X21" s="110"/>
      <c r="Y21" s="109" t="s">
        <v>928</v>
      </c>
      <c r="Z21" s="498" t="s">
        <v>1108</v>
      </c>
      <c r="AA21" s="565" t="s">
        <v>656</v>
      </c>
      <c r="AB21" s="208">
        <f>IF(OR(T3=Y14,T3=Y15,T4=Y20,T4=Y21,T4=Y22),1,0)</f>
        <v>0</v>
      </c>
      <c r="AC21" s="208">
        <f>IF(OR(T3=Y16,T3=Y17,T4=Y23,T4=Y24,T4=Y27),1,0)</f>
        <v>0</v>
      </c>
      <c r="AD21" s="208">
        <f>IF(OR(T3=Y18,T4=Y25,T4=Y26),1,0)</f>
        <v>0</v>
      </c>
      <c r="AF21" s="568">
        <f>IF(T2=Z11,AG21,AH21)</f>
        <v>0</v>
      </c>
      <c r="AG21" s="568">
        <f>IF(T4=Y19,0,IF(T4=Y25,V9,SUM(V8:V9)))</f>
        <v>0</v>
      </c>
      <c r="AH21" s="568">
        <f>IF(T4=Y19,0,IF(T2=Z12,V11,0))</f>
        <v>0</v>
      </c>
      <c r="AV21" s="205"/>
      <c r="AW21" s="1024"/>
      <c r="AX21" s="1024"/>
      <c r="AY21" s="1024"/>
      <c r="AZ21" s="1024"/>
      <c r="BA21" s="1024"/>
      <c r="BB21" s="1024"/>
      <c r="BC21" s="1024"/>
      <c r="BD21" s="1024"/>
      <c r="BE21" s="206"/>
    </row>
    <row r="22" spans="1:57" ht="15" customHeight="1" thickBot="1">
      <c r="A22" s="407" t="str">
        <f ca="1">HYPERLINK("#"&amp;$AB$5&amp;"!V169","↓ ")</f>
        <v xml:space="preserve">↓ </v>
      </c>
      <c r="B22" s="646" t="str">
        <f ca="1">HYPERLINK("#"&amp;$AB$5&amp;"!V116","↓ ")</f>
        <v xml:space="preserve">↓ </v>
      </c>
      <c r="C22" s="784" t="s">
        <v>143</v>
      </c>
      <c r="D22" s="640"/>
      <c r="E22" s="640"/>
      <c r="F22" s="640"/>
      <c r="G22" s="641"/>
      <c r="H22" s="607" t="str">
        <f ca="1">HYPERLINK("#"&amp;AB5&amp;"!A880","1111")</f>
        <v>1111</v>
      </c>
      <c r="I22" s="1013"/>
      <c r="J22" s="607" t="str">
        <f ca="1">HYPERLINK("#"&amp;AB5&amp;"!A990","1111")</f>
        <v>1111</v>
      </c>
      <c r="K22" s="612"/>
      <c r="L22" s="597">
        <f>SUM(L23:L35)</f>
        <v>0</v>
      </c>
      <c r="N22" s="1032">
        <f>IF(SUM(I23:I35)&gt;0,1,0)</f>
        <v>0</v>
      </c>
      <c r="P22" s="255"/>
      <c r="Q22" s="255"/>
      <c r="S22" s="1035"/>
      <c r="T22" s="1035"/>
      <c r="U22" s="112"/>
      <c r="V22" s="293" t="s">
        <v>292</v>
      </c>
      <c r="W22" s="1"/>
      <c r="X22" s="110"/>
      <c r="Y22" s="109" t="s">
        <v>897</v>
      </c>
      <c r="Z22" s="498" t="s">
        <v>1109</v>
      </c>
      <c r="AA22" s="497" t="s">
        <v>114</v>
      </c>
      <c r="AB22" s="209" t="s">
        <v>53</v>
      </c>
      <c r="AC22" s="208" t="s">
        <v>54</v>
      </c>
      <c r="AD22" s="210" t="s">
        <v>386</v>
      </c>
      <c r="AF22" s="567">
        <f>IF(SUM(I98:I100,I110:I113)&gt;0,1,0)</f>
        <v>0</v>
      </c>
      <c r="AV22" s="205"/>
      <c r="AW22" s="1024"/>
      <c r="AX22" s="1024"/>
      <c r="AY22" s="1024"/>
      <c r="AZ22" s="1024"/>
      <c r="BA22" s="1024"/>
      <c r="BB22" s="1024"/>
      <c r="BC22" s="1024"/>
      <c r="BD22" s="1024"/>
      <c r="BE22" s="206"/>
    </row>
    <row r="23" spans="1:57" ht="15" customHeight="1">
      <c r="B23" s="1037">
        <f>SUBTOTAL(3,$I$13:I23)</f>
        <v>0</v>
      </c>
      <c r="C23" s="626"/>
      <c r="D23" s="627"/>
      <c r="E23" s="627"/>
      <c r="F23" s="627"/>
      <c r="G23" s="628"/>
      <c r="H23" s="608"/>
      <c r="I23" s="609"/>
      <c r="J23" s="1013"/>
      <c r="K23" s="609"/>
      <c r="L23" s="610">
        <f>IFERROR(#REF!*K23,0)</f>
        <v>0</v>
      </c>
      <c r="N23" s="1032">
        <f t="shared" ref="N23:N33" si="2">IF(OR(I23=" ",I23=0),0,1)</f>
        <v>0</v>
      </c>
      <c r="P23" s="255"/>
      <c r="Q23" s="255"/>
      <c r="S23" s="1035"/>
      <c r="T23" s="1035"/>
      <c r="U23" s="112"/>
      <c r="V23" s="293" t="s">
        <v>418</v>
      </c>
      <c r="W23" s="1"/>
      <c r="X23" s="110"/>
      <c r="Y23" s="109" t="s">
        <v>142</v>
      </c>
      <c r="Z23" s="498" t="s">
        <v>1110</v>
      </c>
      <c r="AJ23" s="474" t="s">
        <v>914</v>
      </c>
      <c r="AK23" s="466"/>
      <c r="AL23" s="204"/>
      <c r="AM23" s="842">
        <v>30</v>
      </c>
      <c r="AN23" s="843">
        <v>60</v>
      </c>
      <c r="AV23" s="270" t="s">
        <v>194</v>
      </c>
      <c r="AW23" s="1024"/>
      <c r="AX23" s="1024"/>
      <c r="AY23" s="1024">
        <f t="array" ref="AY23">IF(OR(AV23=$C$23:$C$61),1,0)</f>
        <v>0</v>
      </c>
      <c r="AZ23" s="1024"/>
      <c r="BA23" s="1024"/>
      <c r="BB23" s="1024"/>
      <c r="BC23" s="1024"/>
      <c r="BD23" s="1024"/>
      <c r="BE23" s="206"/>
    </row>
    <row r="24" spans="1:57" ht="15" customHeight="1">
      <c r="B24" s="1037">
        <f>SUBTOTAL(3,$I$13:I24)</f>
        <v>0</v>
      </c>
      <c r="C24" s="626"/>
      <c r="D24" s="627"/>
      <c r="E24" s="627"/>
      <c r="F24" s="627"/>
      <c r="G24" s="628"/>
      <c r="H24" s="608"/>
      <c r="I24" s="609"/>
      <c r="J24" s="1013"/>
      <c r="K24" s="609"/>
      <c r="L24" s="610">
        <f>IFERROR(#REF!*K24,0)</f>
        <v>0</v>
      </c>
      <c r="N24" s="1032">
        <f t="shared" si="2"/>
        <v>0</v>
      </c>
      <c r="P24" s="255"/>
      <c r="Q24" s="255"/>
      <c r="S24" s="1035"/>
      <c r="T24" s="1035"/>
      <c r="U24" s="112"/>
      <c r="X24" s="110"/>
      <c r="Y24" s="109" t="s">
        <v>948</v>
      </c>
      <c r="Z24" s="498" t="s">
        <v>1111</v>
      </c>
      <c r="AC24" s="376"/>
      <c r="AJ24" s="844" t="s">
        <v>913</v>
      </c>
      <c r="AK24" s="841">
        <f>F854</f>
        <v>0</v>
      </c>
      <c r="AL24" s="1024"/>
      <c r="AM24" s="845">
        <v>40</v>
      </c>
      <c r="AN24" s="846">
        <v>60</v>
      </c>
      <c r="AV24" s="270" t="s">
        <v>195</v>
      </c>
      <c r="AW24" s="1024"/>
      <c r="AX24" s="1024"/>
      <c r="AY24" s="1024">
        <f t="array" ref="AY24">IF(OR(AV24=$C$23:$C$61),1,0)</f>
        <v>0</v>
      </c>
      <c r="AZ24" s="1024"/>
      <c r="BA24" s="1024"/>
      <c r="BB24" s="1024"/>
      <c r="BC24" s="1024"/>
      <c r="BD24" s="1024"/>
      <c r="BE24" s="206"/>
    </row>
    <row r="25" spans="1:57" ht="15" customHeight="1">
      <c r="B25" s="1037">
        <f>SUBTOTAL(3,$I$13:I25)</f>
        <v>0</v>
      </c>
      <c r="C25" s="629"/>
      <c r="D25" s="630"/>
      <c r="E25" s="630"/>
      <c r="F25" s="630"/>
      <c r="G25" s="631"/>
      <c r="H25" s="608"/>
      <c r="I25" s="611"/>
      <c r="J25" s="1013"/>
      <c r="K25" s="609"/>
      <c r="L25" s="610">
        <f t="shared" ref="L25:L33" si="3">IFERROR(I25*K25,0)</f>
        <v>0</v>
      </c>
      <c r="N25" s="1032">
        <f t="shared" si="2"/>
        <v>0</v>
      </c>
      <c r="P25" s="255"/>
      <c r="Q25" s="255"/>
      <c r="S25" s="1035"/>
      <c r="T25" s="1035"/>
      <c r="U25" s="112"/>
      <c r="V25" s="112"/>
      <c r="W25" s="113"/>
      <c r="X25" s="110"/>
      <c r="Y25" s="109" t="s">
        <v>946</v>
      </c>
      <c r="Z25" s="498" t="s">
        <v>1153</v>
      </c>
      <c r="AH25" s="773"/>
      <c r="AJ25" s="844" t="s">
        <v>531</v>
      </c>
      <c r="AK25" s="573" t="e">
        <f>INDEX(AN23:AN31,MATCH(AK24,AM23:AM31,0))</f>
        <v>#N/A</v>
      </c>
      <c r="AL25" s="1024"/>
      <c r="AM25" s="845">
        <v>50</v>
      </c>
      <c r="AN25" s="846">
        <v>80</v>
      </c>
      <c r="AV25" s="270" t="s">
        <v>196</v>
      </c>
      <c r="AW25" s="1024"/>
      <c r="AX25" s="1024"/>
      <c r="AY25" s="1024">
        <f t="array" ref="AY25">IF(OR(AV25=$C$23:$C$61),1,0)</f>
        <v>0</v>
      </c>
      <c r="AZ25" s="1024"/>
      <c r="BA25" s="1024"/>
      <c r="BB25" s="1024"/>
      <c r="BC25" s="1024"/>
      <c r="BD25" s="1024"/>
      <c r="BE25" s="206"/>
    </row>
    <row r="26" spans="1:57" ht="15" customHeight="1" thickBot="1">
      <c r="B26" s="1037">
        <f>SUBTOTAL(3,$I$13:I26)</f>
        <v>0</v>
      </c>
      <c r="C26" s="629"/>
      <c r="D26" s="630"/>
      <c r="E26" s="630"/>
      <c r="F26" s="630"/>
      <c r="G26" s="631"/>
      <c r="H26" s="608"/>
      <c r="I26" s="609"/>
      <c r="J26" s="1013"/>
      <c r="K26" s="609"/>
      <c r="L26" s="610">
        <f t="shared" si="3"/>
        <v>0</v>
      </c>
      <c r="N26" s="1032">
        <f t="shared" si="2"/>
        <v>0</v>
      </c>
      <c r="P26" s="255"/>
      <c r="Q26" s="255"/>
      <c r="S26" s="1035"/>
      <c r="T26" s="1035"/>
      <c r="U26" s="112"/>
      <c r="V26" s="112"/>
      <c r="W26" s="113"/>
      <c r="X26" s="110"/>
      <c r="Y26" s="109" t="s">
        <v>947</v>
      </c>
      <c r="Z26" s="498" t="s">
        <v>1154</v>
      </c>
      <c r="AG26" s="1"/>
      <c r="AH26" s="774"/>
      <c r="AI26" s="775"/>
      <c r="AJ26" s="851" t="s">
        <v>915</v>
      </c>
      <c r="AK26" s="573">
        <f>IF(AK24&gt;0,ТИП7!ПЛ*7,0)</f>
        <v>0</v>
      </c>
      <c r="AL26" s="1024"/>
      <c r="AM26" s="845">
        <v>60</v>
      </c>
      <c r="AN26" s="846">
        <v>80</v>
      </c>
      <c r="AV26" s="270" t="s">
        <v>350</v>
      </c>
      <c r="AW26" s="1024"/>
      <c r="AX26" s="1024"/>
      <c r="AY26" s="1024">
        <f t="array" ref="AY26">IF(OR(AV26=$C$23:$C$61),1,0)</f>
        <v>0</v>
      </c>
      <c r="AZ26" s="1024"/>
      <c r="BA26" s="1024"/>
      <c r="BB26" s="1024"/>
      <c r="BC26" s="1024"/>
      <c r="BD26" s="1024"/>
      <c r="BE26" s="206"/>
    </row>
    <row r="27" spans="1:57" ht="15" customHeight="1">
      <c r="B27" s="1037">
        <f>SUBTOTAL(3,$I$13:I27)</f>
        <v>0</v>
      </c>
      <c r="C27" s="648"/>
      <c r="D27" s="649"/>
      <c r="E27" s="649"/>
      <c r="F27" s="649"/>
      <c r="G27" s="650"/>
      <c r="H27" s="1037"/>
      <c r="I27" s="595"/>
      <c r="J27" s="1037"/>
      <c r="K27" s="609"/>
      <c r="L27" s="610">
        <f t="shared" si="3"/>
        <v>0</v>
      </c>
      <c r="N27" s="1032">
        <f t="shared" si="2"/>
        <v>0</v>
      </c>
      <c r="P27" s="255"/>
      <c r="Q27" s="255"/>
      <c r="S27" s="1035"/>
      <c r="T27" s="1035"/>
      <c r="U27" s="112"/>
      <c r="V27" s="112"/>
      <c r="W27" s="113"/>
      <c r="X27" s="110"/>
      <c r="Y27" s="109" t="s">
        <v>144</v>
      </c>
      <c r="Z27" s="566" t="s">
        <v>694</v>
      </c>
      <c r="AG27" s="1"/>
      <c r="AH27" s="774"/>
      <c r="AI27" s="1"/>
      <c r="AJ27" s="847"/>
      <c r="AK27" s="1024"/>
      <c r="AL27" s="1024"/>
      <c r="AM27" s="845">
        <v>70</v>
      </c>
      <c r="AN27" s="846">
        <v>100</v>
      </c>
      <c r="AV27" s="270" t="s">
        <v>290</v>
      </c>
      <c r="AW27" s="1024"/>
      <c r="AX27" s="1024"/>
      <c r="AY27" s="1024">
        <f t="array" ref="AY27">IF(OR(AV27=$C$23:$C$61),1,0)</f>
        <v>0</v>
      </c>
      <c r="AZ27" s="1024"/>
      <c r="BA27" s="1024"/>
      <c r="BB27" s="1024"/>
      <c r="BC27" s="1024"/>
      <c r="BD27" s="1024"/>
      <c r="BE27" s="206"/>
    </row>
    <row r="28" spans="1:57" ht="15" customHeight="1">
      <c r="B28" s="1037">
        <f>SUBTOTAL(3,$I$13:I28)</f>
        <v>0</v>
      </c>
      <c r="C28" s="626"/>
      <c r="D28" s="627"/>
      <c r="E28" s="627"/>
      <c r="F28" s="627"/>
      <c r="G28" s="628"/>
      <c r="H28" s="608"/>
      <c r="I28" s="609"/>
      <c r="J28" s="1013"/>
      <c r="K28" s="609"/>
      <c r="L28" s="610">
        <f t="shared" si="3"/>
        <v>0</v>
      </c>
      <c r="N28" s="1032">
        <f t="shared" si="2"/>
        <v>0</v>
      </c>
      <c r="P28" s="255"/>
      <c r="Q28" s="255"/>
      <c r="S28" s="1035"/>
      <c r="T28" s="1035"/>
      <c r="U28" s="112"/>
      <c r="V28" s="112"/>
      <c r="W28" s="113"/>
      <c r="X28" s="110"/>
      <c r="Y28" s="216"/>
      <c r="Z28" s="499" t="s">
        <v>693</v>
      </c>
      <c r="AG28" s="1"/>
      <c r="AH28" s="774"/>
      <c r="AI28" s="1"/>
      <c r="AJ28" s="847"/>
      <c r="AK28" s="1024"/>
      <c r="AL28" s="1024"/>
      <c r="AM28" s="845">
        <v>80</v>
      </c>
      <c r="AN28" s="846">
        <v>100</v>
      </c>
      <c r="AV28" s="270" t="s">
        <v>200</v>
      </c>
      <c r="AW28" s="1024"/>
      <c r="AX28" s="1024"/>
      <c r="AY28" s="1024">
        <f t="array" ref="AY28">IF(OR(AV28=$C$23:$C$61),1,0)</f>
        <v>0</v>
      </c>
      <c r="AZ28" s="1024"/>
      <c r="BA28" s="1024"/>
      <c r="BB28" s="1024"/>
      <c r="BC28" s="1024"/>
      <c r="BD28" s="1024"/>
      <c r="BE28" s="206"/>
    </row>
    <row r="29" spans="1:57" ht="15" customHeight="1">
      <c r="B29" s="1037">
        <f>SUBTOTAL(3,$I$13:I29)</f>
        <v>0</v>
      </c>
      <c r="C29" s="629"/>
      <c r="D29" s="630"/>
      <c r="E29" s="630"/>
      <c r="F29" s="630"/>
      <c r="G29" s="631"/>
      <c r="H29" s="608"/>
      <c r="I29" s="615"/>
      <c r="J29" s="1013"/>
      <c r="K29" s="609"/>
      <c r="L29" s="610">
        <f t="shared" si="3"/>
        <v>0</v>
      </c>
      <c r="N29" s="1032">
        <f t="shared" si="2"/>
        <v>0</v>
      </c>
      <c r="P29" s="255"/>
      <c r="Q29" s="255"/>
      <c r="S29" s="1035"/>
      <c r="T29" s="1035"/>
      <c r="U29" s="112"/>
      <c r="V29" s="112"/>
      <c r="W29" s="113"/>
      <c r="X29" s="110"/>
      <c r="Y29" s="215" t="s">
        <v>316</v>
      </c>
      <c r="Z29" s="499" t="s">
        <v>692</v>
      </c>
      <c r="AG29" s="1"/>
      <c r="AH29" s="774"/>
      <c r="AI29" s="1"/>
      <c r="AJ29" s="847"/>
      <c r="AK29" s="1024"/>
      <c r="AL29" s="1024"/>
      <c r="AM29" s="845">
        <v>90</v>
      </c>
      <c r="AN29" s="846">
        <v>120</v>
      </c>
      <c r="AV29" s="270" t="s">
        <v>201</v>
      </c>
      <c r="AW29" s="1024"/>
      <c r="AX29" s="1024"/>
      <c r="AY29" s="1024">
        <f t="array" ref="AY29">IF(OR(AV29=$C$23:$C$61),1,0)</f>
        <v>0</v>
      </c>
      <c r="AZ29" s="1024"/>
      <c r="BA29" s="1024"/>
      <c r="BB29" s="1024"/>
      <c r="BC29" s="1024"/>
      <c r="BD29" s="1024"/>
      <c r="BE29" s="206"/>
    </row>
    <row r="30" spans="1:57" ht="15" customHeight="1">
      <c r="B30" s="1037">
        <f>SUBTOTAL(3,$I$13:I30)</f>
        <v>0</v>
      </c>
      <c r="C30" s="629"/>
      <c r="D30" s="630"/>
      <c r="E30" s="630"/>
      <c r="F30" s="630"/>
      <c r="G30" s="631"/>
      <c r="H30" s="608"/>
      <c r="I30" s="616"/>
      <c r="J30" s="1013"/>
      <c r="K30" s="609"/>
      <c r="L30" s="610">
        <f t="shared" si="3"/>
        <v>0</v>
      </c>
      <c r="N30" s="1032">
        <f t="shared" si="2"/>
        <v>0</v>
      </c>
      <c r="P30" s="255"/>
      <c r="Q30" s="255"/>
      <c r="S30" s="1035"/>
      <c r="T30" s="1035"/>
      <c r="U30" s="112"/>
      <c r="V30" s="112"/>
      <c r="W30" s="113"/>
      <c r="X30" s="110"/>
      <c r="Y30" s="215" t="s">
        <v>325</v>
      </c>
      <c r="Z30" s="499" t="s">
        <v>688</v>
      </c>
      <c r="AG30" s="1"/>
      <c r="AH30" s="1"/>
      <c r="AI30" s="1"/>
      <c r="AJ30" s="847"/>
      <c r="AK30" s="1024"/>
      <c r="AL30" s="1024"/>
      <c r="AM30" s="845">
        <v>100</v>
      </c>
      <c r="AN30" s="846">
        <v>120</v>
      </c>
      <c r="AV30" s="270" t="s">
        <v>202</v>
      </c>
      <c r="AW30" s="1024"/>
      <c r="AX30" s="1024"/>
      <c r="AY30" s="1024">
        <f t="array" ref="AY30">IF(OR(AV30=$C$23:$C$61),1,0)</f>
        <v>0</v>
      </c>
      <c r="AZ30" s="1024"/>
      <c r="BA30" s="1024"/>
      <c r="BB30" s="1024"/>
      <c r="BC30" s="1024"/>
      <c r="BD30" s="1024"/>
      <c r="BE30" s="206"/>
    </row>
    <row r="31" spans="1:57" ht="15" customHeight="1" thickBot="1">
      <c r="B31" s="1037">
        <f>SUBTOTAL(3,$I$13:I31)</f>
        <v>0</v>
      </c>
      <c r="C31" s="629"/>
      <c r="D31" s="630"/>
      <c r="E31" s="630"/>
      <c r="F31" s="630"/>
      <c r="G31" s="631"/>
      <c r="H31" s="608"/>
      <c r="I31" s="615"/>
      <c r="J31" s="1013"/>
      <c r="K31" s="609"/>
      <c r="L31" s="610">
        <f t="shared" si="3"/>
        <v>0</v>
      </c>
      <c r="N31" s="1032">
        <f t="shared" si="2"/>
        <v>0</v>
      </c>
      <c r="P31" s="255"/>
      <c r="Q31" s="255"/>
      <c r="S31" s="1035"/>
      <c r="T31" s="1035"/>
      <c r="U31" s="112"/>
      <c r="V31" s="112"/>
      <c r="W31" s="113"/>
      <c r="X31" s="110"/>
      <c r="Y31" s="215" t="s">
        <v>327</v>
      </c>
      <c r="Z31" s="500" t="s">
        <v>690</v>
      </c>
      <c r="AG31" s="1"/>
      <c r="AH31" s="1"/>
      <c r="AI31" s="1"/>
      <c r="AJ31" s="848"/>
      <c r="AK31" s="274"/>
      <c r="AL31" s="274"/>
      <c r="AM31" s="849">
        <v>110</v>
      </c>
      <c r="AN31" s="850">
        <v>160</v>
      </c>
      <c r="AV31" s="270" t="s">
        <v>289</v>
      </c>
      <c r="AW31" s="1024"/>
      <c r="AX31" s="1024"/>
      <c r="AY31" s="1024">
        <f t="array" ref="AY31">IF(OR(AV31=$C$23:$C$61),1,0)</f>
        <v>0</v>
      </c>
      <c r="AZ31" s="1024"/>
      <c r="BA31" s="159" t="e">
        <f>INDEX(AV23:AV43,MATCH(1,AY23:AY43,0))</f>
        <v>#N/A</v>
      </c>
      <c r="BB31" s="1024"/>
      <c r="BC31" s="1024"/>
      <c r="BD31" s="1024"/>
      <c r="BE31" s="206"/>
    </row>
    <row r="32" spans="1:57" ht="15" customHeight="1">
      <c r="B32" s="1037">
        <f>SUBTOTAL(3,$I$13:I32)</f>
        <v>0</v>
      </c>
      <c r="C32" s="648"/>
      <c r="D32" s="649"/>
      <c r="E32" s="649"/>
      <c r="F32" s="649"/>
      <c r="G32" s="650"/>
      <c r="H32" s="1037"/>
      <c r="I32" s="617"/>
      <c r="J32" s="1037"/>
      <c r="K32" s="609"/>
      <c r="L32" s="610">
        <f t="shared" si="3"/>
        <v>0</v>
      </c>
      <c r="N32" s="1032">
        <f t="shared" si="2"/>
        <v>0</v>
      </c>
      <c r="P32" s="255"/>
      <c r="Q32" s="255"/>
      <c r="S32" s="1035"/>
      <c r="T32" s="1035"/>
      <c r="U32" s="112"/>
      <c r="V32" s="112"/>
      <c r="W32" s="113"/>
      <c r="X32" s="110"/>
      <c r="Y32" s="215" t="s">
        <v>996</v>
      </c>
      <c r="Z32" s="499" t="s">
        <v>1114</v>
      </c>
      <c r="AG32" s="1"/>
      <c r="AH32" s="1"/>
      <c r="AI32" s="1"/>
      <c r="AJ32" s="1"/>
      <c r="AV32" s="270" t="s">
        <v>203</v>
      </c>
      <c r="AW32" s="1024"/>
      <c r="AX32" s="1024"/>
      <c r="AY32" s="1024">
        <f t="array" ref="AY32">IF(OR(AV32=$C$23:$C$61),1,0)</f>
        <v>0</v>
      </c>
      <c r="AZ32" s="1024"/>
      <c r="BA32" s="1024"/>
      <c r="BB32" s="1024"/>
      <c r="BC32" s="1024"/>
      <c r="BD32" s="1024"/>
      <c r="BE32" s="206"/>
    </row>
    <row r="33" spans="1:57" ht="15" customHeight="1">
      <c r="B33" s="1037">
        <f>SUBTOTAL(3,$I$13:I33)</f>
        <v>0</v>
      </c>
      <c r="C33" s="651"/>
      <c r="D33" s="649"/>
      <c r="E33" s="649"/>
      <c r="F33" s="649"/>
      <c r="G33" s="650"/>
      <c r="H33" s="1037"/>
      <c r="I33" s="1037"/>
      <c r="J33" s="1037"/>
      <c r="K33" s="609"/>
      <c r="L33" s="610">
        <f t="shared" si="3"/>
        <v>0</v>
      </c>
      <c r="N33" s="1032">
        <f t="shared" si="2"/>
        <v>0</v>
      </c>
      <c r="P33" s="1"/>
      <c r="Q33" s="1"/>
      <c r="S33" s="1035"/>
      <c r="T33" s="1035"/>
      <c r="U33" s="112"/>
      <c r="V33" s="112"/>
      <c r="W33" s="113"/>
      <c r="X33" s="110"/>
      <c r="Y33" s="215" t="s">
        <v>997</v>
      </c>
      <c r="Z33" s="499" t="s">
        <v>691</v>
      </c>
      <c r="AG33" s="1"/>
      <c r="AH33" s="1"/>
      <c r="AI33" s="1"/>
      <c r="AJ33" s="1"/>
      <c r="AV33" s="270" t="s">
        <v>204</v>
      </c>
      <c r="AW33" s="1024"/>
      <c r="AX33" s="1024"/>
      <c r="AY33" s="1024">
        <f t="array" ref="AY33">IF(OR(AV33=$C$23:$C$61),1,0)</f>
        <v>0</v>
      </c>
      <c r="AZ33" s="1024"/>
      <c r="BA33" s="1024"/>
      <c r="BB33" s="1024"/>
      <c r="BC33" s="1024"/>
      <c r="BD33" s="1024"/>
      <c r="BE33" s="206"/>
    </row>
    <row r="34" spans="1:57" ht="15" customHeight="1" thickBot="1">
      <c r="B34" s="1037">
        <f>SUBTOTAL(3,$I$13:I34)</f>
        <v>0</v>
      </c>
      <c r="C34" s="629"/>
      <c r="D34" s="630"/>
      <c r="E34" s="630"/>
      <c r="F34" s="630"/>
      <c r="G34" s="631"/>
      <c r="H34" s="1037"/>
      <c r="I34" s="595"/>
      <c r="J34" s="1037"/>
      <c r="K34" s="609"/>
      <c r="L34" s="610">
        <f>IFERROR(I34*K34,0)</f>
        <v>0</v>
      </c>
      <c r="N34" s="1032">
        <f>IF(OR(I34=" ",I34=0),0,1)</f>
        <v>0</v>
      </c>
      <c r="P34" s="1"/>
      <c r="Q34" s="1"/>
      <c r="S34" s="1035"/>
      <c r="T34" s="1035"/>
      <c r="U34" s="112"/>
      <c r="V34" s="112"/>
      <c r="W34" s="113"/>
      <c r="X34" s="110"/>
      <c r="Y34" s="215" t="s">
        <v>991</v>
      </c>
      <c r="Z34" s="499" t="s">
        <v>689</v>
      </c>
      <c r="AG34" s="1"/>
      <c r="AH34" s="1"/>
      <c r="AI34" s="1"/>
      <c r="AJ34" s="1"/>
      <c r="AV34" s="270" t="s">
        <v>205</v>
      </c>
      <c r="AW34" s="1024"/>
      <c r="AX34" s="1024"/>
      <c r="AY34" s="1024">
        <f t="array" ref="AY34">IF(OR(AV34=$C$23:$C$61),1,0)</f>
        <v>0</v>
      </c>
      <c r="AZ34" s="1024"/>
      <c r="BA34" s="1024"/>
      <c r="BB34" s="1024"/>
      <c r="BC34" s="1024"/>
      <c r="BD34" s="1024"/>
      <c r="BE34" s="206"/>
    </row>
    <row r="35" spans="1:57" ht="15" customHeight="1">
      <c r="B35" s="1037">
        <f>SUBTOTAL(3,$I$13:I35)</f>
        <v>0</v>
      </c>
      <c r="C35" s="629"/>
      <c r="D35" s="630"/>
      <c r="E35" s="630"/>
      <c r="F35" s="630"/>
      <c r="G35" s="631"/>
      <c r="H35" s="1037"/>
      <c r="I35" s="595"/>
      <c r="J35" s="1037"/>
      <c r="K35" s="609"/>
      <c r="L35" s="610">
        <f>IFERROR(I35*K35,0)</f>
        <v>0</v>
      </c>
      <c r="N35" s="1032">
        <f>IF(OR(I35=" ",I35=0),0,1)</f>
        <v>0</v>
      </c>
      <c r="P35" s="1"/>
      <c r="Q35" s="1"/>
      <c r="S35" s="1035"/>
      <c r="T35" s="1035"/>
      <c r="U35" s="112"/>
      <c r="V35" s="112"/>
      <c r="W35" s="113"/>
      <c r="X35" s="110"/>
      <c r="Y35" s="215" t="s">
        <v>321</v>
      </c>
      <c r="Z35" s="930" t="s">
        <v>1472</v>
      </c>
      <c r="AG35" s="1"/>
      <c r="AH35" s="1"/>
      <c r="AI35" s="1"/>
      <c r="AJ35" s="1"/>
      <c r="AM35" s="1"/>
      <c r="AN35" s="1"/>
      <c r="AV35" s="271" t="s">
        <v>265</v>
      </c>
      <c r="AW35" s="1024"/>
      <c r="AX35" s="1024"/>
      <c r="AY35" s="1024">
        <f t="array" ref="AY35">IF(OR(AV35=$C$23:$C$61),1,0)</f>
        <v>0</v>
      </c>
      <c r="AZ35" s="1024"/>
      <c r="BA35" s="1024"/>
      <c r="BB35" s="1024"/>
      <c r="BC35" s="1024"/>
      <c r="BD35" s="1024"/>
      <c r="BE35" s="206"/>
    </row>
    <row r="36" spans="1:57" ht="15" customHeight="1">
      <c r="A36" s="408" t="str">
        <f ca="1">HYPERLINK("#"&amp;$AB$5&amp;"!P157","↓ ")</f>
        <v xml:space="preserve">↓ </v>
      </c>
      <c r="B36" s="864" t="str">
        <f ca="1">HYPERLINK("#"&amp;$AB$5&amp;"!P102","↓ ")</f>
        <v xml:space="preserve">↓ </v>
      </c>
      <c r="C36" s="652" t="s">
        <v>572</v>
      </c>
      <c r="D36" s="649"/>
      <c r="E36" s="649"/>
      <c r="F36" s="656"/>
      <c r="G36" s="653"/>
      <c r="H36" s="607" t="str">
        <f ca="1">HYPERLINK("#"&amp;AB5&amp;"!A940","1111")</f>
        <v>1111</v>
      </c>
      <c r="I36" s="1013"/>
      <c r="J36" s="607" t="str">
        <f ca="1">HYPERLINK("#"&amp;AB5&amp;"!A1050","1111")</f>
        <v>1111</v>
      </c>
      <c r="K36" s="607" t="str">
        <f ca="1">HYPERLINK("#"&amp;$AB$5&amp;"!A1150","ТЕПЛО ПАРАПЕТ ")</f>
        <v xml:space="preserve">ТЕПЛО ПАРАПЕТ </v>
      </c>
      <c r="L36" s="597">
        <f>SUM(L37:L61)</f>
        <v>0</v>
      </c>
      <c r="N36" s="1032">
        <f>IF(SUM(I23:I61)&gt;0,1,0)</f>
        <v>0</v>
      </c>
      <c r="P36" s="1"/>
      <c r="Q36" s="1"/>
      <c r="S36" s="1035"/>
      <c r="T36" s="1035"/>
      <c r="U36" s="112"/>
      <c r="V36" s="112"/>
      <c r="W36" s="113"/>
      <c r="X36" s="110"/>
      <c r="Y36" s="215" t="s">
        <v>1157</v>
      </c>
      <c r="Z36" s="931" t="s">
        <v>180</v>
      </c>
      <c r="AA36" s="1"/>
      <c r="AB36" s="1"/>
      <c r="AG36" s="1"/>
      <c r="AH36" s="1"/>
      <c r="AI36" s="1"/>
      <c r="AJ36" s="1"/>
      <c r="AM36" s="1"/>
      <c r="AN36" s="1"/>
      <c r="AV36" s="271" t="s">
        <v>288</v>
      </c>
      <c r="AW36" s="1024"/>
      <c r="AX36" s="1024"/>
      <c r="AY36" s="1024">
        <f t="array" ref="AY36">IF(OR(AV36=$C$23:$C$61),1,0)</f>
        <v>0</v>
      </c>
      <c r="AZ36" s="1024"/>
      <c r="BA36" s="1024"/>
      <c r="BB36" s="1024"/>
      <c r="BC36" s="1024"/>
      <c r="BD36" s="1024"/>
      <c r="BE36" s="206"/>
    </row>
    <row r="37" spans="1:57" ht="15" customHeight="1" thickBot="1">
      <c r="B37" s="1037">
        <f>SUBTOTAL(3,$I$13:I37)</f>
        <v>0</v>
      </c>
      <c r="C37" s="626"/>
      <c r="D37" s="627"/>
      <c r="E37" s="627"/>
      <c r="F37" s="656"/>
      <c r="G37" s="628"/>
      <c r="H37" s="608"/>
      <c r="I37" s="711"/>
      <c r="J37" s="1013"/>
      <c r="K37" s="609"/>
      <c r="L37" s="610">
        <f>IFERROR(I23*K37,0)</f>
        <v>0</v>
      </c>
      <c r="N37" s="1032">
        <f>IF(OR(I23=" ",I23=0),0,1)</f>
        <v>0</v>
      </c>
      <c r="P37" s="1"/>
      <c r="Q37" s="1"/>
      <c r="S37" s="1035"/>
      <c r="T37" s="1035"/>
      <c r="U37" s="112"/>
      <c r="V37" s="112"/>
      <c r="W37" s="113"/>
      <c r="X37" s="110"/>
      <c r="Y37" s="215" t="s">
        <v>1158</v>
      </c>
      <c r="Z37" s="932" t="s">
        <v>1463</v>
      </c>
      <c r="AA37" s="1"/>
      <c r="AB37" s="1"/>
      <c r="AG37" s="1"/>
      <c r="AH37" s="1"/>
      <c r="AI37" s="1"/>
      <c r="AJ37" s="1"/>
      <c r="AM37" s="1"/>
      <c r="AN37" s="1"/>
      <c r="AV37" s="271" t="s">
        <v>266</v>
      </c>
      <c r="AW37" s="1024"/>
      <c r="AX37" s="1024"/>
      <c r="AY37" s="1024">
        <f t="array" ref="AY37">IF(OR(AV37=$C$23:$C$61),1,0)</f>
        <v>0</v>
      </c>
      <c r="AZ37" s="1024"/>
      <c r="BA37" s="1024"/>
      <c r="BB37" s="1024"/>
      <c r="BC37" s="1024"/>
      <c r="BD37" s="1024"/>
      <c r="BE37" s="206"/>
    </row>
    <row r="38" spans="1:57" ht="15" customHeight="1">
      <c r="B38" s="1037">
        <f>SUBTOTAL(3,$I$13:I38)</f>
        <v>0</v>
      </c>
      <c r="C38" s="1014"/>
      <c r="D38" s="640"/>
      <c r="E38" s="640"/>
      <c r="F38" s="656"/>
      <c r="G38" s="628"/>
      <c r="H38" s="1037"/>
      <c r="I38" s="611"/>
      <c r="J38" s="1013"/>
      <c r="K38" s="609"/>
      <c r="L38" s="610">
        <f>IFERROR(I24*K38,0)</f>
        <v>0</v>
      </c>
      <c r="N38" s="1032">
        <f>IF(OR(I24=" ",I24=0),0,1)</f>
        <v>0</v>
      </c>
      <c r="P38" s="1"/>
      <c r="Q38" s="1"/>
      <c r="S38" s="1035"/>
      <c r="T38" s="1035"/>
      <c r="U38" s="112"/>
      <c r="V38" s="112"/>
      <c r="W38" s="113"/>
      <c r="X38" s="110"/>
      <c r="Y38" s="215" t="s">
        <v>1156</v>
      </c>
      <c r="AG38" s="1"/>
      <c r="AH38" s="1"/>
      <c r="AI38" s="1"/>
      <c r="AJ38" s="1"/>
      <c r="AM38" s="1"/>
      <c r="AN38" s="1"/>
      <c r="AV38" s="271" t="s">
        <v>197</v>
      </c>
      <c r="AW38" s="1024"/>
      <c r="AX38" s="1024"/>
      <c r="AY38" s="1024">
        <f t="array" ref="AY38">IF(OR(AV38=$C$23:$C$61),1,0)</f>
        <v>0</v>
      </c>
      <c r="AZ38" s="1024"/>
      <c r="BA38" s="1024"/>
      <c r="BB38" s="1024"/>
      <c r="BC38" s="1024"/>
      <c r="BD38" s="1024"/>
      <c r="BE38" s="206"/>
    </row>
    <row r="39" spans="1:57" ht="15" customHeight="1">
      <c r="B39" s="1037">
        <f>SUBTOTAL(3,$I$13:I39)</f>
        <v>0</v>
      </c>
      <c r="C39" s="1014"/>
      <c r="D39" s="640"/>
      <c r="E39" s="640"/>
      <c r="F39" s="656"/>
      <c r="G39" s="628"/>
      <c r="H39" s="1037"/>
      <c r="I39" s="611"/>
      <c r="J39" s="1013"/>
      <c r="K39" s="609"/>
      <c r="L39" s="610">
        <f t="shared" ref="L39:L61" si="4">IFERROR(I39*K39,0)</f>
        <v>0</v>
      </c>
      <c r="N39" s="1032">
        <f t="shared" ref="N39:N60" si="5">IF(OR(I39=" ",I39=0),0,1)</f>
        <v>0</v>
      </c>
      <c r="P39" s="1"/>
      <c r="Q39" s="1"/>
      <c r="S39" s="1035"/>
      <c r="T39" s="1035"/>
      <c r="U39" s="112"/>
      <c r="V39" s="112"/>
      <c r="W39" s="113"/>
      <c r="X39" s="110"/>
      <c r="Y39" s="215" t="s">
        <v>792</v>
      </c>
      <c r="AM39" s="1"/>
      <c r="AN39" s="1"/>
      <c r="AV39" s="270" t="s">
        <v>346</v>
      </c>
      <c r="AW39" s="1024"/>
      <c r="AX39" s="1024"/>
      <c r="AY39" s="1024">
        <f t="array" ref="AY39">IF(OR(AV39=$C$23:$C$61),1,0)</f>
        <v>0</v>
      </c>
      <c r="AZ39" s="1024"/>
      <c r="BA39" s="1024"/>
      <c r="BB39" s="1024"/>
      <c r="BC39" s="1024"/>
      <c r="BD39" s="1024"/>
      <c r="BE39" s="206"/>
    </row>
    <row r="40" spans="1:57" ht="15" customHeight="1">
      <c r="B40" s="1037">
        <f>SUBTOTAL(3,$I$13:I40)</f>
        <v>0</v>
      </c>
      <c r="C40" s="1014"/>
      <c r="D40" s="640"/>
      <c r="E40" s="640"/>
      <c r="F40" s="656"/>
      <c r="G40" s="628"/>
      <c r="H40" s="1037"/>
      <c r="I40" s="611"/>
      <c r="J40" s="1013"/>
      <c r="K40" s="609"/>
      <c r="L40" s="610">
        <f t="shared" si="4"/>
        <v>0</v>
      </c>
      <c r="N40" s="1032">
        <f t="shared" si="5"/>
        <v>0</v>
      </c>
      <c r="P40" s="1"/>
      <c r="Q40" s="1"/>
      <c r="S40" s="1035"/>
      <c r="T40" s="1035"/>
      <c r="U40" s="112"/>
      <c r="V40" s="112"/>
      <c r="W40" s="113"/>
      <c r="X40" s="110"/>
      <c r="Y40" s="215" t="s">
        <v>453</v>
      </c>
      <c r="AM40" s="1"/>
      <c r="AN40" s="1"/>
      <c r="AV40" s="271" t="s">
        <v>197</v>
      </c>
      <c r="AW40" s="1024"/>
      <c r="AX40" s="1024"/>
      <c r="AY40" s="1024">
        <f t="array" ref="AY40">IF(OR(AV40=$C$23:$C$61),1,0)</f>
        <v>0</v>
      </c>
      <c r="AZ40" s="1024"/>
      <c r="BA40" s="1024"/>
      <c r="BB40" s="1024"/>
      <c r="BC40" s="1024"/>
      <c r="BD40" s="1024"/>
      <c r="BE40" s="206"/>
    </row>
    <row r="41" spans="1:57" ht="15" customHeight="1">
      <c r="B41" s="1037">
        <f>SUBTOTAL(3,$I$13:I41)</f>
        <v>0</v>
      </c>
      <c r="C41" s="1014"/>
      <c r="D41" s="640"/>
      <c r="E41" s="640"/>
      <c r="F41" s="656"/>
      <c r="G41" s="628"/>
      <c r="H41" s="1037"/>
      <c r="I41" s="611"/>
      <c r="J41" s="1013"/>
      <c r="K41" s="609"/>
      <c r="L41" s="610">
        <f t="shared" si="4"/>
        <v>0</v>
      </c>
      <c r="N41" s="1032">
        <f t="shared" si="5"/>
        <v>0</v>
      </c>
      <c r="P41" s="1035"/>
      <c r="Q41" s="1035"/>
      <c r="S41" s="1035"/>
      <c r="T41" s="1035"/>
      <c r="U41" s="112"/>
      <c r="V41" s="112"/>
      <c r="W41" s="113"/>
      <c r="X41" s="110"/>
      <c r="Y41" s="215" t="s">
        <v>452</v>
      </c>
      <c r="AC41" s="1"/>
      <c r="AM41" s="1"/>
      <c r="AN41" s="1"/>
      <c r="AV41" s="271" t="s">
        <v>347</v>
      </c>
      <c r="AW41" s="1024"/>
      <c r="AX41" s="1024"/>
      <c r="AY41" s="1024">
        <f t="array" ref="AY41">IF(OR(AV41=$C$23:$C$61),1,0)</f>
        <v>0</v>
      </c>
      <c r="AZ41" s="1024"/>
      <c r="BA41" s="1024"/>
      <c r="BB41" s="1024"/>
      <c r="BC41" s="1024"/>
      <c r="BD41" s="1024"/>
      <c r="BE41" s="206"/>
    </row>
    <row r="42" spans="1:57" ht="15" customHeight="1">
      <c r="B42" s="1037">
        <f>SUBTOTAL(3,$I$13:I42)</f>
        <v>0</v>
      </c>
      <c r="C42" s="1014"/>
      <c r="D42" s="640"/>
      <c r="E42" s="640"/>
      <c r="F42" s="656"/>
      <c r="G42" s="628"/>
      <c r="H42" s="1037"/>
      <c r="I42" s="611"/>
      <c r="J42" s="1013"/>
      <c r="K42" s="609"/>
      <c r="L42" s="610">
        <f t="shared" si="4"/>
        <v>0</v>
      </c>
      <c r="N42" s="1032">
        <f t="shared" si="5"/>
        <v>0</v>
      </c>
      <c r="P42" s="1035"/>
      <c r="Q42" s="1035"/>
      <c r="S42" s="1035"/>
      <c r="T42" s="1035"/>
      <c r="U42" s="112"/>
      <c r="V42" s="112"/>
      <c r="W42" s="113"/>
      <c r="X42" s="110"/>
      <c r="Z42" s="1"/>
      <c r="AA42" s="1"/>
      <c r="AB42" s="1"/>
      <c r="AC42" s="1"/>
      <c r="AD42" s="1"/>
      <c r="AE42" s="1"/>
      <c r="AM42" s="1"/>
      <c r="AN42" s="1"/>
      <c r="AV42" s="271" t="s">
        <v>348</v>
      </c>
      <c r="AW42" s="1024"/>
      <c r="AX42" s="1024"/>
      <c r="AY42" s="1024">
        <f t="array" ref="AY42">IF(OR(AV42=$C$23:$C$61),1,0)</f>
        <v>0</v>
      </c>
      <c r="AZ42" s="1024"/>
      <c r="BA42" s="1024"/>
      <c r="BB42" s="1024"/>
      <c r="BC42" s="1024"/>
      <c r="BD42" s="1024"/>
      <c r="BE42" s="206"/>
    </row>
    <row r="43" spans="1:57" ht="15" customHeight="1">
      <c r="B43" s="1037">
        <f>SUBTOTAL(3,$I$13:I43)</f>
        <v>0</v>
      </c>
      <c r="C43" s="1014"/>
      <c r="D43" s="640"/>
      <c r="E43" s="640"/>
      <c r="F43" s="656"/>
      <c r="G43" s="628"/>
      <c r="H43" s="1037"/>
      <c r="I43" s="611"/>
      <c r="J43" s="1013"/>
      <c r="K43" s="609"/>
      <c r="L43" s="610">
        <f t="shared" si="4"/>
        <v>0</v>
      </c>
      <c r="N43" s="1032">
        <f t="shared" si="5"/>
        <v>0</v>
      </c>
      <c r="P43" s="1035"/>
      <c r="Q43" s="1035"/>
      <c r="S43" s="1035"/>
      <c r="T43" s="1035"/>
      <c r="U43" s="112"/>
      <c r="V43" s="112"/>
      <c r="W43" s="113"/>
      <c r="X43" s="110"/>
      <c r="Z43" s="1"/>
      <c r="AA43" s="1"/>
      <c r="AB43" s="1"/>
      <c r="AC43" s="1"/>
      <c r="AD43" s="1"/>
      <c r="AE43" s="1"/>
      <c r="AM43" s="1"/>
      <c r="AN43" s="1"/>
      <c r="AV43" s="271" t="s">
        <v>794</v>
      </c>
      <c r="AW43" s="1024"/>
      <c r="AX43" s="1024"/>
      <c r="AY43" s="1024">
        <f t="array" ref="AY43">IF(OR(AV43=$C$23:$C$61),1,0)</f>
        <v>0</v>
      </c>
      <c r="AZ43" s="1024"/>
      <c r="BA43" s="1024"/>
      <c r="BB43" s="1024"/>
      <c r="BC43" s="1024"/>
      <c r="BD43" s="1024"/>
      <c r="BE43" s="206"/>
    </row>
    <row r="44" spans="1:57" ht="15" customHeight="1" thickBot="1">
      <c r="B44" s="1037">
        <f>SUBTOTAL(3,$I$13:I44)</f>
        <v>0</v>
      </c>
      <c r="C44" s="626"/>
      <c r="D44" s="627"/>
      <c r="E44" s="627"/>
      <c r="F44" s="627"/>
      <c r="G44" s="628"/>
      <c r="H44" s="608"/>
      <c r="I44" s="611"/>
      <c r="J44" s="1013"/>
      <c r="K44" s="609"/>
      <c r="L44" s="610">
        <f t="shared" si="4"/>
        <v>0</v>
      </c>
      <c r="N44" s="1032">
        <f t="shared" si="5"/>
        <v>0</v>
      </c>
      <c r="P44" s="1035"/>
      <c r="Q44" s="1035"/>
      <c r="S44" s="1035"/>
      <c r="T44" s="1035"/>
      <c r="U44" s="112"/>
      <c r="V44" s="112"/>
      <c r="W44" s="113"/>
      <c r="X44" s="110"/>
      <c r="Z44" s="1"/>
      <c r="AA44" s="1"/>
      <c r="AB44" s="1"/>
      <c r="AC44" s="1"/>
      <c r="AD44" s="1"/>
      <c r="AE44" s="1"/>
      <c r="AV44" s="273"/>
      <c r="AW44" s="274"/>
      <c r="AX44" s="274"/>
      <c r="AY44" s="274"/>
      <c r="AZ44" s="274"/>
      <c r="BA44" s="274"/>
      <c r="BB44" s="274"/>
      <c r="BC44" s="274"/>
      <c r="BD44" s="274"/>
      <c r="BE44" s="207"/>
    </row>
    <row r="45" spans="1:57" ht="15" customHeight="1">
      <c r="B45" s="1037">
        <f>SUBTOTAL(3,$I$13:I45)</f>
        <v>0</v>
      </c>
      <c r="C45" s="626"/>
      <c r="D45" s="627"/>
      <c r="E45" s="627"/>
      <c r="F45" s="627"/>
      <c r="G45" s="628"/>
      <c r="H45" s="608"/>
      <c r="I45" s="609"/>
      <c r="J45" s="1013"/>
      <c r="K45" s="609"/>
      <c r="L45" s="610">
        <f t="shared" si="4"/>
        <v>0</v>
      </c>
      <c r="N45" s="1032">
        <f t="shared" si="5"/>
        <v>0</v>
      </c>
      <c r="P45" s="1035"/>
      <c r="Q45" s="1035"/>
      <c r="S45" s="1035"/>
      <c r="T45" s="1035"/>
      <c r="U45" s="112"/>
      <c r="V45" s="112"/>
      <c r="W45" s="113"/>
      <c r="X45" s="114"/>
      <c r="Z45" s="1"/>
      <c r="AA45" s="1"/>
      <c r="AB45" s="1"/>
      <c r="AC45" s="1"/>
      <c r="AD45" s="1"/>
      <c r="AE45" s="1"/>
    </row>
    <row r="46" spans="1:57" ht="15" customHeight="1">
      <c r="B46" s="1037">
        <f>SUBTOTAL(3,$I$13:I46)</f>
        <v>0</v>
      </c>
      <c r="C46" s="654"/>
      <c r="D46" s="632"/>
      <c r="E46" s="632"/>
      <c r="F46" s="655"/>
      <c r="G46" s="632"/>
      <c r="H46" s="608"/>
      <c r="I46" s="609"/>
      <c r="J46" s="1013"/>
      <c r="K46" s="609"/>
      <c r="L46" s="610">
        <f t="shared" si="4"/>
        <v>0</v>
      </c>
      <c r="N46" s="1032">
        <f t="shared" si="5"/>
        <v>0</v>
      </c>
      <c r="P46" s="1035"/>
      <c r="Q46" s="1035"/>
      <c r="S46" s="1035"/>
      <c r="T46" s="1035"/>
      <c r="U46" s="112"/>
      <c r="V46" s="112"/>
      <c r="W46" s="113"/>
      <c r="X46" s="114"/>
      <c r="Z46" s="1"/>
      <c r="AA46" s="1"/>
      <c r="AB46" s="1"/>
      <c r="AC46" s="1"/>
      <c r="AD46" s="1"/>
      <c r="AE46" s="1"/>
    </row>
    <row r="47" spans="1:57" ht="15" customHeight="1">
      <c r="B47" s="1037">
        <f>SUBTOTAL(3,$I$13:I47)</f>
        <v>0</v>
      </c>
      <c r="C47" s="626"/>
      <c r="D47" s="627"/>
      <c r="E47" s="627"/>
      <c r="F47" s="656"/>
      <c r="G47" s="628"/>
      <c r="H47" s="608"/>
      <c r="I47" s="609"/>
      <c r="J47" s="1013"/>
      <c r="K47" s="609"/>
      <c r="L47" s="610">
        <f t="shared" si="4"/>
        <v>0</v>
      </c>
      <c r="N47" s="1032">
        <f t="shared" si="5"/>
        <v>0</v>
      </c>
      <c r="P47" s="1035"/>
      <c r="Q47" s="1035"/>
      <c r="S47" s="1035"/>
      <c r="T47" s="1035"/>
      <c r="U47" s="112"/>
      <c r="V47" s="112"/>
      <c r="W47" s="113"/>
      <c r="X47" s="114"/>
      <c r="Y47" s="1"/>
      <c r="Z47" s="1"/>
      <c r="AA47" s="1"/>
      <c r="AB47" s="1"/>
      <c r="AC47" s="1"/>
      <c r="AD47" s="1"/>
      <c r="AE47" s="1"/>
    </row>
    <row r="48" spans="1:57" ht="15" customHeight="1">
      <c r="B48" s="1037">
        <f>SUBTOTAL(3,$I$13:I48)</f>
        <v>0</v>
      </c>
      <c r="C48" s="159"/>
      <c r="D48" s="159"/>
      <c r="E48" s="159"/>
      <c r="F48" s="634"/>
      <c r="G48" s="159"/>
      <c r="H48" s="1037"/>
      <c r="I48" s="595"/>
      <c r="J48" s="1037"/>
      <c r="K48" s="609"/>
      <c r="L48" s="610">
        <f t="shared" si="4"/>
        <v>0</v>
      </c>
      <c r="N48" s="1032">
        <f t="shared" si="5"/>
        <v>0</v>
      </c>
      <c r="P48" s="1035"/>
      <c r="Q48" s="1035"/>
      <c r="S48" s="1035"/>
      <c r="T48" s="1035"/>
      <c r="U48" s="112"/>
      <c r="V48" s="112"/>
      <c r="W48" s="113"/>
      <c r="X48" s="114"/>
      <c r="Y48" s="1"/>
      <c r="Z48" s="1"/>
      <c r="AA48" s="1"/>
      <c r="AB48" s="1"/>
      <c r="AC48" s="1"/>
      <c r="AD48" s="1"/>
      <c r="AE48" s="1"/>
    </row>
    <row r="49" spans="2:31" ht="15" customHeight="1">
      <c r="B49" s="1037">
        <f>SUBTOTAL(3,$I$13:I49)</f>
        <v>0</v>
      </c>
      <c r="C49" s="1014"/>
      <c r="D49" s="1015"/>
      <c r="E49" s="1015"/>
      <c r="F49" s="643"/>
      <c r="G49" s="1016"/>
      <c r="H49" s="1037"/>
      <c r="I49" s="595"/>
      <c r="J49" s="1037"/>
      <c r="K49" s="609"/>
      <c r="L49" s="610">
        <f t="shared" si="4"/>
        <v>0</v>
      </c>
      <c r="N49" s="1032">
        <f t="shared" si="5"/>
        <v>0</v>
      </c>
      <c r="P49" s="1035"/>
      <c r="Q49" s="1035"/>
      <c r="S49" s="1035"/>
      <c r="T49" s="1035"/>
      <c r="U49" s="112"/>
      <c r="V49" s="112"/>
      <c r="W49" s="113"/>
      <c r="X49" s="110"/>
      <c r="Y49" s="1"/>
      <c r="Z49" s="1"/>
      <c r="AA49" s="1"/>
      <c r="AB49" s="1"/>
      <c r="AC49" s="1"/>
      <c r="AD49" s="1"/>
      <c r="AE49" s="1"/>
    </row>
    <row r="50" spans="2:31" ht="15" customHeight="1">
      <c r="B50" s="1037">
        <f>SUBTOTAL(3,$I$13:I50)</f>
        <v>0</v>
      </c>
      <c r="C50" s="159"/>
      <c r="D50" s="159"/>
      <c r="E50" s="159"/>
      <c r="F50" s="634"/>
      <c r="G50" s="159"/>
      <c r="H50" s="1037"/>
      <c r="I50" s="595"/>
      <c r="J50" s="1037"/>
      <c r="K50" s="609"/>
      <c r="L50" s="610">
        <f t="shared" si="4"/>
        <v>0</v>
      </c>
      <c r="N50" s="1032">
        <f>IF(OR(I50=" ",I50=0),0,1)</f>
        <v>0</v>
      </c>
      <c r="P50" s="1035"/>
      <c r="Q50" s="1035"/>
      <c r="S50" s="1035"/>
      <c r="T50" s="1035"/>
      <c r="U50" s="112"/>
      <c r="V50" s="112"/>
      <c r="W50" s="113"/>
      <c r="X50" s="110"/>
      <c r="Y50" s="1"/>
      <c r="Z50" s="1"/>
      <c r="AA50" s="1"/>
      <c r="AB50" s="1"/>
      <c r="AC50" s="1"/>
      <c r="AD50" s="1"/>
      <c r="AE50" s="1"/>
    </row>
    <row r="51" spans="2:31" ht="15" customHeight="1">
      <c r="B51" s="1037">
        <f>SUBTOTAL(3,$I$13:I51)</f>
        <v>0</v>
      </c>
      <c r="C51" s="1014"/>
      <c r="D51" s="1015"/>
      <c r="E51" s="1015"/>
      <c r="F51" s="643"/>
      <c r="G51" s="1016"/>
      <c r="H51" s="1037"/>
      <c r="I51" s="595"/>
      <c r="J51" s="1037"/>
      <c r="K51" s="609"/>
      <c r="L51" s="610">
        <f t="shared" si="4"/>
        <v>0</v>
      </c>
      <c r="N51" s="1032">
        <f t="shared" ref="N51:N56" si="6">IF(OR(I51=" ",I51=0),0,1)</f>
        <v>0</v>
      </c>
      <c r="P51" s="1035"/>
      <c r="Q51" s="1035"/>
      <c r="S51" s="1035"/>
      <c r="T51" s="1035"/>
      <c r="U51" s="112"/>
      <c r="V51" s="112"/>
      <c r="W51" s="113"/>
      <c r="X51" s="110"/>
      <c r="Y51" s="1"/>
      <c r="Z51" s="1"/>
      <c r="AA51" s="1"/>
      <c r="AB51" s="1"/>
      <c r="AC51" s="1"/>
      <c r="AD51" s="1"/>
      <c r="AE51" s="1"/>
    </row>
    <row r="52" spans="2:31" ht="15" customHeight="1">
      <c r="B52" s="1037">
        <f>SUBTOTAL(3,$I$13:I52)</f>
        <v>0</v>
      </c>
      <c r="C52" s="159"/>
      <c r="D52" s="159"/>
      <c r="E52" s="159"/>
      <c r="F52" s="634"/>
      <c r="G52" s="159"/>
      <c r="H52" s="1037"/>
      <c r="I52" s="595"/>
      <c r="J52" s="1037"/>
      <c r="K52" s="609"/>
      <c r="L52" s="610">
        <f t="shared" si="4"/>
        <v>0</v>
      </c>
      <c r="N52" s="1032">
        <f t="shared" si="6"/>
        <v>0</v>
      </c>
      <c r="P52" s="1035"/>
      <c r="Q52" s="1035"/>
      <c r="S52" s="1035"/>
      <c r="T52" s="1035"/>
      <c r="U52" s="112"/>
      <c r="V52" s="112"/>
      <c r="W52" s="113"/>
      <c r="X52" s="110"/>
      <c r="Y52" s="1"/>
      <c r="Z52" s="1"/>
      <c r="AA52" s="1"/>
      <c r="AB52" s="1"/>
      <c r="AC52" s="1"/>
      <c r="AD52" s="1"/>
      <c r="AE52" s="1"/>
    </row>
    <row r="53" spans="2:31" ht="15" customHeight="1">
      <c r="B53" s="1037">
        <f>SUBTOTAL(3,$I$13:I53)</f>
        <v>0</v>
      </c>
      <c r="C53" s="1014"/>
      <c r="D53" s="1015"/>
      <c r="E53" s="1015"/>
      <c r="F53" s="643"/>
      <c r="G53" s="1016"/>
      <c r="H53" s="1037"/>
      <c r="I53" s="595"/>
      <c r="J53" s="1037"/>
      <c r="K53" s="609"/>
      <c r="L53" s="610">
        <f t="shared" si="4"/>
        <v>0</v>
      </c>
      <c r="N53" s="1032">
        <f t="shared" si="6"/>
        <v>0</v>
      </c>
      <c r="P53" s="1035"/>
      <c r="Q53" s="1035"/>
      <c r="S53" s="1"/>
      <c r="T53" s="1"/>
      <c r="U53" s="112"/>
      <c r="V53" s="112"/>
      <c r="W53" s="113"/>
      <c r="X53" s="110"/>
      <c r="Y53" s="1"/>
      <c r="Z53" s="1"/>
    </row>
    <row r="54" spans="2:31" ht="15" customHeight="1">
      <c r="B54" s="1037">
        <f>SUBTOTAL(3,$I$13:I54)</f>
        <v>0</v>
      </c>
      <c r="C54" s="159"/>
      <c r="D54" s="159"/>
      <c r="E54" s="159"/>
      <c r="F54" s="634"/>
      <c r="G54" s="159"/>
      <c r="H54" s="1037"/>
      <c r="I54" s="595"/>
      <c r="J54" s="1037"/>
      <c r="K54" s="609"/>
      <c r="L54" s="610">
        <f t="shared" si="4"/>
        <v>0</v>
      </c>
      <c r="N54" s="1032">
        <f t="shared" si="6"/>
        <v>0</v>
      </c>
      <c r="P54" s="1035"/>
      <c r="Q54" s="1035"/>
      <c r="S54" s="1"/>
      <c r="T54" s="1"/>
      <c r="U54" s="112"/>
      <c r="V54" s="112"/>
      <c r="W54" s="113"/>
      <c r="X54" s="110"/>
      <c r="Y54" s="1"/>
      <c r="Z54" s="1"/>
    </row>
    <row r="55" spans="2:31" ht="15" customHeight="1">
      <c r="B55" s="1037">
        <f>SUBTOTAL(3,$I$13:I55)</f>
        <v>0</v>
      </c>
      <c r="C55" s="1014"/>
      <c r="D55" s="1015"/>
      <c r="E55" s="1015"/>
      <c r="F55" s="643"/>
      <c r="G55" s="1016"/>
      <c r="H55" s="1037"/>
      <c r="I55" s="595"/>
      <c r="J55" s="1037"/>
      <c r="K55" s="609"/>
      <c r="L55" s="610">
        <f t="shared" si="4"/>
        <v>0</v>
      </c>
      <c r="N55" s="1032">
        <f t="shared" si="6"/>
        <v>0</v>
      </c>
      <c r="P55" s="1035"/>
      <c r="Q55" s="1035"/>
      <c r="S55" s="1"/>
      <c r="T55" s="1"/>
      <c r="U55" s="112"/>
      <c r="V55" s="112"/>
      <c r="W55" s="113"/>
      <c r="X55" s="110"/>
      <c r="Y55" s="1"/>
      <c r="Z55" s="1"/>
    </row>
    <row r="56" spans="2:31" ht="15" customHeight="1">
      <c r="B56" s="1037">
        <f>SUBTOTAL(3,$I$13:I56)</f>
        <v>0</v>
      </c>
      <c r="C56" s="159"/>
      <c r="D56" s="159"/>
      <c r="E56" s="159"/>
      <c r="F56" s="634"/>
      <c r="G56" s="159"/>
      <c r="H56" s="1037"/>
      <c r="I56" s="595"/>
      <c r="J56" s="1037"/>
      <c r="K56" s="609"/>
      <c r="L56" s="610">
        <f t="shared" si="4"/>
        <v>0</v>
      </c>
      <c r="N56" s="1032">
        <f t="shared" si="6"/>
        <v>0</v>
      </c>
      <c r="P56" s="1035"/>
      <c r="Q56" s="1035"/>
      <c r="S56" s="1"/>
      <c r="T56" s="1"/>
      <c r="U56" s="112"/>
      <c r="V56" s="112"/>
      <c r="W56" s="113"/>
      <c r="X56" s="110"/>
    </row>
    <row r="57" spans="2:31" ht="15" customHeight="1">
      <c r="B57" s="1037">
        <f>SUBTOTAL(3,$I$13:I57)</f>
        <v>0</v>
      </c>
      <c r="C57" s="1014"/>
      <c r="D57" s="1015"/>
      <c r="E57" s="1015"/>
      <c r="F57" s="643"/>
      <c r="G57" s="1016"/>
      <c r="H57" s="1037"/>
      <c r="I57" s="595"/>
      <c r="J57" s="1037"/>
      <c r="K57" s="609"/>
      <c r="L57" s="610">
        <f t="shared" si="4"/>
        <v>0</v>
      </c>
      <c r="N57" s="1032">
        <f t="shared" si="5"/>
        <v>0</v>
      </c>
      <c r="P57" s="1035"/>
      <c r="Q57" s="1035"/>
      <c r="S57" s="1"/>
      <c r="T57" s="1"/>
      <c r="U57" s="112"/>
      <c r="V57" s="112"/>
      <c r="W57" s="113"/>
      <c r="X57" s="110"/>
    </row>
    <row r="58" spans="2:31" ht="15" customHeight="1">
      <c r="B58" s="1037">
        <f>SUBTOTAL(3,$I$13:I58)</f>
        <v>0</v>
      </c>
      <c r="C58" s="159"/>
      <c r="D58" s="159"/>
      <c r="E58" s="159"/>
      <c r="F58" s="634"/>
      <c r="G58" s="159"/>
      <c r="H58" s="1037"/>
      <c r="I58" s="595"/>
      <c r="J58" s="1037"/>
      <c r="K58" s="609"/>
      <c r="L58" s="610">
        <f t="shared" si="4"/>
        <v>0</v>
      </c>
      <c r="N58" s="1032">
        <f t="shared" si="5"/>
        <v>0</v>
      </c>
      <c r="P58" s="1035"/>
      <c r="Q58" s="1035"/>
      <c r="S58" s="1"/>
      <c r="T58" s="1"/>
      <c r="U58" s="112"/>
      <c r="V58" s="112"/>
      <c r="W58" s="113"/>
      <c r="X58" s="110"/>
    </row>
    <row r="59" spans="2:31" ht="15" customHeight="1">
      <c r="B59" s="1037">
        <f>SUBTOTAL(3,$I$13:I59)</f>
        <v>0</v>
      </c>
      <c r="C59" s="626"/>
      <c r="D59" s="627"/>
      <c r="E59" s="627"/>
      <c r="F59" s="657"/>
      <c r="G59" s="628"/>
      <c r="H59" s="608"/>
      <c r="I59" s="609"/>
      <c r="J59" s="1013"/>
      <c r="K59" s="609"/>
      <c r="L59" s="610">
        <f t="shared" si="4"/>
        <v>0</v>
      </c>
      <c r="N59" s="1032">
        <f t="shared" si="5"/>
        <v>0</v>
      </c>
      <c r="P59" s="1035"/>
      <c r="Q59" s="1035"/>
      <c r="S59" s="1"/>
      <c r="T59" s="1"/>
      <c r="U59" s="112"/>
      <c r="V59" s="112"/>
      <c r="W59" s="113"/>
      <c r="X59" s="110"/>
    </row>
    <row r="60" spans="2:31" ht="15" customHeight="1">
      <c r="B60" s="1037">
        <f>SUBTOTAL(3,$I$13:I60)</f>
        <v>0</v>
      </c>
      <c r="C60" s="658"/>
      <c r="D60" s="159"/>
      <c r="E60" s="159"/>
      <c r="F60" s="634"/>
      <c r="G60" s="159"/>
      <c r="H60" s="618"/>
      <c r="I60" s="609"/>
      <c r="J60" s="618"/>
      <c r="K60" s="609"/>
      <c r="L60" s="610">
        <f t="shared" si="4"/>
        <v>0</v>
      </c>
      <c r="N60" s="1032">
        <f t="shared" si="5"/>
        <v>0</v>
      </c>
      <c r="P60" s="1035"/>
      <c r="Q60" s="1035"/>
      <c r="S60" s="1"/>
      <c r="T60" s="1"/>
      <c r="U60" s="112"/>
      <c r="V60" s="112"/>
      <c r="W60" s="113"/>
      <c r="X60" s="114"/>
    </row>
    <row r="61" spans="2:31" ht="15" customHeight="1">
      <c r="B61" s="1037">
        <f>SUBTOTAL(3,$I$13:I61)</f>
        <v>0</v>
      </c>
      <c r="C61" s="780"/>
      <c r="D61" s="781"/>
      <c r="E61" s="781"/>
      <c r="F61" s="782"/>
      <c r="G61" s="783"/>
      <c r="H61" s="618"/>
      <c r="I61" s="609"/>
      <c r="J61" s="618"/>
      <c r="K61" s="609"/>
      <c r="L61" s="610">
        <f t="shared" si="4"/>
        <v>0</v>
      </c>
      <c r="N61" s="1032">
        <f>IF(OR(I61=" ",I61=0),0,1)</f>
        <v>0</v>
      </c>
      <c r="P61" s="1"/>
      <c r="Q61" s="1"/>
      <c r="R61" s="1"/>
      <c r="S61" s="1"/>
      <c r="T61" s="1"/>
      <c r="U61" s="112"/>
      <c r="V61" s="112"/>
      <c r="W61" s="113"/>
      <c r="X61" s="114"/>
    </row>
    <row r="62" spans="2:31" ht="15" customHeight="1">
      <c r="B62" s="639"/>
      <c r="C62" s="784" t="s">
        <v>145</v>
      </c>
      <c r="D62" s="640"/>
      <c r="E62" s="640"/>
      <c r="F62" s="640"/>
      <c r="G62" s="641"/>
      <c r="H62" s="779" t="str">
        <f ca="1">HYPERLINK("#"&amp;AB5&amp;"!A1090","1111")</f>
        <v>1111</v>
      </c>
      <c r="I62" s="1037"/>
      <c r="J62" s="1037"/>
      <c r="K62" s="1037"/>
      <c r="L62" s="597">
        <f>IFERROR(SUM(L63:L69),0)</f>
        <v>0</v>
      </c>
      <c r="N62" s="1032">
        <f>IF(SUM(I63:I69)&gt;0,1,0)</f>
        <v>0</v>
      </c>
      <c r="P62" s="1"/>
      <c r="Q62" s="1"/>
      <c r="R62" s="1"/>
      <c r="S62" s="1"/>
      <c r="T62" s="1"/>
      <c r="U62" s="112"/>
      <c r="V62" s="112"/>
      <c r="W62" s="113"/>
      <c r="X62" s="114"/>
    </row>
    <row r="63" spans="2:31" ht="15" customHeight="1">
      <c r="B63" s="1037">
        <f>SUBTOTAL(3,$I$13:I63)</f>
        <v>1</v>
      </c>
      <c r="C63" s="1395" t="str">
        <f>IF(T3=Y13,"",IF(T3=Y14,C1079,IF(T3=Y15,C1090,IF(T3=Y16,C1097,IF(T3=Y17,C1099,C1113)))))</f>
        <v/>
      </c>
      <c r="D63" s="1395"/>
      <c r="E63" s="1395"/>
      <c r="F63" s="1395"/>
      <c r="G63" s="1395"/>
      <c r="H63" s="1037"/>
      <c r="I63" s="837" t="str">
        <f>IF(T3=Y13,"",IF(T3=Y14,I1079,IF(T3=Y15,I1090,IF(T3=Y16,I1097,IF(T3=Y17,I1099,I1113)))))</f>
        <v/>
      </c>
      <c r="J63" s="1037" t="str">
        <f>IF(T3=Y13," ",IF(OR(T3=Y14,T3=Y15),J1079,IF(OR(T3=Y16,T3=Y17),J1097,J1113)))</f>
        <v xml:space="preserve"> </v>
      </c>
      <c r="K63" s="609"/>
      <c r="L63" s="610">
        <f t="shared" ref="L63:L69" si="7">IFERROR(I63*K63,0)</f>
        <v>0</v>
      </c>
      <c r="N63" s="1032">
        <f t="shared" ref="N63:N69" si="8">IF(I63="",0,1)</f>
        <v>0</v>
      </c>
      <c r="P63" s="1"/>
      <c r="Q63" s="1"/>
      <c r="R63" s="1"/>
      <c r="S63" s="1"/>
      <c r="T63" s="1"/>
      <c r="U63" s="112"/>
      <c r="V63" s="112"/>
      <c r="W63" s="113"/>
      <c r="X63" s="114"/>
    </row>
    <row r="64" spans="2:31" ht="15" customHeight="1">
      <c r="B64" s="1037">
        <f>SUBTOTAL(3,$I$13:I64)</f>
        <v>2</v>
      </c>
      <c r="C64" s="1125" t="str">
        <f>IF(T3=Y13,"",IF(T3=Y14,C1080,IF(T3=Y15,C1091,IF(T3=Y17,C1100,IF(T3=Y16,C1098,C1114)))))</f>
        <v/>
      </c>
      <c r="D64" s="1125"/>
      <c r="E64" s="1125"/>
      <c r="F64" s="1125"/>
      <c r="G64" s="1125"/>
      <c r="H64" s="1037"/>
      <c r="I64" s="837" t="str">
        <f>IF(T3=Y13,"",IF(T3=Y14,I1080,IF(T3=Y15,I1091,IF(T3=Y16,I1098,IF(T3=Y17,I1100,I1114)))))</f>
        <v/>
      </c>
      <c r="J64" s="1037" t="str">
        <f>IF(T3=Y13," ",IF(OR(T3=Y14,T3=Y15),J1080,IF(OR(T3=Y16,T3=Y17),J1098,J1114)))</f>
        <v xml:space="preserve"> </v>
      </c>
      <c r="K64" s="609"/>
      <c r="L64" s="610">
        <f t="shared" si="7"/>
        <v>0</v>
      </c>
      <c r="N64" s="1032">
        <f t="shared" si="8"/>
        <v>0</v>
      </c>
      <c r="P64" s="1"/>
      <c r="Q64" s="1"/>
      <c r="R64" s="1"/>
      <c r="S64" s="1"/>
      <c r="T64" s="1"/>
      <c r="U64" s="112"/>
      <c r="V64" s="112"/>
      <c r="W64" s="113"/>
      <c r="X64" s="110"/>
    </row>
    <row r="65" spans="1:40" ht="15" customHeight="1">
      <c r="B65" s="1037">
        <f>SUBTOTAL(3,$I$13:I65)</f>
        <v>3</v>
      </c>
      <c r="C65" s="1125" t="str">
        <f>IF(T3=Y13,"",IF(T3=Y14,C1081,IF(T3=Y15,C1092,IF(T3=Y16,C1101,IF(T3=Y17,C1102,C1115)))))</f>
        <v/>
      </c>
      <c r="D65" s="1125"/>
      <c r="E65" s="1125"/>
      <c r="F65" s="1125"/>
      <c r="G65" s="1125"/>
      <c r="H65" s="1037"/>
      <c r="I65" s="837" t="str">
        <f>IF(T3=Y13,"",IF(T3=Y14,I1081,IF(T3=Y15,I1092,IF(T3=Y16,I1101,IF(T3=Y17,I1102,I1115)))))</f>
        <v/>
      </c>
      <c r="J65" s="1037" t="str">
        <f>IF(T3=Y13," ",IF(OR(T3=Y14,T3=Y15),J1081,IF(OR(T3=Y16,T3=Y17),J1101,J1115)))</f>
        <v xml:space="preserve"> </v>
      </c>
      <c r="K65" s="609"/>
      <c r="L65" s="610">
        <f t="shared" si="7"/>
        <v>0</v>
      </c>
      <c r="N65" s="1032">
        <f t="shared" si="8"/>
        <v>0</v>
      </c>
      <c r="P65" s="1"/>
      <c r="Q65" s="1"/>
      <c r="R65" s="1"/>
      <c r="S65" s="1"/>
      <c r="T65" s="1"/>
      <c r="U65" s="112"/>
      <c r="V65" s="112"/>
      <c r="W65" s="113"/>
      <c r="X65" s="110"/>
    </row>
    <row r="66" spans="1:40" ht="15" customHeight="1">
      <c r="B66" s="1037">
        <f>SUBTOTAL(3,$I$13:I66)</f>
        <v>4</v>
      </c>
      <c r="C66" s="1125" t="str">
        <f>IF(OR(T4=Y20,T4=Y22),C1082,"")</f>
        <v/>
      </c>
      <c r="D66" s="1125"/>
      <c r="E66" s="1125"/>
      <c r="F66" s="1125"/>
      <c r="G66" s="1125"/>
      <c r="H66" s="1037"/>
      <c r="I66" s="837" t="str">
        <f>IF(OR(T4=Y20,T4=Y22),I1082,"")</f>
        <v/>
      </c>
      <c r="J66" s="1037" t="str">
        <f>IF(OR(T4=Y20,T4=Y22),J1082,"")</f>
        <v/>
      </c>
      <c r="K66" s="609"/>
      <c r="L66" s="610">
        <f t="shared" si="7"/>
        <v>0</v>
      </c>
      <c r="N66" s="1032">
        <f t="shared" si="8"/>
        <v>0</v>
      </c>
      <c r="P66" s="1"/>
      <c r="Q66" s="1"/>
      <c r="R66" s="1"/>
      <c r="S66" s="1"/>
      <c r="T66" s="1"/>
      <c r="U66" s="112"/>
      <c r="V66" s="112"/>
      <c r="W66" s="113"/>
      <c r="X66" s="110"/>
    </row>
    <row r="67" spans="1:40" ht="15" customHeight="1">
      <c r="B67" s="1037">
        <f>SUBTOTAL(3,$I$13:I67)</f>
        <v>5</v>
      </c>
      <c r="C67" s="1125" t="str">
        <f>IF(T4=Y19,"",IF(T4=Y20,C1083,IF(T4=Y21,C1093,IF(T4=Y22,C1086,IF(T4=Y23,C1103,IF(T4=Y24,C1105,IF(OR(T4=Y25,T4=Y26),C1116,C1110)))))))</f>
        <v/>
      </c>
      <c r="D67" s="1125"/>
      <c r="E67" s="1125"/>
      <c r="F67" s="1125"/>
      <c r="G67" s="1125"/>
      <c r="H67" s="1037"/>
      <c r="I67" s="837" t="str">
        <f>IF(T4=Y19,"",IF(T4=Y20,I1083,IF(T4=Y21,I1093,IF(T4=Y22,I1086,IF(T4=Y23,I1103,IF(T4=Y24,I1105,IF(OR(T4=Y25,T4=Y26),I1116,I1110)))))))</f>
        <v/>
      </c>
      <c r="J67" s="1037" t="str">
        <f>IF(T4=Y19," ",IF(OR(T4=Y20,T4=Y22),J1083,IF(OR(T3=Y23,T3=Y24),J1103,IF(OR(T4=Y25,T4=Y26),J1116,J1110))))</f>
        <v xml:space="preserve"> </v>
      </c>
      <c r="K67" s="609"/>
      <c r="L67" s="610">
        <f t="shared" si="7"/>
        <v>0</v>
      </c>
      <c r="N67" s="1032">
        <f t="shared" si="8"/>
        <v>0</v>
      </c>
      <c r="P67" s="1"/>
      <c r="Q67" s="1"/>
      <c r="R67" s="1"/>
      <c r="S67" s="1"/>
      <c r="T67" s="1"/>
      <c r="U67" s="112"/>
      <c r="V67" s="112"/>
      <c r="W67" s="113"/>
      <c r="X67" s="110"/>
    </row>
    <row r="68" spans="1:40" ht="15" customHeight="1">
      <c r="B68" s="1037">
        <f>SUBTOTAL(3,$I$13:I68)</f>
        <v>6</v>
      </c>
      <c r="C68" s="1125" t="str">
        <f>IF(T4=Y19,"",IF(T4=Y20,C1084,IF(T4=Y21,C1094,IF(T4=Y22,C1087,IF(T4=Y24,C1106,IF(T4=Y26,C1117,IF(T4=Y23,C1104,IF(T4=Y25,"",C1111))))))))</f>
        <v/>
      </c>
      <c r="D68" s="1125"/>
      <c r="E68" s="1125"/>
      <c r="F68" s="1125"/>
      <c r="G68" s="1125"/>
      <c r="H68" s="1037"/>
      <c r="I68" s="837" t="str">
        <f>IF(T4=Y19,"",IF(T4=Y20,I1084,IF(T4=Y21,I1094,IF(T4=Y22,I1087,IF(T4=Y26,I1117,IF(T4=Y23,I1104,IF(T4=Y24,I1106,IF(T4=Y25,"",I1111))))))))</f>
        <v/>
      </c>
      <c r="J68" s="1037" t="str">
        <f>IF(T4=Y19," ",IF(OR(T4=Y20,T4=Y22),J1084,IF(OR(T3=Y23,T3=Y24),J1104,IF(T4=Y26,J1117,IF(T4=Y25,"",J1111)))))</f>
        <v xml:space="preserve"> </v>
      </c>
      <c r="K68" s="609"/>
      <c r="L68" s="610">
        <f t="shared" si="7"/>
        <v>0</v>
      </c>
      <c r="N68" s="1032">
        <f t="shared" si="8"/>
        <v>0</v>
      </c>
      <c r="P68" s="1"/>
      <c r="Q68" s="1"/>
      <c r="R68" s="1"/>
      <c r="S68" s="1"/>
      <c r="T68" s="1"/>
      <c r="U68" s="112"/>
      <c r="V68" s="112"/>
      <c r="W68" s="113"/>
      <c r="X68" s="110"/>
    </row>
    <row r="69" spans="1:40" ht="15" customHeight="1">
      <c r="B69" s="1037">
        <f>SUBTOTAL(3,$I$13:I69)</f>
        <v>7</v>
      </c>
      <c r="C69" s="1125" t="str">
        <f>IF(T4=Y19,"",IF(T4=Y20,C1085,IF(T4=Y21,C1095,IF(T4=Y22,C1088,IF(T4=Y23,C1107,IF(T4=Y26,C1119,IF(T4=Y24,C1108,IF(T4=Y25,C1118,""))))))))</f>
        <v/>
      </c>
      <c r="D69" s="1125"/>
      <c r="E69" s="1125"/>
      <c r="F69" s="1125"/>
      <c r="G69" s="1125"/>
      <c r="H69" s="1037"/>
      <c r="I69" s="837" t="str">
        <f>IF(T4=Y19,"",IF(T4=Y20,I1085,IF(T4=Y21,I1095,IF(T4=Y22,I1088,IF(T4=Y23,I1107,IF(T4=Y24,I1108,IF(T4=Y26,I1119,IF(T4=Y25,I1118,""))))))))</f>
        <v/>
      </c>
      <c r="J69" s="1037" t="str">
        <f>IF(T4=Y19," ",IF(OR(T4=Y20,T4=Y21,T4=Y22),J1085,IF(T3=Y23,J1107,IF(T4=Y24,J1107,IF(T4=Y26,J1119,IF(T4=Y25,J1118," "))))))</f>
        <v xml:space="preserve"> </v>
      </c>
      <c r="K69" s="609"/>
      <c r="L69" s="610">
        <f t="shared" si="7"/>
        <v>0</v>
      </c>
      <c r="N69" s="1032">
        <f t="shared" si="8"/>
        <v>0</v>
      </c>
      <c r="P69" s="1"/>
      <c r="Q69" s="1"/>
      <c r="R69" s="1"/>
      <c r="S69" s="1"/>
      <c r="T69" s="1"/>
      <c r="U69" s="112"/>
      <c r="V69" s="112"/>
      <c r="W69" s="113"/>
      <c r="X69" s="110"/>
    </row>
    <row r="70" spans="1:40" ht="15" customHeight="1">
      <c r="C70" s="357" t="str">
        <f>IF(SUM(I23:I35,I23:I62)&gt;0,"* Позиции носят рекомендательный характер","")</f>
        <v/>
      </c>
      <c r="N70" s="1032">
        <f>IF(SUM(I23:I35,I23:I62)&gt;0,1,0)</f>
        <v>0</v>
      </c>
      <c r="P70" s="1"/>
      <c r="Q70" s="1"/>
      <c r="R70" s="1"/>
      <c r="S70" s="1"/>
      <c r="T70" s="1"/>
      <c r="U70" s="115"/>
      <c r="V70" s="115"/>
      <c r="W70" s="116"/>
      <c r="X70" s="110"/>
    </row>
    <row r="71" spans="1:40" ht="95.1" customHeight="1">
      <c r="A71" s="1051"/>
      <c r="B71" s="1051"/>
      <c r="C71" s="1051"/>
      <c r="D71" s="1051"/>
      <c r="E71" s="1051"/>
      <c r="F71" s="1051"/>
      <c r="G71" s="1051"/>
      <c r="H71" s="1051"/>
      <c r="I71" s="1051"/>
      <c r="J71" s="1051"/>
      <c r="K71" s="1051"/>
      <c r="L71" s="1051"/>
      <c r="N71" s="1032">
        <f>IF($V$4="НЕТ",0,1)</f>
        <v>0</v>
      </c>
      <c r="S71" s="115"/>
      <c r="T71" s="115"/>
      <c r="U71" s="115"/>
      <c r="V71" s="115"/>
      <c r="W71" s="115"/>
      <c r="X71" s="110"/>
    </row>
    <row r="72" spans="1:40" ht="15" customHeight="1">
      <c r="N72" s="1032">
        <f>IF($V$4="НЕТ",0,1)</f>
        <v>0</v>
      </c>
      <c r="P72" s="1392" t="str">
        <f>IF(V3="НЕТ"," ",IF(V3="ПВХ","ПВХ мембрана","Битумно- полимерная "))</f>
        <v xml:space="preserve"> </v>
      </c>
      <c r="Q72" s="1392"/>
      <c r="R72" s="1392"/>
      <c r="S72" s="1392"/>
      <c r="T72" s="1392"/>
      <c r="U72" s="1392"/>
      <c r="V72" s="1392"/>
    </row>
    <row r="73" spans="1:40" ht="15" customHeight="1">
      <c r="I73" s="95" t="s">
        <v>146</v>
      </c>
      <c r="J73" s="1393">
        <f>SUM(L114,L101,L82)</f>
        <v>0</v>
      </c>
      <c r="K73" s="1393"/>
      <c r="L73" s="96" t="s">
        <v>115</v>
      </c>
      <c r="N73" s="1032">
        <f t="shared" ref="N73:N81" si="9">IF($V$4="НЕТ",0,1)</f>
        <v>0</v>
      </c>
      <c r="P73" s="1394" t="str">
        <f>IF(V3="НЕТ"," ","ТИПЫ")</f>
        <v xml:space="preserve"> </v>
      </c>
      <c r="Q73" s="1394" t="str">
        <f>IF(V3="НЕТ"," ","ПГ")</f>
        <v xml:space="preserve"> </v>
      </c>
      <c r="R73" s="1394"/>
      <c r="S73" s="1394" t="str">
        <f>IF(V3="НЕТ"," ","ДКР")</f>
        <v xml:space="preserve"> </v>
      </c>
      <c r="T73" s="1394" t="str">
        <f>IF(V3="НЕТ"," ","ДПР")</f>
        <v xml:space="preserve"> </v>
      </c>
      <c r="U73" s="1394" t="str">
        <f>IF(V3="НЕТ"," ","ТЭ")</f>
        <v xml:space="preserve"> </v>
      </c>
      <c r="V73" s="1394" t="str">
        <f>IF(V3="НЕТ"," ","ГнП")</f>
        <v xml:space="preserve"> </v>
      </c>
      <c r="Y73" s="1370" t="s">
        <v>254</v>
      </c>
      <c r="Z73" s="1372" t="s">
        <v>253</v>
      </c>
      <c r="AA73" s="1372" t="s">
        <v>255</v>
      </c>
      <c r="AB73" s="1372" t="s">
        <v>419</v>
      </c>
    </row>
    <row r="74" spans="1:40" ht="15" customHeight="1" thickBot="1">
      <c r="N74" s="1032">
        <f t="shared" si="9"/>
        <v>0</v>
      </c>
      <c r="P74" s="1394"/>
      <c r="Q74" s="1032" t="str">
        <f>IF(V3="НЕТ"," ","ВЕРХ")</f>
        <v xml:space="preserve"> </v>
      </c>
      <c r="R74" s="1032" t="str">
        <f>IF(V3="НЕТ"," ","НИЗ")</f>
        <v xml:space="preserve"> </v>
      </c>
      <c r="S74" s="1394"/>
      <c r="T74" s="1394"/>
      <c r="U74" s="1394"/>
      <c r="V74" s="1394"/>
      <c r="Y74" s="1371"/>
      <c r="Z74" s="1373"/>
      <c r="AA74" s="1373"/>
      <c r="AB74" s="1373"/>
    </row>
    <row r="75" spans="1:40" ht="15" customHeight="1">
      <c r="B75" s="1374" t="s">
        <v>147</v>
      </c>
      <c r="C75" s="1375"/>
      <c r="D75" s="1375"/>
      <c r="E75" s="1375"/>
      <c r="F75" s="1375"/>
      <c r="G75" s="1380" t="str">
        <f>номер_объекта</f>
        <v>11-27ХХ-МПКПМКИ-12.21</v>
      </c>
      <c r="H75" s="1380"/>
      <c r="I75" s="1380"/>
      <c r="J75" s="1380"/>
      <c r="K75" s="1229" t="str">
        <f ca="1">IF(K5=0," ",K5)</f>
        <v>ТИП7</v>
      </c>
      <c r="L75" s="1230"/>
      <c r="N75" s="1032">
        <f t="shared" si="9"/>
        <v>0</v>
      </c>
      <c r="P75" s="117" t="str">
        <f>IF(V3="НЕТ"," ","СУММА")</f>
        <v xml:space="preserve"> </v>
      </c>
      <c r="Q75" s="1031" t="str">
        <f>IF(V3="ПВХ",SUM(Y81:Y85,Y88:Y92,Y95:Y98,Y101,Q104),IF(V3="нет"," ",SUM(Y133:Y137,Y141:Y145,Y149:Y152,Q161)))</f>
        <v xml:space="preserve"> </v>
      </c>
      <c r="R75" s="118" t="str">
        <f>IF(V3="Битумно- полимерная",SUM(Z133:Z137,Z141:Z145,Z149:Z152,Z156,Q162),IF(V3="НЕТ"," ",0))</f>
        <v xml:space="preserve"> </v>
      </c>
      <c r="S75" s="1031" t="str">
        <f>IF(V3="НЕТ"," ",IF(V3="ПВХ",SUM(AA95:AA98,Q105),SUM(AA149:AA152,S161)))</f>
        <v xml:space="preserve"> </v>
      </c>
      <c r="T75" s="1031" t="str">
        <f>IF(V3="нет"," ",IF(V3="ПВХ",SUM(Z81:Z85,Z88:Z92,Z95:Z98,Q106),SUM(AA133:AA137,S162)))</f>
        <v xml:space="preserve"> </v>
      </c>
      <c r="U75" s="1031" t="str">
        <f>IF(V3="ПВХ",SUM(AA81:AA85,AA88:AA92,Z101,S104),IF(V3="НЕТ"," ",0))</f>
        <v xml:space="preserve"> </v>
      </c>
      <c r="V75" s="118" t="str">
        <f>IF(V3="ПВХ",SUM(AB81:AB85,AB88:AB92,AB95:AB98,S105),IF(V3="НЕТ"," ",0))</f>
        <v xml:space="preserve"> </v>
      </c>
      <c r="W75" s="93"/>
      <c r="X75" s="93"/>
      <c r="Y75" s="160">
        <f>IF(V3=Y3,SUM(AB133:AB137,AB149:AB152,Q163),IF(V3=Y4,SUM(AC81:AC85,AC88:AC92,AC95:AC98,AA101,S106),0))</f>
        <v>0</v>
      </c>
      <c r="Z75" s="161">
        <f>IF(V3=Y3,SUM(AC133:AC137,AC149:AC152,S163),IF(V3=Y4,SUM(AD81:AD85,AD88:AD92,AD95:AD98,AB101,U105),0))</f>
        <v>0</v>
      </c>
      <c r="AA75" s="161">
        <f>IF(V3=Y3,SUM(AD133:AD137,AD149:AD152,U161),IF(V3=Y4,SUM(AE81:AE85,AE88:AE92,AE95:AE98,AC101,U104),0))</f>
        <v>0</v>
      </c>
      <c r="AB75" s="161">
        <f>IF(V3=Y3,SUM(AE133:AE137,AE149:AE152,AE141:AE145),0)</f>
        <v>0</v>
      </c>
      <c r="AC75" s="93"/>
      <c r="AD75" s="1011">
        <f>СМРЗ.МЕТ*5.15</f>
        <v>0</v>
      </c>
      <c r="AF75" s="1011">
        <f>(AC81+AC82+AC83+AC84+AC85+AC88+AC90+AC89+AC91+AC92+AC95+AC96+AC97+AC98)*5.15</f>
        <v>0</v>
      </c>
    </row>
    <row r="76" spans="1:40" ht="15" customHeight="1">
      <c r="B76" s="1376"/>
      <c r="C76" s="1377"/>
      <c r="D76" s="1377"/>
      <c r="E76" s="1377"/>
      <c r="F76" s="1377"/>
      <c r="G76" s="1381"/>
      <c r="H76" s="1381"/>
      <c r="I76" s="1381"/>
      <c r="J76" s="1381"/>
      <c r="K76" s="1231"/>
      <c r="L76" s="1232"/>
      <c r="N76" s="1032">
        <f t="shared" si="9"/>
        <v>0</v>
      </c>
      <c r="O76" s="1051"/>
      <c r="P76" s="149" t="str">
        <f>IFERROR(IF($V$4=$Y$12,SUM($I$102:$I$113)/ПЛ," "),0)</f>
        <v xml:space="preserve"> </v>
      </c>
      <c r="Q76" s="119" t="str">
        <f>IF($V$4=$Y$12,"расход количества крепежа для всей кровли, шт/м2"," ")</f>
        <v xml:space="preserve"> </v>
      </c>
      <c r="R76" s="119"/>
      <c r="S76" s="119"/>
      <c r="T76" s="119"/>
      <c r="U76" s="119"/>
      <c r="V76" s="119"/>
      <c r="W76" s="93"/>
      <c r="AB76" s="93"/>
      <c r="AC76" s="93"/>
    </row>
    <row r="77" spans="1:40" ht="15" customHeight="1" thickBot="1">
      <c r="B77" s="1378"/>
      <c r="C77" s="1379"/>
      <c r="D77" s="1379"/>
      <c r="E77" s="1379"/>
      <c r="F77" s="1379"/>
      <c r="G77" s="1382"/>
      <c r="H77" s="1382"/>
      <c r="I77" s="1382"/>
      <c r="J77" s="1382"/>
      <c r="K77" s="1233"/>
      <c r="L77" s="1234"/>
      <c r="N77" s="1032">
        <f t="shared" si="9"/>
        <v>0</v>
      </c>
      <c r="O77" s="1051"/>
      <c r="P77" s="149" t="str">
        <f>IF(T3=Y13," ",IF(T3=Y14,0.72*SUM(Q8:Q9),0.72*SUM(Q8:Q9)))</f>
        <v xml:space="preserve"> </v>
      </c>
      <c r="Q77" s="120" t="str">
        <f>IF(T3=Y13," ","площадь клинов ОУ, м2")</f>
        <v xml:space="preserve"> </v>
      </c>
      <c r="R77" s="120"/>
      <c r="S77" s="156" t="str">
        <f>IF(T3=Y13," ",IFERROR($P$77/ПЛ,0))</f>
        <v xml:space="preserve"> </v>
      </c>
      <c r="T77" s="119" t="str">
        <f>IF(T3=Y13," ","соотношение площади клинов к основной площади")</f>
        <v xml:space="preserve"> </v>
      </c>
      <c r="U77" s="119"/>
      <c r="V77" s="119"/>
      <c r="W77" s="93"/>
      <c r="AB77" s="93"/>
      <c r="AC77" s="93"/>
    </row>
    <row r="78" spans="1:40" ht="15" customHeight="1" collapsed="1" thickBot="1">
      <c r="B78" s="1202" t="s">
        <v>128</v>
      </c>
      <c r="C78" s="1383" t="s">
        <v>148</v>
      </c>
      <c r="D78" s="1384"/>
      <c r="E78" s="1384"/>
      <c r="F78" s="1384"/>
      <c r="G78" s="1384"/>
      <c r="H78" s="1385"/>
      <c r="I78" s="1364" t="s">
        <v>149</v>
      </c>
      <c r="J78" s="1367" t="s">
        <v>132</v>
      </c>
      <c r="K78" s="1364" t="s">
        <v>133</v>
      </c>
      <c r="L78" s="1364" t="s">
        <v>134</v>
      </c>
      <c r="N78" s="1032">
        <f t="shared" si="9"/>
        <v>0</v>
      </c>
      <c r="O78" s="1051"/>
      <c r="P78" s="149" t="str">
        <f>IF(T4=Y19," ",IF(OR(T4=Y27,T4=Y25),0.72*U8,0.72*SUM(U8:U9)))</f>
        <v xml:space="preserve"> </v>
      </c>
      <c r="Q78" s="120" t="str">
        <f>IF(T4=Y19," ","площадь клинов КУ, м2")</f>
        <v xml:space="preserve"> </v>
      </c>
      <c r="R78" s="119"/>
      <c r="S78" s="156" t="str">
        <f>IF(T4=Y19," ",IFERROR($P$78/ПЛ,0))</f>
        <v xml:space="preserve"> </v>
      </c>
      <c r="T78" s="119" t="str">
        <f>IF(T4=Y19," ","соотношение площади клинов к основной площади")</f>
        <v xml:space="preserve"> </v>
      </c>
      <c r="U78" s="119"/>
      <c r="V78" s="119"/>
      <c r="W78" s="93"/>
      <c r="AB78" s="93"/>
      <c r="AC78" s="93"/>
    </row>
    <row r="79" spans="1:40" ht="15" customHeight="1">
      <c r="B79" s="1203"/>
      <c r="C79" s="1386"/>
      <c r="D79" s="1387"/>
      <c r="E79" s="1387"/>
      <c r="F79" s="1387"/>
      <c r="G79" s="1387"/>
      <c r="H79" s="1388"/>
      <c r="I79" s="1365"/>
      <c r="J79" s="1215"/>
      <c r="K79" s="1365"/>
      <c r="L79" s="1365"/>
      <c r="N79" s="1032">
        <f t="shared" si="9"/>
        <v>0</v>
      </c>
      <c r="O79" s="1051"/>
      <c r="P79" s="1292" t="str">
        <f>IF(V3=Y4,"Примыкание к парапету высотой более 500 мм"," ")</f>
        <v xml:space="preserve"> </v>
      </c>
      <c r="Q79" s="1292"/>
      <c r="R79" s="1292"/>
      <c r="S79" s="1292"/>
      <c r="T79" s="1292"/>
      <c r="U79" s="409" t="str">
        <f ca="1">HYPERLINK("#"&amp;$AB$5&amp;"!B36","⇑ ")</f>
        <v xml:space="preserve">⇑ </v>
      </c>
      <c r="V79" s="217"/>
      <c r="W79" s="217"/>
      <c r="X79" s="93"/>
      <c r="Y79" s="1312" t="s">
        <v>152</v>
      </c>
      <c r="Z79" s="1313"/>
      <c r="AA79" s="1313"/>
      <c r="AB79" s="1313"/>
      <c r="AC79" s="1313"/>
      <c r="AD79" s="1313"/>
      <c r="AE79" s="1314"/>
      <c r="AF79" s="1357" t="s">
        <v>309</v>
      </c>
      <c r="AG79" s="1359" t="s">
        <v>310</v>
      </c>
      <c r="AH79" s="1360"/>
      <c r="AI79" s="1359" t="s">
        <v>311</v>
      </c>
      <c r="AJ79" s="1360"/>
      <c r="AK79" s="1359" t="s">
        <v>312</v>
      </c>
      <c r="AL79" s="1360"/>
      <c r="AN79" s="435" t="s">
        <v>598</v>
      </c>
    </row>
    <row r="80" spans="1:40" ht="15" customHeight="1" thickBot="1">
      <c r="B80" s="1213"/>
      <c r="C80" s="1389"/>
      <c r="D80" s="1390"/>
      <c r="E80" s="1390"/>
      <c r="F80" s="1390"/>
      <c r="G80" s="1390"/>
      <c r="H80" s="1391"/>
      <c r="I80" s="1366"/>
      <c r="J80" s="1216"/>
      <c r="K80" s="1366"/>
      <c r="L80" s="1366"/>
      <c r="N80" s="1032">
        <f t="shared" si="9"/>
        <v>0</v>
      </c>
      <c r="O80" s="1051"/>
      <c r="P80" s="1026" t="s">
        <v>302</v>
      </c>
      <c r="Q80" s="1026" t="str">
        <f>IF(V3=Y4,"ТИПЫ"," ")</f>
        <v xml:space="preserve"> </v>
      </c>
      <c r="R80" s="1025" t="str">
        <f>IF(V3=Y4,"ШИРИНА, мм"," ")</f>
        <v xml:space="preserve"> </v>
      </c>
      <c r="S80" s="1025" t="str">
        <f>IF(V3=Y4,"ВЫСОТА, мм"," ")</f>
        <v xml:space="preserve"> </v>
      </c>
      <c r="T80" s="1025" t="str">
        <f>IF(V3=Y4,"ДЛИНА, м"," ")</f>
        <v xml:space="preserve"> </v>
      </c>
      <c r="U80" s="1025" t="s">
        <v>331</v>
      </c>
      <c r="V80" s="1025" t="s">
        <v>332</v>
      </c>
      <c r="W80" s="1025" t="s">
        <v>333</v>
      </c>
      <c r="X80" s="93"/>
      <c r="Y80" s="122" t="s">
        <v>153</v>
      </c>
      <c r="Z80" s="122" t="s">
        <v>154</v>
      </c>
      <c r="AA80" s="122" t="s">
        <v>155</v>
      </c>
      <c r="AB80" s="122" t="s">
        <v>156</v>
      </c>
      <c r="AC80" s="122" t="s">
        <v>254</v>
      </c>
      <c r="AD80" s="122" t="s">
        <v>253</v>
      </c>
      <c r="AE80" s="122" t="s">
        <v>600</v>
      </c>
      <c r="AF80" s="1358"/>
      <c r="AG80" s="222" t="s">
        <v>314</v>
      </c>
      <c r="AH80" s="222" t="s">
        <v>313</v>
      </c>
      <c r="AI80" s="222" t="s">
        <v>314</v>
      </c>
      <c r="AJ80" s="222" t="s">
        <v>313</v>
      </c>
      <c r="AK80" s="222" t="s">
        <v>314</v>
      </c>
      <c r="AL80" s="222" t="s">
        <v>313</v>
      </c>
      <c r="AN80" s="436" t="s">
        <v>599</v>
      </c>
    </row>
    <row r="81" spans="2:40" ht="15" customHeight="1" thickBot="1">
      <c r="B81" s="1030">
        <v>1</v>
      </c>
      <c r="C81" s="1361">
        <v>2</v>
      </c>
      <c r="D81" s="1362"/>
      <c r="E81" s="1362"/>
      <c r="F81" s="1362"/>
      <c r="G81" s="1362"/>
      <c r="H81" s="1363"/>
      <c r="I81" s="624">
        <v>3</v>
      </c>
      <c r="J81" s="605">
        <v>4</v>
      </c>
      <c r="K81" s="624">
        <v>5</v>
      </c>
      <c r="L81" s="605">
        <v>6</v>
      </c>
      <c r="N81" s="1032">
        <f t="shared" si="9"/>
        <v>0</v>
      </c>
      <c r="O81" s="1051"/>
      <c r="P81" s="225"/>
      <c r="Q81" s="123"/>
      <c r="R81" s="124"/>
      <c r="S81" s="124"/>
      <c r="T81" s="124"/>
      <c r="U81" s="124"/>
      <c r="V81" s="124"/>
      <c r="W81" s="162"/>
      <c r="X81" s="119"/>
      <c r="Y81" s="125">
        <f>(530+R81+S81)/1000*T81</f>
        <v>0</v>
      </c>
      <c r="Z81" s="125">
        <f>T81*2</f>
        <v>0</v>
      </c>
      <c r="AA81" s="125">
        <f>T81</f>
        <v>0</v>
      </c>
      <c r="AB81" s="125">
        <f>IF(SUM(R81:S81)&gt;U81,IF(Q81=$Z$16,((R81+S81)/1000*T81),IF(Q81=$Z$18,((R81+S81-U81)/1000*T81),IF(Q81=$Z$19,((V81+U81)/1000*T81),IF(Q81=$Z$20,((R81+S81+V81)/1000*T81),0)))),0)</f>
        <v>0</v>
      </c>
      <c r="AC81" s="839">
        <f>ROUNDUP(IF(OR(Q81=$Z$19,Q81=$Z$15),SUM(Z81:AA81),IF(Q81=$Z$17,(T81+AA81),IF(Q81=$Z$20,T81,0))),0)</f>
        <v>0</v>
      </c>
      <c r="AD81" s="125">
        <f>ROUNDUP(IF(Q81=$Z$16,SUM(Z81:AA81),IF(OR(Q81=$Z$20,Q81=$Z$18),(T81+AA81),0)),0)</f>
        <v>0</v>
      </c>
      <c r="AE81" s="125">
        <f>ROUNDUP(IF(Q81=$Z$16,SUM(Z81:AA81)*5*1.03,IF(Q81=$Z$18,(AA81+T81)*5*1.03+AH81+AL81,IF(Q81=$Z$20,(AA81+T81)*5*1.03,0))),0)</f>
        <v>0</v>
      </c>
      <c r="AF81" s="223">
        <f>ROUNDUP(IF($AE$5=1,U81/1000*V81/1000*T81*1.03,0),1)</f>
        <v>0</v>
      </c>
      <c r="AG81" s="125">
        <f>IF(Q81=$Z$18,INDEX($AH$307:$AI$339,MATCH(V81,$AG$307:$AG$339,0),2),IF(Q81=$Z$17,INDEX($AK$307:$AL$341,MATCH(V81,$AJ$307:$AJ$341,0),2),0))</f>
        <v>0</v>
      </c>
      <c r="AH81" s="125">
        <f>IF($W81=$Y$39,0,IF(AG81=0,0,ROUNDUP(7*T81*U81/1000*1.03,0)))</f>
        <v>0</v>
      </c>
      <c r="AI81" s="125">
        <f>IF(Q81=$Z$18,INDEX($AH$307:$AI$339,MATCH(V81,$AG$307:$AG$339,0),1),IF(Q81=$Z$17,INDEX($AK$307:$AL$341,MATCH(V81,$AJ$307:$AJ$341,0),1),0))</f>
        <v>0</v>
      </c>
      <c r="AJ81" s="125">
        <f>AH81</f>
        <v>0</v>
      </c>
      <c r="AK81" s="125">
        <f>IF(Q81=$Z$18,INDEX($AO$306:$AP$323,MATCH(V81,$AN$306:$AN$323,0),2),IF(Q81=$Z$17,INDEX($AR$306:$AS$323,MATCH(V81,$AQ$306:$AQ$323,0),2),0))</f>
        <v>0</v>
      </c>
      <c r="AL81" s="125">
        <f>IF(AK81=0,0,ROUNDUP(T81*5*1.03,0))</f>
        <v>0</v>
      </c>
      <c r="AN81" s="437">
        <f>IFERROR(MATCH(Q81,$Z$15:$Z$20,0),0)</f>
        <v>0</v>
      </c>
    </row>
    <row r="82" spans="2:40" ht="15" customHeight="1">
      <c r="B82" s="673"/>
      <c r="C82" s="659" t="str">
        <f>IF(AND(I83&gt;0,SUM(I84:I97)&gt;0),"Телескопический крепеж и тарельчатый держатель",IF(AND(I83&gt;0,SUM(I84:I97)=0),"Тарельчатый держатель","Телескопический крепеж"))</f>
        <v>Телескопический крепеж</v>
      </c>
      <c r="D82" s="105"/>
      <c r="E82" s="105"/>
      <c r="F82" s="105"/>
      <c r="G82" s="1024"/>
      <c r="H82" s="1024"/>
      <c r="I82" s="663"/>
      <c r="J82" s="621"/>
      <c r="K82" s="621"/>
      <c r="L82" s="623">
        <f>SUM(L83:L100)</f>
        <v>0</v>
      </c>
      <c r="N82" s="1032">
        <f>IF(SUM(I83:I100)&gt;0,1,0)</f>
        <v>0</v>
      </c>
      <c r="O82" s="1051"/>
      <c r="P82" s="225"/>
      <c r="Q82" s="123"/>
      <c r="R82" s="124"/>
      <c r="S82" s="124"/>
      <c r="T82" s="124"/>
      <c r="U82" s="124"/>
      <c r="V82" s="124"/>
      <c r="W82" s="162"/>
      <c r="X82" s="119"/>
      <c r="Y82" s="103">
        <f>(530+R82+S82)/1000*T82</f>
        <v>0</v>
      </c>
      <c r="Z82" s="103">
        <f>T82*2</f>
        <v>0</v>
      </c>
      <c r="AA82" s="103">
        <f>T82</f>
        <v>0</v>
      </c>
      <c r="AB82" s="103">
        <f>IF(SUM(R82:S82)&gt;U82,IF(Q82=$Z$16,((R82+S82)/1000*T82),IF(Q82=$Z$18,((R82+S82-U82)/1000*T82),IF(Q82=$Z$19,((V82+U82)/1000*T82),IF(Q82=$Z$20,((R82+S82+V82)/1000*T82),0)))),0)</f>
        <v>0</v>
      </c>
      <c r="AC82" s="840">
        <f>ROUNDUP(IF(OR(Q82=$Z$19,Q82=$Z$15),SUM(Z82:AA82),IF(Q82=$Z$17,(T82+AA82),IF(Q82=$Z$20,T82,0))),0)</f>
        <v>0</v>
      </c>
      <c r="AD82" s="103">
        <f>ROUNDUP(IF(Q82=$Z$16,SUM(Z82:AA82),IF(OR(Q82=$Z$20,Q82=$Z$18),(T82+AA82),0)),0)</f>
        <v>0</v>
      </c>
      <c r="AE82" s="103">
        <f>ROUNDUP(IF(Q82=$Z$16,SUM(Z82:AA82)*5*1.03,IF(Q82=$Z$18,(AA82+T82)*5*1.03+AH82+AL82,IF(Q82=$Z$20,(AA82+T82)*5*1.03,0))),0)</f>
        <v>0</v>
      </c>
      <c r="AF82" s="237">
        <f>ROUNDUP(IF($AE$5=1,U82/1000*V82/1000*T82*1.03,0),1)</f>
        <v>0</v>
      </c>
      <c r="AG82" s="121">
        <f>IF(Q82=$Z$18,INDEX($AH$307:$AI$339,MATCH(V82,$AG$307:$AG$339,0),2),IF(Q82=$Z$17,INDEX($AK$307:$AL$341,MATCH(V82,$AJ$307:$AJ$341,0),2),0))</f>
        <v>0</v>
      </c>
      <c r="AH82" s="121">
        <f>IF($W82=$Y$39,0,IF(AG82=0,0,ROUNDUP(7*T82*U82/1000*1.03,0)))</f>
        <v>0</v>
      </c>
      <c r="AI82" s="121">
        <f>IF(Q82=$Z$18,INDEX($AH$307:$AI$339,MATCH(V82,$AG$307:$AG$339,0),1),IF(Q82=$Z$17,INDEX($AK$307:$AL$341,MATCH(V82,$AJ$307:$AJ$341,0),1),0))</f>
        <v>0</v>
      </c>
      <c r="AJ82" s="121">
        <f>AH82</f>
        <v>0</v>
      </c>
      <c r="AK82" s="121">
        <f>IF(Q82=$Z$18,INDEX($AO$306:$AP$323,MATCH(V82,$AN$306:$AN$323,0),2),IF(Q82=$Z$17,INDEX($AR$306:$AS$323,MATCH(V82,$AQ$306:$AQ$323,0),2),0))</f>
        <v>0</v>
      </c>
      <c r="AL82" s="121">
        <f t="shared" ref="AL82:AL85" si="10">IF(AK82=0,0,ROUNDUP(T82*5*1.03,0))</f>
        <v>0</v>
      </c>
      <c r="AN82" s="437">
        <f>IFERROR(MATCH(Q82,$Z$15:$Z$20,0),0)</f>
        <v>0</v>
      </c>
    </row>
    <row r="83" spans="2:40" ht="15" customHeight="1">
      <c r="B83" s="1037">
        <f>SUBTOTAL(3,$I$83:I83)</f>
        <v>1</v>
      </c>
      <c r="C83" s="664" t="str">
        <f>IF($V$3=$Y$3,"Круглый тарельчатый держатель ТехноНИКОЛЬ 50мм", "Круглый тарельчатый держатель ТН (1/С) Ø 50")</f>
        <v>Круглый тарельчатый держатель ТН (1/С) Ø 50</v>
      </c>
      <c r="D83" s="665"/>
      <c r="E83" s="665"/>
      <c r="F83" s="666"/>
      <c r="G83" s="667"/>
      <c r="H83" s="668" t="s">
        <v>155</v>
      </c>
      <c r="I83" s="660">
        <f>IF(AND(OR($R$4=$Y$9,$R$4=$Y$10),$V$4=$AA$6),ROUNDUP(ПЛ*$U$12,0),IF(AND(R4=Y7,V4=AA11),SUMIF(D225:D295,H83,I225:I295),IF(AND(OR(R4=Y7,R4=Y8),V4=AA10),ROUNDUP(ПЛ*$U$12,0)+SUMIF(D225:D295,"ТЭ",I225:I295),(SUMIF($D$137:$D$216,H83,$L$137:$L$216)+SUMIF(D225:D295,"ТЭ",I225:I295)))))+IF($AK$24&gt;0,$AK$26,0)</f>
        <v>0</v>
      </c>
      <c r="J83" s="1013" t="s">
        <v>151</v>
      </c>
      <c r="K83" s="661"/>
      <c r="L83" s="610">
        <f>IFERROR(I83*K83,0)</f>
        <v>0</v>
      </c>
      <c r="N83" s="1032">
        <f t="shared" ref="N83:N100" si="11">IF(I83&gt;0,1,0)</f>
        <v>0</v>
      </c>
      <c r="O83" s="1051"/>
      <c r="P83" s="225"/>
      <c r="Q83" s="123"/>
      <c r="R83" s="124"/>
      <c r="S83" s="124"/>
      <c r="T83" s="124"/>
      <c r="U83" s="124"/>
      <c r="V83" s="124"/>
      <c r="W83" s="162"/>
      <c r="X83" s="119"/>
      <c r="Y83" s="125">
        <f>(530+R83+S83)/1000*T83</f>
        <v>0</v>
      </c>
      <c r="Z83" s="125">
        <f>T83*2</f>
        <v>0</v>
      </c>
      <c r="AA83" s="125">
        <f>T83</f>
        <v>0</v>
      </c>
      <c r="AB83" s="125">
        <f>IF(SUM(R83:S83)&gt;U83,IF(Q83=$Z$16,((R83+S83)/1000*T83),IF(Q83=$Z$18,((R83+S83-U83)/1000*T83),IF(Q83=$Z$19,((V83+U83)/1000*T83),IF(Q83=$Z$20,((R83+S83+V83)/1000*T83),0)))),0)</f>
        <v>0</v>
      </c>
      <c r="AC83" s="839">
        <f>ROUNDUP(IF(OR(Q83=$Z$19,Q83=$Z$15),SUM(Z83:AA83),IF(Q83=$Z$17,(T83+AA83),IF(Q83=$Z$20,T83,0))),0)</f>
        <v>0</v>
      </c>
      <c r="AD83" s="125">
        <f>ROUNDUP(IF(Q83=$Z$16,SUM(Z83:AA83),IF(OR(Q83=$Z$20,Q83=$Z$18),(T83+AA83),0)),0)</f>
        <v>0</v>
      </c>
      <c r="AE83" s="125">
        <f>ROUNDUP(IF(Q83=$Z$16,SUM(Z83:AA83)*5*1.03,IF(Q83=$Z$18,(AA83+T83)*5*1.03+AH83+AL83,IF(Q83=$Z$20,(AA83+T83)*5*1.03,0))),0)</f>
        <v>0</v>
      </c>
      <c r="AF83" s="223">
        <f>ROUNDUP(IF($AE$5=1,U83/1000*V83/1000*T83*1.03,0),1)</f>
        <v>0</v>
      </c>
      <c r="AG83" s="125">
        <f>IF(Q83=$Z$18,INDEX($AH$307:$AI$339,MATCH(V83,$AG$307:$AG$339,0),2),IF(Q83=$Z$17,INDEX($AK$307:$AL$341,MATCH(V83,$AJ$307:$AJ$341,0),2),0))</f>
        <v>0</v>
      </c>
      <c r="AH83" s="125">
        <f>IF($W83=$Y$39,0,IF(AG83=0,0,ROUNDUP(7*T83*U83/1000*1.03,0)))</f>
        <v>0</v>
      </c>
      <c r="AI83" s="125">
        <f>IF(Q83=$Z$18,INDEX($AH$307:$AI$339,MATCH(V83,$AG$307:$AG$339,0),1),IF(Q83=$Z$17,INDEX($AK$307:$AL$341,MATCH(V83,$AJ$307:$AJ$341,0),1),0))</f>
        <v>0</v>
      </c>
      <c r="AJ83" s="125">
        <f>AH83</f>
        <v>0</v>
      </c>
      <c r="AK83" s="125">
        <f>IF(Q83=$Z$18,INDEX($AO$306:$AP$323,MATCH(V83,$AN$306:$AN$323,0),2),IF(Q83=$Z$17,INDEX($AR$306:$AS$323,MATCH(V83,$AQ$306:$AQ$323,0),2),0))</f>
        <v>0</v>
      </c>
      <c r="AL83" s="125">
        <f t="shared" si="10"/>
        <v>0</v>
      </c>
      <c r="AN83" s="437">
        <f>IFERROR(MATCH(Q83,$Z$15:$Z$20,0),0)</f>
        <v>0</v>
      </c>
    </row>
    <row r="84" spans="2:40" ht="15" customHeight="1">
      <c r="B84" s="1037">
        <f>SUBTOTAL(3,$I$83:I84)</f>
        <v>2</v>
      </c>
      <c r="C84" s="654" t="s">
        <v>268</v>
      </c>
      <c r="D84" s="654"/>
      <c r="E84" s="654"/>
      <c r="F84" s="669">
        <v>20</v>
      </c>
      <c r="G84" s="670" t="s">
        <v>150</v>
      </c>
      <c r="H84" s="1035"/>
      <c r="I84" s="660">
        <f t="shared" ref="I84:I99" si="12">IF(OR($V$4=$AA$10,$V$4=$AA$11),SUMIF($D$225:$D$295,F84,$I$225:$I$295),SUMIF($D$137:$D$216,F84,$L$137:$L$216))</f>
        <v>0</v>
      </c>
      <c r="J84" s="1013" t="s">
        <v>151</v>
      </c>
      <c r="K84" s="661"/>
      <c r="L84" s="610">
        <f t="shared" ref="L84:L99" si="13">I84*K84</f>
        <v>0</v>
      </c>
      <c r="N84" s="1032">
        <f t="shared" si="11"/>
        <v>0</v>
      </c>
      <c r="O84" s="1051"/>
      <c r="P84" s="225"/>
      <c r="Q84" s="123"/>
      <c r="R84" s="124"/>
      <c r="S84" s="124"/>
      <c r="T84" s="124"/>
      <c r="U84" s="124"/>
      <c r="V84" s="124"/>
      <c r="W84" s="162"/>
      <c r="X84" s="119"/>
      <c r="Y84" s="103">
        <f>(530+R84+S84)/1000*T84</f>
        <v>0</v>
      </c>
      <c r="Z84" s="103">
        <f>T84*2</f>
        <v>0</v>
      </c>
      <c r="AA84" s="103">
        <f>T84</f>
        <v>0</v>
      </c>
      <c r="AB84" s="103">
        <f>IF(SUM(R84:S84)&gt;U84,IF(Q84=$Z$16,((R84+S84)/1000*T84),IF(Q84=$Z$18,((R84+S84-U84)/1000*T84),IF(Q84=$Z$19,((V84+U84)/1000*T84),IF(Q84=$Z$20,((R84+S84+V84)/1000*T84),0)))),0)</f>
        <v>0</v>
      </c>
      <c r="AC84" s="840">
        <f>ROUNDUP(IF(OR(Q84=$Z$19,Q84=$Z$15),SUM(Z84:AA84),IF(Q84=$Z$17,(T84+AA84),IF(Q84=$Z$20,T84,0))),0)</f>
        <v>0</v>
      </c>
      <c r="AD84" s="103">
        <f>ROUNDUP(IF(Q84=$Z$16,SUM(Z84:AA84),IF(OR(Q84=$Z$20,Q84=$Z$18),(T84+AA84),0)),0)</f>
        <v>0</v>
      </c>
      <c r="AE84" s="103">
        <f>ROUNDUP(IF(Q84=$Z$16,SUM(Z84:AA84)*5*1.03,IF(Q84=$Z$18,(AA84+T84)*5*1.03+AH84+AL84,IF(Q84=$Z$20,(AA84+T84)*5*1.03,0))),0)</f>
        <v>0</v>
      </c>
      <c r="AF84" s="237">
        <f>ROUNDUP(IF($AE$5=1,U84/1000*V84/1000*T84*1.03,0),1)</f>
        <v>0</v>
      </c>
      <c r="AG84" s="121">
        <f>IF(Q84=$Z$18,INDEX($AH$307:$AI$339,MATCH(V84,$AG$307:$AG$339,0),2),IF(Q84=$Z$17,INDEX($AK$307:$AL$341,MATCH(V84,$AJ$307:$AJ$341,0),2),0))</f>
        <v>0</v>
      </c>
      <c r="AH84" s="121">
        <f>IF($W84=$Y$39,0,IF(AG84=0,0,ROUNDUP(7*T84*U84/1000*1.03,0)))</f>
        <v>0</v>
      </c>
      <c r="AI84" s="121">
        <f>IF(Q84=$Z$18,INDEX($AH$307:$AI$339,MATCH(V84,$AG$307:$AG$339,0),1),IF(Q84=$Z$17,INDEX($AK$307:$AL$341,MATCH(V84,$AJ$307:$AJ$341,0),1),0))</f>
        <v>0</v>
      </c>
      <c r="AJ84" s="121">
        <f>AH84</f>
        <v>0</v>
      </c>
      <c r="AK84" s="121">
        <f>IF(Q84=$Z$18,INDEX($AO$306:$AP$323,MATCH(V84,$AN$306:$AN$323,0),2),IF(Q84=$Z$17,INDEX($AR$306:$AS$323,MATCH(V84,$AQ$306:$AQ$323,0),2),0))</f>
        <v>0</v>
      </c>
      <c r="AL84" s="121">
        <f t="shared" si="10"/>
        <v>0</v>
      </c>
      <c r="AN84" s="437">
        <f>IFERROR(MATCH(Q84,$Z$15:$Z$20,0),0)</f>
        <v>0</v>
      </c>
    </row>
    <row r="85" spans="2:40" ht="15" customHeight="1">
      <c r="B85" s="1037">
        <f>SUBTOTAL(3,$I$83:I85)</f>
        <v>3</v>
      </c>
      <c r="C85" s="664" t="s">
        <v>268</v>
      </c>
      <c r="D85" s="665"/>
      <c r="E85" s="665"/>
      <c r="F85" s="666">
        <v>50</v>
      </c>
      <c r="G85" s="667" t="s">
        <v>150</v>
      </c>
      <c r="H85" s="1012"/>
      <c r="I85" s="660">
        <f t="shared" si="12"/>
        <v>0</v>
      </c>
      <c r="J85" s="1013" t="s">
        <v>151</v>
      </c>
      <c r="K85" s="661"/>
      <c r="L85" s="610">
        <f>I85*K85</f>
        <v>0</v>
      </c>
      <c r="N85" s="1032">
        <f t="shared" si="11"/>
        <v>0</v>
      </c>
      <c r="O85" s="1051"/>
      <c r="P85" s="225"/>
      <c r="Q85" s="123"/>
      <c r="R85" s="124"/>
      <c r="S85" s="124"/>
      <c r="T85" s="124"/>
      <c r="U85" s="124"/>
      <c r="V85" s="124"/>
      <c r="W85" s="162"/>
      <c r="X85" s="119"/>
      <c r="Y85" s="125">
        <f>(530+R85+S85)/1000*T85</f>
        <v>0</v>
      </c>
      <c r="Z85" s="125">
        <f>T85*2</f>
        <v>0</v>
      </c>
      <c r="AA85" s="125">
        <f>T85</f>
        <v>0</v>
      </c>
      <c r="AB85" s="125">
        <f>IF(SUM(R85:S85)&gt;U85,IF(Q85=$Z$16,((R85+S85)/1000*T85),IF(Q85=$Z$18,((R85+S85-U85)/1000*T85),IF(Q85=$Z$19,((V85+U85)/1000*T85),IF(Q85=$Z$20,((R85+S85+V85)/1000*T85),0)))),0)</f>
        <v>0</v>
      </c>
      <c r="AC85" s="839">
        <f>ROUNDUP(IF(OR(Q85=$Z$19,Q85=$Z$15),SUM(Z85:AA85),IF(Q85=$Z$17,(T85+AA85),IF(Q85=$Z$20,T85,0))),0)</f>
        <v>0</v>
      </c>
      <c r="AD85" s="125">
        <f>ROUNDUP(IF(Q85=$Z$16,SUM(Z85:AA85),IF(OR(Q85=$Z$20,Q85=$Z$18),(T85+AA85),0)),0)</f>
        <v>0</v>
      </c>
      <c r="AE85" s="125">
        <f>ROUNDUP(IF(Q85=$Z$16,SUM(Z85:AA85)*5*1.03,IF(Q85=$Z$18,(AA85+T85)*5*1.03+AH85+AL85,IF(Q85=$Z$20,(AA85+T85)*5*1.03,0))),0)</f>
        <v>0</v>
      </c>
      <c r="AF85" s="223">
        <f>ROUNDUP(IF($AE$5=1,U85/1000*V85/1000*T85*1.03,0),1)</f>
        <v>0</v>
      </c>
      <c r="AG85" s="125">
        <f>IF(Q85=$Z$18,INDEX($AH$307:$AI$339,MATCH(V85,$AG$307:$AG$339,0),2),IF(Q85=$Z$17,INDEX($AK$307:$AL$341,MATCH(V85,$AJ$307:$AJ$341,0),2),0))</f>
        <v>0</v>
      </c>
      <c r="AH85" s="125">
        <f>IF($W85=$Y$39,0,IF(AG85=0,0,ROUNDUP(7*T85*U85/1000*1.03,0)))</f>
        <v>0</v>
      </c>
      <c r="AI85" s="125">
        <f>IF(Q85=$Z$18,INDEX($AH$307:$AI$339,MATCH(V85,$AG$307:$AG$339,0),1),IF(Q85=$Z$17,INDEX($AK$307:$AL$341,MATCH(V85,$AJ$307:$AJ$341,0),1),0))</f>
        <v>0</v>
      </c>
      <c r="AJ85" s="125">
        <f>AH85</f>
        <v>0</v>
      </c>
      <c r="AK85" s="125">
        <f>IF(Q85=$Z$18,INDEX($AO$306:$AP$323,MATCH(V85,$AN$306:$AN$323,0),2),IF(Q85=$Z$17,INDEX($AR$306:$AS$323,MATCH(V85,$AQ$306:$AQ$323,0),2),0))</f>
        <v>0</v>
      </c>
      <c r="AL85" s="125">
        <f t="shared" si="10"/>
        <v>0</v>
      </c>
      <c r="AN85" s="437">
        <f>IFERROR(MATCH(Q85,$Z$15:$Z$20,0),0)</f>
        <v>0</v>
      </c>
    </row>
    <row r="86" spans="2:40" ht="15" customHeight="1">
      <c r="B86" s="1037">
        <f>SUBTOTAL(3,$I$83:I86)</f>
        <v>4</v>
      </c>
      <c r="C86" s="654" t="s">
        <v>268</v>
      </c>
      <c r="D86" s="654"/>
      <c r="E86" s="654"/>
      <c r="F86" s="669">
        <v>80</v>
      </c>
      <c r="G86" s="670" t="s">
        <v>150</v>
      </c>
      <c r="H86" s="1035"/>
      <c r="I86" s="660">
        <f t="shared" si="12"/>
        <v>0</v>
      </c>
      <c r="J86" s="1013" t="s">
        <v>151</v>
      </c>
      <c r="K86" s="661"/>
      <c r="L86" s="610">
        <f t="shared" si="13"/>
        <v>0</v>
      </c>
      <c r="N86" s="1032">
        <f t="shared" si="11"/>
        <v>0</v>
      </c>
      <c r="O86" s="1051"/>
      <c r="P86" s="1292" t="str">
        <f>IF(V3=Y4,"Примыкание к парапету высотой менее 500 мм"," ")</f>
        <v xml:space="preserve"> </v>
      </c>
      <c r="Q86" s="1292"/>
      <c r="R86" s="1292"/>
      <c r="S86" s="1292"/>
      <c r="T86" s="1292"/>
      <c r="U86" s="217"/>
      <c r="V86" s="217"/>
      <c r="W86" s="217"/>
      <c r="X86" s="93"/>
      <c r="Y86" s="1293" t="s">
        <v>159</v>
      </c>
      <c r="Z86" s="1368"/>
      <c r="AA86" s="1368"/>
      <c r="AB86" s="1368"/>
      <c r="AC86" s="1368"/>
      <c r="AD86" s="1368"/>
      <c r="AE86" s="1294"/>
      <c r="AF86" s="1357" t="s">
        <v>309</v>
      </c>
      <c r="AG86" s="1359" t="s">
        <v>310</v>
      </c>
      <c r="AH86" s="1360"/>
      <c r="AI86" s="1359" t="s">
        <v>311</v>
      </c>
      <c r="AJ86" s="1360"/>
      <c r="AK86" s="1359" t="s">
        <v>312</v>
      </c>
      <c r="AL86" s="1360"/>
      <c r="AN86" s="436"/>
    </row>
    <row r="87" spans="2:40" ht="15" customHeight="1">
      <c r="B87" s="1037">
        <f>SUBTOTAL(3,$I$83:I87)</f>
        <v>5</v>
      </c>
      <c r="C87" s="664" t="s">
        <v>268</v>
      </c>
      <c r="D87" s="665"/>
      <c r="E87" s="665"/>
      <c r="F87" s="666">
        <v>100</v>
      </c>
      <c r="G87" s="667" t="s">
        <v>150</v>
      </c>
      <c r="H87" s="1012"/>
      <c r="I87" s="660">
        <f t="shared" si="12"/>
        <v>0</v>
      </c>
      <c r="J87" s="1013" t="s">
        <v>151</v>
      </c>
      <c r="K87" s="661"/>
      <c r="L87" s="610">
        <f t="shared" si="13"/>
        <v>0</v>
      </c>
      <c r="N87" s="1032">
        <f t="shared" si="11"/>
        <v>0</v>
      </c>
      <c r="O87" s="1051"/>
      <c r="P87" s="1026" t="s">
        <v>302</v>
      </c>
      <c r="Q87" s="1026" t="str">
        <f>IF(V3=Y4,"ТИПЫ"," ")</f>
        <v xml:space="preserve"> </v>
      </c>
      <c r="R87" s="1025" t="str">
        <f>IF(V3=Y4,"ШИРИНА, мм"," ")</f>
        <v xml:space="preserve"> </v>
      </c>
      <c r="S87" s="1025" t="str">
        <f>IF(V3=Y4,"ВЫСОТА, мм"," ")</f>
        <v xml:space="preserve"> </v>
      </c>
      <c r="T87" s="1025" t="str">
        <f>IF(V3=Y4,"ДЛИНА, м"," ")</f>
        <v xml:space="preserve"> </v>
      </c>
      <c r="U87" s="1025" t="s">
        <v>331</v>
      </c>
      <c r="V87" s="1025" t="s">
        <v>332</v>
      </c>
      <c r="W87" s="1025" t="s">
        <v>333</v>
      </c>
      <c r="X87" s="93"/>
      <c r="Y87" s="122" t="s">
        <v>153</v>
      </c>
      <c r="Z87" s="122" t="s">
        <v>154</v>
      </c>
      <c r="AA87" s="122" t="s">
        <v>155</v>
      </c>
      <c r="AB87" s="122" t="s">
        <v>156</v>
      </c>
      <c r="AC87" s="122" t="s">
        <v>254</v>
      </c>
      <c r="AD87" s="122" t="s">
        <v>253</v>
      </c>
      <c r="AE87" s="122" t="s">
        <v>600</v>
      </c>
      <c r="AF87" s="1358"/>
      <c r="AG87" s="222" t="s">
        <v>314</v>
      </c>
      <c r="AH87" s="222" t="s">
        <v>313</v>
      </c>
      <c r="AI87" s="222" t="s">
        <v>314</v>
      </c>
      <c r="AJ87" s="222" t="s">
        <v>313</v>
      </c>
      <c r="AK87" s="222" t="s">
        <v>314</v>
      </c>
      <c r="AL87" s="222" t="s">
        <v>313</v>
      </c>
      <c r="AN87" s="436"/>
    </row>
    <row r="88" spans="2:40" ht="15" customHeight="1">
      <c r="B88" s="1037">
        <f>SUBTOTAL(3,$I$83:I88)</f>
        <v>6</v>
      </c>
      <c r="C88" s="654" t="s">
        <v>268</v>
      </c>
      <c r="D88" s="654"/>
      <c r="E88" s="654"/>
      <c r="F88" s="669">
        <v>120</v>
      </c>
      <c r="G88" s="670" t="s">
        <v>150</v>
      </c>
      <c r="H88" s="1035"/>
      <c r="I88" s="660">
        <f t="shared" si="12"/>
        <v>0</v>
      </c>
      <c r="J88" s="1013" t="s">
        <v>151</v>
      </c>
      <c r="K88" s="661"/>
      <c r="L88" s="610">
        <f t="shared" si="13"/>
        <v>0</v>
      </c>
      <c r="N88" s="1032">
        <f t="shared" si="11"/>
        <v>0</v>
      </c>
      <c r="O88" s="1051"/>
      <c r="P88" s="225"/>
      <c r="Q88" s="123"/>
      <c r="R88" s="124"/>
      <c r="S88" s="124"/>
      <c r="T88" s="124"/>
      <c r="U88" s="124"/>
      <c r="V88" s="124"/>
      <c r="W88" s="162"/>
      <c r="X88" s="93"/>
      <c r="Y88" s="125">
        <f>T88*(430+R88+S88)/1000</f>
        <v>0</v>
      </c>
      <c r="Z88" s="125">
        <f>T88</f>
        <v>0</v>
      </c>
      <c r="AA88" s="125">
        <f>T88</f>
        <v>0</v>
      </c>
      <c r="AB88" s="125">
        <f>IF(SUM(R88:S88)&gt;U88,IF(Q88=$Z$16,((R88+S88)/1000*T88),IF(Q88=$Z$18,((R88+S88-U88)/1000*T88),IF(Q88=$Z$19,((V88+U88)/1000*T88),IF(Q88=$Z$20,((R88+S88+V88)/1000*T88),0)))),0)</f>
        <v>0</v>
      </c>
      <c r="AC88" s="839">
        <f>ROUNDUP(IF(OR(Q88=$Z$17,Q88=$Z$19,Q88=$Z$15),SUM(Z88:AA88),0),0)</f>
        <v>0</v>
      </c>
      <c r="AD88" s="125">
        <f>ROUNDUP(IF(OR(Q88=$Z$18,Q88=$Z$20,Q88=$Z$16),SUM(Z88:AA88),0),0)</f>
        <v>0</v>
      </c>
      <c r="AE88" s="125">
        <f>ROUNDUP(IF(OR(Q88=$Z$20,Q88=$Z$16),SUM(Z88:AA88)*5*1.03,IF(Q88=$Z$18,(AA88+Z88)*5*1.03+AH88,0)),0)</f>
        <v>0</v>
      </c>
      <c r="AF88" s="223">
        <f>ROUNDUP(IF($AE$6=1,U88/1000*V88/1000*T88*1.03,0),1)</f>
        <v>0</v>
      </c>
      <c r="AG88" s="125">
        <f>IF(Q88=$Z$18,INDEX($AH$307:$AI$339,MATCH(V88,$AG$307:$AG$339,0),2),IF(Q88=$Z$17,INDEX($AK$307:$AL$341,MATCH(V88,$AJ$307:$AJ$341,0),2),0))</f>
        <v>0</v>
      </c>
      <c r="AH88" s="125">
        <f>IF($W88=$Y$39,0,IF(AG88=0,0,ROUNDUP(7*T88*U88/1000*1.03,0)))</f>
        <v>0</v>
      </c>
      <c r="AI88" s="125">
        <f>IF(Q88=$Z$18,INDEX($AH$307:$AI$339,MATCH(V88,$AG$307:$AG$339,0),1),IF(Q88=$Z$17,INDEX($AK$307:$AL$341,MATCH(V88,$AJ$307:$AJ$341,0),1),0))</f>
        <v>0</v>
      </c>
      <c r="AJ88" s="125">
        <f>AH88</f>
        <v>0</v>
      </c>
      <c r="AK88" s="125">
        <f>IF(Q88=$Z$18,INDEX($AO$306:$AP$323,MATCH(V88,$AN$306:$AN$323,0),2),IF(Q88=$Z$17,INDEX($AR$306:$AS$323,MATCH(V88,$AQ$306:$AQ$323,0),2),0))</f>
        <v>0</v>
      </c>
      <c r="AL88" s="125">
        <v>0</v>
      </c>
      <c r="AN88" s="437">
        <f>IFERROR(MATCH(Q88,$Z$15:$Z$20,0),0)</f>
        <v>0</v>
      </c>
    </row>
    <row r="89" spans="2:40" ht="15" customHeight="1">
      <c r="B89" s="1037">
        <f>SUBTOTAL(3,$I$83:I89)</f>
        <v>7</v>
      </c>
      <c r="C89" s="664" t="s">
        <v>268</v>
      </c>
      <c r="D89" s="665"/>
      <c r="E89" s="665"/>
      <c r="F89" s="666">
        <v>130</v>
      </c>
      <c r="G89" s="667" t="s">
        <v>150</v>
      </c>
      <c r="H89" s="1012"/>
      <c r="I89" s="660">
        <f t="shared" si="12"/>
        <v>0</v>
      </c>
      <c r="J89" s="1013" t="s">
        <v>151</v>
      </c>
      <c r="K89" s="661"/>
      <c r="L89" s="610">
        <f t="shared" si="13"/>
        <v>0</v>
      </c>
      <c r="N89" s="1032">
        <f t="shared" si="11"/>
        <v>0</v>
      </c>
      <c r="O89" s="1051"/>
      <c r="P89" s="225"/>
      <c r="Q89" s="123"/>
      <c r="R89" s="124"/>
      <c r="S89" s="124"/>
      <c r="T89" s="124"/>
      <c r="U89" s="124"/>
      <c r="V89" s="124"/>
      <c r="W89" s="162"/>
      <c r="X89" s="93"/>
      <c r="Y89" s="103">
        <f>T89*(430+R89+S89)/1000</f>
        <v>0</v>
      </c>
      <c r="Z89" s="103">
        <f>T89</f>
        <v>0</v>
      </c>
      <c r="AA89" s="103">
        <f>T89</f>
        <v>0</v>
      </c>
      <c r="AB89" s="103">
        <f>IF(SUM(R89:S89)&gt;U89,IF(Q89=$Z$16,((R89+S89)/1000*T89),IF(Q89=$Z$18,((R89+S89-U89)/1000*T89),IF(Q89=$Z$19,((V89+U89)/1000*T89),IF(Q89=$Z$20,((R89+S89+V89)/1000*T89),0)))),0)</f>
        <v>0</v>
      </c>
      <c r="AC89" s="840">
        <f>ROUNDUP(IF(OR(Q89=$Z$17,Q89=$Z$19,Q89=$Z$15),SUM(Z89:AA89),0),0)</f>
        <v>0</v>
      </c>
      <c r="AD89" s="103">
        <f>ROUNDUP(IF(OR(Q89=$Z$18,Q89=$Z$20,Q89=$Z$16),SUM(Z89:AA89),0),0)</f>
        <v>0</v>
      </c>
      <c r="AE89" s="121">
        <f>ROUNDUP(IF(OR(Q89=$Z$20,Q89=$Z$16),SUM(Z89:AA89)*5*1.03,IF(Q89=$Z$18,(AA89+Z89)*5*1.03+AH89,0)),0)</f>
        <v>0</v>
      </c>
      <c r="AF89" s="237">
        <f>ROUNDUP(IF($AE$6=1,U89/1000*V89/1000*T89*1.03,0),1)</f>
        <v>0</v>
      </c>
      <c r="AG89" s="121">
        <f>IF(Q89=$Z$18,INDEX($AH$307:$AI$339,MATCH(V89,$AG$307:$AG$339,0),2),IF(Q89=$Z$17,INDEX($AK$307:$AL$341,MATCH(V89,$AJ$307:$AJ$341,0),2),0))</f>
        <v>0</v>
      </c>
      <c r="AH89" s="121">
        <f>IF($W89=$Y$39,0,IF(AG89=0,0,ROUNDUP(7*T89*U89/1000*1.03,0)))</f>
        <v>0</v>
      </c>
      <c r="AI89" s="121">
        <f>IF(Q89=$Z$18,INDEX($AH$307:$AI$339,MATCH(V89,$AG$307:$AG$339,0),1),IF(Q89=$Z$17,INDEX($AK$307:$AL$341,MATCH(V89,$AJ$307:$AJ$341,0),1),0))</f>
        <v>0</v>
      </c>
      <c r="AJ89" s="121">
        <f>AH89</f>
        <v>0</v>
      </c>
      <c r="AK89" s="121">
        <f>IF(Q89=$Z$18,INDEX($AO$306:$AP$323,MATCH(V89,$AN$306:$AN$323,0),2),IF(Q89=$Z$17,INDEX($AR$306:$AS$323,MATCH(V89,$AQ$306:$AQ$323,0),2),0))</f>
        <v>0</v>
      </c>
      <c r="AL89" s="121">
        <v>0</v>
      </c>
      <c r="AN89" s="437">
        <f>IFERROR(MATCH(Q89,$Z$15:$Z$20,0),0)</f>
        <v>0</v>
      </c>
    </row>
    <row r="90" spans="2:40" ht="15" customHeight="1">
      <c r="B90" s="1037">
        <f>SUBTOTAL(3,$I$83:I90)</f>
        <v>8</v>
      </c>
      <c r="C90" s="654" t="s">
        <v>268</v>
      </c>
      <c r="D90" s="654"/>
      <c r="E90" s="654"/>
      <c r="F90" s="669">
        <v>140</v>
      </c>
      <c r="G90" s="670" t="s">
        <v>150</v>
      </c>
      <c r="H90" s="1035"/>
      <c r="I90" s="660">
        <f t="shared" si="12"/>
        <v>0</v>
      </c>
      <c r="J90" s="1013" t="s">
        <v>151</v>
      </c>
      <c r="K90" s="661"/>
      <c r="L90" s="610">
        <f t="shared" si="13"/>
        <v>0</v>
      </c>
      <c r="N90" s="1032">
        <f t="shared" si="11"/>
        <v>0</v>
      </c>
      <c r="O90" s="1051"/>
      <c r="P90" s="225"/>
      <c r="Q90" s="123"/>
      <c r="R90" s="124"/>
      <c r="S90" s="124"/>
      <c r="T90" s="124"/>
      <c r="U90" s="124"/>
      <c r="V90" s="124"/>
      <c r="W90" s="162"/>
      <c r="X90" s="93"/>
      <c r="Y90" s="125">
        <f>T90*(430+R90+S90)/1000</f>
        <v>0</v>
      </c>
      <c r="Z90" s="125">
        <f>T90</f>
        <v>0</v>
      </c>
      <c r="AA90" s="125">
        <f>T90</f>
        <v>0</v>
      </c>
      <c r="AB90" s="125">
        <f>IF(SUM(R90:S90)&gt;U90,IF(Q90=$Z$16,((R90+S90)/1000*T90),IF(Q90=$Z$18,((R90+S90-U90)/1000*T90),IF(Q90=$Z$19,((V90+U90)/1000*T90),IF(Q90=$Z$20,((R90+S90+V90)/1000*T90),0)))),0)</f>
        <v>0</v>
      </c>
      <c r="AC90" s="839">
        <f>ROUNDUP(IF(OR(Q90=$Z$17,Q90=$Z$19,Q90=$Z$15),SUM(Z90:AA90),0),0)</f>
        <v>0</v>
      </c>
      <c r="AD90" s="125">
        <f>ROUNDUP(IF(OR(Q90=$Z$18,Q90=$Z$20,Q90=$Z$16),SUM(Z90:AA90),0),0)</f>
        <v>0</v>
      </c>
      <c r="AE90" s="125">
        <f>ROUNDUP(IF(OR(Q90=$Z$20,Q90=$Z$16),SUM(Z90:AA90)*5*1.03,IF(Q90=$Z$18,(AA90+Z90)*5*1.03+AH90,0)),0)</f>
        <v>0</v>
      </c>
      <c r="AF90" s="223">
        <f>ROUNDUP(IF($AE$6=1,U90/1000*V90/1000*T90*1.03,0),1)</f>
        <v>0</v>
      </c>
      <c r="AG90" s="125">
        <f>IF(Q90=$Z$18,INDEX($AH$307:$AI$339,MATCH(V90,$AG$307:$AG$339,0),2),IF(Q90=$Z$17,INDEX($AK$307:$AL$341,MATCH(V90,$AJ$307:$AJ$341,0),2),0))</f>
        <v>0</v>
      </c>
      <c r="AH90" s="125">
        <f>IF($W90=$Y$39,0,IF(AG90=0,0,ROUNDUP(7*T90*U90/1000*1.03,0)))</f>
        <v>0</v>
      </c>
      <c r="AI90" s="125">
        <f>IF(Q90=$Z$18,INDEX($AH$307:$AI$339,MATCH(V90,$AG$307:$AG$339,0),1),IF(Q90=$Z$17,INDEX($AK$307:$AL$341,MATCH(V90,$AJ$307:$AJ$341,0),1),0))</f>
        <v>0</v>
      </c>
      <c r="AJ90" s="125">
        <f>AH90</f>
        <v>0</v>
      </c>
      <c r="AK90" s="125">
        <f>IF(Q90=$Z$18,INDEX($AO$306:$AP$323,MATCH(V90,$AN$306:$AN$323,0),2),IF(Q90=$Z$17,INDEX($AR$306:$AS$323,MATCH(V90,$AQ$306:$AQ$323,0),2),0))</f>
        <v>0</v>
      </c>
      <c r="AL90" s="125">
        <v>0</v>
      </c>
      <c r="AN90" s="437">
        <f>IFERROR(MATCH(Q90,$Z$15:$Z$20,0),0)</f>
        <v>0</v>
      </c>
    </row>
    <row r="91" spans="2:40" ht="15" customHeight="1">
      <c r="B91" s="1037">
        <f>SUBTOTAL(3,$I$83:I91)</f>
        <v>9</v>
      </c>
      <c r="C91" s="664" t="s">
        <v>268</v>
      </c>
      <c r="D91" s="665"/>
      <c r="E91" s="665"/>
      <c r="F91" s="666">
        <v>150</v>
      </c>
      <c r="G91" s="667" t="s">
        <v>150</v>
      </c>
      <c r="H91" s="1012"/>
      <c r="I91" s="660">
        <f t="shared" si="12"/>
        <v>0</v>
      </c>
      <c r="J91" s="1013" t="s">
        <v>151</v>
      </c>
      <c r="K91" s="661"/>
      <c r="L91" s="610">
        <f t="shared" si="13"/>
        <v>0</v>
      </c>
      <c r="N91" s="1032">
        <f t="shared" si="11"/>
        <v>0</v>
      </c>
      <c r="O91" s="1051"/>
      <c r="P91" s="225"/>
      <c r="Q91" s="123"/>
      <c r="R91" s="124"/>
      <c r="S91" s="124"/>
      <c r="T91" s="124"/>
      <c r="U91" s="124"/>
      <c r="V91" s="124"/>
      <c r="W91" s="162"/>
      <c r="X91" s="93"/>
      <c r="Y91" s="103">
        <f>T91*(430+R91+S91)/1000</f>
        <v>0</v>
      </c>
      <c r="Z91" s="103">
        <f>T91</f>
        <v>0</v>
      </c>
      <c r="AA91" s="103">
        <f>T91</f>
        <v>0</v>
      </c>
      <c r="AB91" s="103">
        <f>IF(SUM(R91:S91)&gt;U91,IF(Q91=$Z$16,((R91+S91)/1000*T91),IF(Q91=$Z$18,((R91+S91-U91)/1000*T91),IF(Q91=$Z$19,((V91+U91)/1000*T91),IF(Q91=$Z$20,((R91+S91+V91)/1000*T91),0)))),0)</f>
        <v>0</v>
      </c>
      <c r="AC91" s="840">
        <f>ROUNDUP(IF(OR(Q91=$Z$17,Q91=$Z$19,Q91=$Z$15),SUM(Z91:AA91),0),0)</f>
        <v>0</v>
      </c>
      <c r="AD91" s="103">
        <f>ROUNDUP(IF(OR(Q91=$Z$18,Q91=$Z$20,Q91=$Z$16),SUM(Z91:AA91),0),0)</f>
        <v>0</v>
      </c>
      <c r="AE91" s="121">
        <f>ROUNDUP(IF(OR(Q91=$Z$20,Q91=$Z$16),SUM(Z91:AA91)*5*1.03,IF(Q91=$Z$18,(AA91+Z91)*5*1.03+AH91,0)),0)</f>
        <v>0</v>
      </c>
      <c r="AF91" s="237">
        <f>ROUNDUP(IF($AE$6=1,U91/1000*V91/1000*T91*1.03,0),1)</f>
        <v>0</v>
      </c>
      <c r="AG91" s="121">
        <f>IF(Q91=$Z$18,INDEX($AH$307:$AI$339,MATCH(V91,$AG$307:$AG$339,0),2),IF(Q91=$Z$17,INDEX($AK$307:$AL$341,MATCH(V91,$AJ$307:$AJ$341,0),2),0))</f>
        <v>0</v>
      </c>
      <c r="AH91" s="125">
        <f>IF($W91=$Y$39,0,IF(AG91=0,0,ROUNDUP(7*T91*U91/1000*1.03,0)))</f>
        <v>0</v>
      </c>
      <c r="AI91" s="121">
        <f>IF(Q91=$Z$18,INDEX($AH$307:$AI$339,MATCH(V91,$AG$307:$AG$339,0),1),IF(Q91=$Z$17,INDEX($AK$307:$AL$341,MATCH(V91,$AJ$307:$AJ$341,0),1),0))</f>
        <v>0</v>
      </c>
      <c r="AJ91" s="121">
        <f>AH91</f>
        <v>0</v>
      </c>
      <c r="AK91" s="121">
        <f>IF(Q91=$Z$18,INDEX($AO$306:$AP$323,MATCH(V91,$AN$306:$AN$323,0),2),IF(Q91=$Z$17,INDEX($AR$306:$AS$323,MATCH(V91,$AQ$306:$AQ$323,0),2),0))</f>
        <v>0</v>
      </c>
      <c r="AL91" s="121">
        <v>0</v>
      </c>
      <c r="AN91" s="437">
        <f>IFERROR(MATCH(Q91,$Z$15:$Z$20,0),0)</f>
        <v>0</v>
      </c>
    </row>
    <row r="92" spans="2:40" ht="15" customHeight="1">
      <c r="B92" s="1037">
        <f>SUBTOTAL(3,$I$83:I92)</f>
        <v>10</v>
      </c>
      <c r="C92" s="654" t="s">
        <v>268</v>
      </c>
      <c r="D92" s="654"/>
      <c r="E92" s="654"/>
      <c r="F92" s="669">
        <v>170</v>
      </c>
      <c r="G92" s="670" t="s">
        <v>150</v>
      </c>
      <c r="H92" s="1035"/>
      <c r="I92" s="660">
        <f t="shared" si="12"/>
        <v>0</v>
      </c>
      <c r="J92" s="1013" t="s">
        <v>151</v>
      </c>
      <c r="K92" s="661"/>
      <c r="L92" s="610">
        <f t="shared" si="13"/>
        <v>0</v>
      </c>
      <c r="N92" s="1032">
        <f t="shared" si="11"/>
        <v>0</v>
      </c>
      <c r="O92" s="1051"/>
      <c r="P92" s="225"/>
      <c r="Q92" s="123"/>
      <c r="R92" s="124"/>
      <c r="S92" s="124"/>
      <c r="T92" s="124"/>
      <c r="U92" s="124"/>
      <c r="V92" s="124"/>
      <c r="W92" s="162"/>
      <c r="X92" s="93"/>
      <c r="Y92" s="125">
        <f>T92*(430+R92+S92)/1000</f>
        <v>0</v>
      </c>
      <c r="Z92" s="125">
        <f>T92</f>
        <v>0</v>
      </c>
      <c r="AA92" s="125">
        <f>T92</f>
        <v>0</v>
      </c>
      <c r="AB92" s="125">
        <f>IF(SUM(R92:S92)&gt;U92,IF(Q92=$Z$16,((R92+S92)/1000*T92),IF(Q92=$Z$18,((R92+S92-U92)/1000*T92),IF(Q92=$Z$19,((V92+U92)/1000*T92),IF(Q92=$Z$20,((R92+S92+V92)/1000*T92),0)))),0)</f>
        <v>0</v>
      </c>
      <c r="AC92" s="839">
        <f>ROUNDUP(IF(OR(Q92=$Z$17,Q92=$Z$19,Q92=$Z$15),SUM(Z92:AA92),0),0)</f>
        <v>0</v>
      </c>
      <c r="AD92" s="125">
        <f>ROUNDUP(IF(OR(Q92=$Z$18,Q92=$Z$20,Q92=$Z$16),SUM(Z92:AA92),0),0)</f>
        <v>0</v>
      </c>
      <c r="AE92" s="125">
        <f>ROUNDUP(IF(OR(Q92=$Z$20,Q92=$Z$16),SUM(Z92:AA92)*5*1.03,IF(Q92=$Z$18,(AA92+Z92)*5*1.03+AH92,0)),0)</f>
        <v>0</v>
      </c>
      <c r="AF92" s="223">
        <f>ROUNDUP(IF($AE$6=1,U92/1000*V92/1000*T92*1.03,0),1)</f>
        <v>0</v>
      </c>
      <c r="AG92" s="125">
        <f>IF(Q92=$Z$18,INDEX($AH$307:$AI$339,MATCH(V92,$AG$307:$AG$339,0),2),IF(Q92=$Z$17,INDEX($AK$307:$AL$341,MATCH(V92,$AJ$307:$AJ$341,0),2),0))</f>
        <v>0</v>
      </c>
      <c r="AH92" s="125">
        <f>IF($W92=$Y$39,0,IF(AG92=0,0,ROUNDUP(7*T92*U92/1000*1.03,0)))</f>
        <v>0</v>
      </c>
      <c r="AI92" s="125">
        <f>IF(Q92=$Z$18,INDEX($AH$307:$AI$339,MATCH(V92,$AG$307:$AG$339,0),1),IF(Q92=$Z$17,INDEX($AK$307:$AL$341,MATCH(V92,$AJ$307:$AJ$341,0),1),0))</f>
        <v>0</v>
      </c>
      <c r="AJ92" s="125">
        <f>AH92</f>
        <v>0</v>
      </c>
      <c r="AK92" s="125">
        <f>IF(Q92=$Z$18,INDEX($AO$306:$AP$323,MATCH(V92,$AN$306:$AN$323,0),2),IF(Q92=$Z$17,INDEX($AR$306:$AS$323,MATCH(V92,$AQ$306:$AQ$323,0),2),0))</f>
        <v>0</v>
      </c>
      <c r="AL92" s="125">
        <v>0</v>
      </c>
      <c r="AN92" s="437">
        <f>IFERROR(MATCH(Q92,$Z$15:$Z$20,0),0)</f>
        <v>0</v>
      </c>
    </row>
    <row r="93" spans="2:40" ht="15" customHeight="1">
      <c r="B93" s="1037">
        <f>SUBTOTAL(3,$I$83:I93)</f>
        <v>11</v>
      </c>
      <c r="C93" s="664" t="s">
        <v>268</v>
      </c>
      <c r="D93" s="665"/>
      <c r="E93" s="665"/>
      <c r="F93" s="666">
        <v>180</v>
      </c>
      <c r="G93" s="667" t="s">
        <v>150</v>
      </c>
      <c r="H93" s="1012"/>
      <c r="I93" s="660">
        <f t="shared" si="12"/>
        <v>0</v>
      </c>
      <c r="J93" s="1013" t="s">
        <v>151</v>
      </c>
      <c r="K93" s="661"/>
      <c r="L93" s="610">
        <f t="shared" si="13"/>
        <v>0</v>
      </c>
      <c r="N93" s="1032">
        <f t="shared" si="11"/>
        <v>0</v>
      </c>
      <c r="O93" s="1051"/>
      <c r="P93" s="1051"/>
      <c r="Q93" s="1369" t="str">
        <f>IF(V3=Y4,"Примыкания к вертикальным стенам"," ")</f>
        <v xml:space="preserve"> </v>
      </c>
      <c r="R93" s="1369"/>
      <c r="S93" s="1369"/>
      <c r="T93" s="1369"/>
      <c r="U93" s="228"/>
      <c r="V93" s="228"/>
      <c r="W93" s="228"/>
      <c r="X93" s="93"/>
      <c r="Y93" s="1312" t="s">
        <v>160</v>
      </c>
      <c r="Z93" s="1313"/>
      <c r="AA93" s="1313"/>
      <c r="AB93" s="1313"/>
      <c r="AC93" s="1313"/>
      <c r="AD93" s="1313"/>
      <c r="AE93" s="1314"/>
      <c r="AF93" s="1357" t="s">
        <v>309</v>
      </c>
      <c r="AG93" s="1359" t="s">
        <v>310</v>
      </c>
      <c r="AH93" s="1360"/>
      <c r="AI93" s="1359" t="s">
        <v>311</v>
      </c>
      <c r="AJ93" s="1360"/>
      <c r="AK93" s="1359" t="s">
        <v>312</v>
      </c>
      <c r="AL93" s="1360"/>
      <c r="AN93" s="436"/>
    </row>
    <row r="94" spans="2:40" ht="15" customHeight="1">
      <c r="B94" s="1037">
        <f>SUBTOTAL(3,$I$83:I94)</f>
        <v>12</v>
      </c>
      <c r="C94" s="654" t="s">
        <v>268</v>
      </c>
      <c r="D94" s="654"/>
      <c r="E94" s="654"/>
      <c r="F94" s="669">
        <v>200</v>
      </c>
      <c r="G94" s="670" t="s">
        <v>150</v>
      </c>
      <c r="H94" s="1035"/>
      <c r="I94" s="660">
        <f t="shared" si="12"/>
        <v>0</v>
      </c>
      <c r="J94" s="1013" t="s">
        <v>151</v>
      </c>
      <c r="K94" s="661"/>
      <c r="L94" s="610">
        <f t="shared" si="13"/>
        <v>0</v>
      </c>
      <c r="N94" s="1032">
        <f t="shared" si="11"/>
        <v>0</v>
      </c>
      <c r="O94" s="1051"/>
      <c r="P94" s="1051"/>
      <c r="Q94" s="1026" t="s">
        <v>302</v>
      </c>
      <c r="R94" s="1026" t="str">
        <f>IF(V3=Y4,"ТИПЫ"," ")</f>
        <v xml:space="preserve"> </v>
      </c>
      <c r="S94" s="1025" t="str">
        <f>IF(V3=Y4,"ВЫСОТА, мм"," ")</f>
        <v xml:space="preserve"> </v>
      </c>
      <c r="T94" s="1025" t="str">
        <f>IF(V3=Y4,"ДЛИНА, м"," ")</f>
        <v xml:space="preserve"> </v>
      </c>
      <c r="U94" s="1025" t="s">
        <v>331</v>
      </c>
      <c r="V94" s="1025" t="s">
        <v>332</v>
      </c>
      <c r="W94" s="1025" t="s">
        <v>333</v>
      </c>
      <c r="X94" s="93"/>
      <c r="Y94" s="122" t="s">
        <v>153</v>
      </c>
      <c r="Z94" s="122" t="s">
        <v>154</v>
      </c>
      <c r="AA94" s="122" t="s">
        <v>162</v>
      </c>
      <c r="AB94" s="122" t="s">
        <v>156</v>
      </c>
      <c r="AC94" s="122" t="s">
        <v>254</v>
      </c>
      <c r="AD94" s="122" t="s">
        <v>253</v>
      </c>
      <c r="AE94" s="122" t="s">
        <v>600</v>
      </c>
      <c r="AF94" s="1358"/>
      <c r="AG94" s="222" t="s">
        <v>314</v>
      </c>
      <c r="AH94" s="222" t="s">
        <v>313</v>
      </c>
      <c r="AI94" s="222" t="s">
        <v>314</v>
      </c>
      <c r="AJ94" s="222" t="s">
        <v>313</v>
      </c>
      <c r="AK94" s="222" t="s">
        <v>314</v>
      </c>
      <c r="AL94" s="222" t="s">
        <v>313</v>
      </c>
      <c r="AN94" s="436"/>
    </row>
    <row r="95" spans="2:40" ht="15" customHeight="1">
      <c r="B95" s="1037">
        <f>SUBTOTAL(3,$I$83:I95)</f>
        <v>13</v>
      </c>
      <c r="C95" s="664" t="s">
        <v>268</v>
      </c>
      <c r="D95" s="665"/>
      <c r="E95" s="665"/>
      <c r="F95" s="666">
        <v>220</v>
      </c>
      <c r="G95" s="667" t="s">
        <v>150</v>
      </c>
      <c r="H95" s="1012"/>
      <c r="I95" s="660">
        <f t="shared" si="12"/>
        <v>0</v>
      </c>
      <c r="J95" s="1013" t="s">
        <v>151</v>
      </c>
      <c r="K95" s="661"/>
      <c r="L95" s="610">
        <f t="shared" si="13"/>
        <v>0</v>
      </c>
      <c r="N95" s="1032">
        <f t="shared" si="11"/>
        <v>0</v>
      </c>
      <c r="O95" s="1051"/>
      <c r="P95" s="1051"/>
      <c r="Q95" s="225"/>
      <c r="R95" s="123"/>
      <c r="S95" s="124"/>
      <c r="T95" s="191"/>
      <c r="U95" s="124"/>
      <c r="V95" s="124"/>
      <c r="W95" s="162"/>
      <c r="X95" s="93"/>
      <c r="Y95" s="125">
        <f>(380+S95)/1000*T95</f>
        <v>0</v>
      </c>
      <c r="Z95" s="125">
        <f>T95</f>
        <v>0</v>
      </c>
      <c r="AA95" s="125">
        <f>T95</f>
        <v>0</v>
      </c>
      <c r="AB95" s="125">
        <f>IF(S95&gt;=U95,IF(R95=$Z$16,S95/1000*T95,IF(R95=$Z$18,(S95-U95)/1000*T95,IF(R95=$Z$19,(U95+V95)/1000*T95,IF(R95=$Z$20,(S95+V95)/1000*T95,0)))),0)</f>
        <v>0</v>
      </c>
      <c r="AC95" s="839">
        <f>ROUNDUP(IF(OR(R95=$Z$15,R95=$Z$17,R95=$Z$19),SUM(Z95:AA95),0),0)</f>
        <v>0</v>
      </c>
      <c r="AD95" s="125">
        <f>ROUNDUP(IF(OR(R95=$Z$16,R95=$Z$18,R95=$Z$20),SUM(Z95:AA95),0),0)</f>
        <v>0</v>
      </c>
      <c r="AE95" s="125">
        <f>ROUNDUP(IF(OR(R95=$Z$20,R95=$Z$16),SUM(Z95:AA95)*5*1.03,IF(R95=$Z$18,((AA95+Z95)*5*1.03+AH95),0)),0)</f>
        <v>0</v>
      </c>
      <c r="AF95" s="223">
        <f>ROUNDUP(IF($AE$7=1,U95/1000*V95/1000*T95*1.03,0),1)</f>
        <v>0</v>
      </c>
      <c r="AG95" s="125">
        <f>IF(R95=$Z$18,INDEX($AH$307:$AI$339,MATCH(V95,$AG$307:$AG$339,0),2),IF(R95=$Z$17,INDEX($AK$307:$AL$341,MATCH(V95,$AJ$307:$AJ$341,0),2),0))</f>
        <v>0</v>
      </c>
      <c r="AH95" s="125">
        <f>IF($W95=$Y$39,0,IF(AG95=0,0,ROUNDUP(7*T95*U95/1000*1.03,0)))</f>
        <v>0</v>
      </c>
      <c r="AI95" s="125">
        <f>IF(R95=$Z$18,INDEX($AH$307:$AI$339,MATCH(V95,$AG$307:$AG$339,0),1),IF(R95=$Z$17,INDEX($AK$307:$AL$341,MATCH(V95,$AJ$307:$AJ$341,0),1),0))</f>
        <v>0</v>
      </c>
      <c r="AJ95" s="125">
        <f>AH95</f>
        <v>0</v>
      </c>
      <c r="AK95" s="125">
        <f>IF(R95=$Z$18,INDEX($AO$306:$AP$323,MATCH(V95,$AN$306:$AN$323,0),2),IF(R95=$Z$17,INDEX($AR$306:$AS$323,MATCH(V95,$AQ$306:$AQ$323,0),2),0))</f>
        <v>0</v>
      </c>
      <c r="AL95" s="125">
        <v>0</v>
      </c>
      <c r="AN95" s="437">
        <f>IFERROR(MATCH(R95,$Z$15:$Z$20,0),0)</f>
        <v>0</v>
      </c>
    </row>
    <row r="96" spans="2:40" ht="15" customHeight="1">
      <c r="B96" s="1037">
        <f>SUBTOTAL(3,$I$83:I96)</f>
        <v>14</v>
      </c>
      <c r="C96" s="654" t="s">
        <v>268</v>
      </c>
      <c r="D96" s="654"/>
      <c r="E96" s="654"/>
      <c r="F96" s="669">
        <v>240</v>
      </c>
      <c r="G96" s="670" t="s">
        <v>150</v>
      </c>
      <c r="H96" s="1035"/>
      <c r="I96" s="660">
        <f t="shared" si="12"/>
        <v>0</v>
      </c>
      <c r="J96" s="1013" t="s">
        <v>151</v>
      </c>
      <c r="K96" s="661"/>
      <c r="L96" s="610">
        <f t="shared" si="13"/>
        <v>0</v>
      </c>
      <c r="N96" s="1032">
        <f t="shared" si="11"/>
        <v>0</v>
      </c>
      <c r="O96" s="1051"/>
      <c r="P96" s="1051"/>
      <c r="Q96" s="225"/>
      <c r="R96" s="123"/>
      <c r="S96" s="124"/>
      <c r="T96" s="124"/>
      <c r="U96" s="124"/>
      <c r="V96" s="124"/>
      <c r="W96" s="127"/>
      <c r="X96" s="93"/>
      <c r="Y96" s="103">
        <f>(380+S96)/1000*T96</f>
        <v>0</v>
      </c>
      <c r="Z96" s="103">
        <f>T96</f>
        <v>0</v>
      </c>
      <c r="AA96" s="103">
        <f>T96</f>
        <v>0</v>
      </c>
      <c r="AB96" s="103">
        <f>IF(S96&gt;=U96,IF(R96=$Z$16,S96/1000*T96,IF(R96=$Z$18,(S96-U96)/1000*T96,IF(R96=$Z$19,(U96+V96)/1000*T96,IF(R96=$Z$20,(S96+V96)/1000*T96,0)))),0)</f>
        <v>0</v>
      </c>
      <c r="AC96" s="840">
        <f>ROUNDUP(IF(OR(R96=$Z$15,R96=$Z$17,R96=$Z$19),SUM(Z96:AA96),0),0)</f>
        <v>0</v>
      </c>
      <c r="AD96" s="103">
        <f>ROUNDUP(IF(OR(R96=$Z$16,R96=$Z$18,R96=$Z$20),SUM(Z96:AA96),0),0)</f>
        <v>0</v>
      </c>
      <c r="AE96" s="103">
        <f>ROUNDUP(IF(OR(R96=$Z$20,R96=$Z$16),SUM(Z96:AA96)*5*1.03,IF(R96=$Z$18,((AA96+Z96)*5*1.03+AH96),0)),0)</f>
        <v>0</v>
      </c>
      <c r="AF96" s="237">
        <f>ROUNDUP(IF($AE$7=1,U96/1000*V96/1000*T96*1.03,0),1)</f>
        <v>0</v>
      </c>
      <c r="AG96" s="121">
        <f>IF(R96=$Z$18,INDEX($AH$307:$AI$339,MATCH(V96,$AG$307:$AG$339,0),2),IF(R96=$Z$17,INDEX($AK$307:$AL$341,MATCH(V96,$AJ$307:$AJ$341,0),2),0))</f>
        <v>0</v>
      </c>
      <c r="AH96" s="121">
        <f>IF($W96=$Y$39,0,IF(AG96=0,0,ROUNDUP(7*T96*U96/1000*1.03,0)))</f>
        <v>0</v>
      </c>
      <c r="AI96" s="121">
        <f>IF(R96=$Z$18,INDEX($AH$307:$AI$339,MATCH(V96,$AG$307:$AG$339,0),1),IF(R96=$Z$17,INDEX($AK$307:$AL$341,MATCH(V96,$AJ$307:$AJ$341,0),1),0))</f>
        <v>0</v>
      </c>
      <c r="AJ96" s="121">
        <f>AH96</f>
        <v>0</v>
      </c>
      <c r="AK96" s="121">
        <f>IF(R96=$Z$18,INDEX($AO$306:$AP$323,MATCH(V96,$AN$306:$AN$323,0),2),IF(R96=$Z$17,INDEX($AR$306:$AS$323,MATCH(V96,$AQ$306:$AQ$323,0),2),0))</f>
        <v>0</v>
      </c>
      <c r="AL96" s="121">
        <v>0</v>
      </c>
      <c r="AN96" s="437">
        <f>IFERROR(MATCH(R96,$Z$15:$Z$20,0),0)</f>
        <v>0</v>
      </c>
    </row>
    <row r="97" spans="2:40" ht="15" customHeight="1">
      <c r="B97" s="1037">
        <f>SUBTOTAL(3,$I$83:I97)</f>
        <v>15</v>
      </c>
      <c r="C97" s="664" t="s">
        <v>268</v>
      </c>
      <c r="D97" s="665"/>
      <c r="E97" s="665"/>
      <c r="F97" s="666">
        <v>260</v>
      </c>
      <c r="G97" s="667" t="s">
        <v>150</v>
      </c>
      <c r="H97" s="1012"/>
      <c r="I97" s="660">
        <f t="shared" si="12"/>
        <v>0</v>
      </c>
      <c r="J97" s="1013" t="s">
        <v>151</v>
      </c>
      <c r="K97" s="661"/>
      <c r="L97" s="610">
        <f t="shared" si="13"/>
        <v>0</v>
      </c>
      <c r="N97" s="1032">
        <f t="shared" si="11"/>
        <v>0</v>
      </c>
      <c r="O97" s="1051"/>
      <c r="P97" s="1051"/>
      <c r="Q97" s="225"/>
      <c r="R97" s="123"/>
      <c r="S97" s="124"/>
      <c r="T97" s="124"/>
      <c r="U97" s="124"/>
      <c r="V97" s="124"/>
      <c r="W97" s="127"/>
      <c r="X97" s="93"/>
      <c r="Y97" s="125">
        <f>(380+S97)/1000*T97</f>
        <v>0</v>
      </c>
      <c r="Z97" s="125">
        <f>T97</f>
        <v>0</v>
      </c>
      <c r="AA97" s="125">
        <f>T97</f>
        <v>0</v>
      </c>
      <c r="AB97" s="125">
        <f>IF(S97&gt;=U97,IF(R97=$Z$16,S97/1000*T97,IF(R97=$Z$18,(S97-U97)/1000*T97,IF(R97=$Z$19,(U97+V97)/1000*T97,IF(R97=$Z$20,(S97+V97)/1000*T97,0)))),0)</f>
        <v>0</v>
      </c>
      <c r="AC97" s="839">
        <f>ROUNDUP(IF(OR(R97=$Z$15,R97=$Z$17,R97=$Z$19),SUM(Z97:AA97),0),0)</f>
        <v>0</v>
      </c>
      <c r="AD97" s="125">
        <f>ROUNDUP(IF(OR(R97=$Z$16,R97=$Z$18,R97=$Z$20),SUM(Z97:AA97),0),0)</f>
        <v>0</v>
      </c>
      <c r="AE97" s="125">
        <f>ROUNDUP(IF(OR(R97=$Z$20,R97=$Z$16),SUM(Z97:AA97)*5*1.03,IF(R97=$Z$18,((AA97+Z97)*5*1.03+AH97),0)),0)</f>
        <v>0</v>
      </c>
      <c r="AF97" s="223">
        <f>ROUNDUP(IF($AE$7=1,U97/1000*V97/1000*T97*1.03,0),1)</f>
        <v>0</v>
      </c>
      <c r="AG97" s="125">
        <f>IF(R97=$Z$18,INDEX($AH$307:$AI$339,MATCH(V97,$AG$307:$AG$339,0),2),IF(R97=$Z$17,INDEX($AK$307:$AL$341,MATCH(V97,$AJ$307:$AJ$341,0),2),0))</f>
        <v>0</v>
      </c>
      <c r="AH97" s="125">
        <f>IF($W97=$Y$39,0,IF(AG97=0,0,ROUNDUP(7*T97*U97/1000*1.03,0)))</f>
        <v>0</v>
      </c>
      <c r="AI97" s="125">
        <f>IF(R97=$Z$18,INDEX($AH$307:$AI$339,MATCH(V97,$AG$307:$AG$339,0),1),IF(R97=$Z$17,INDEX($AK$307:$AL$341,MATCH(V97,$AJ$307:$AJ$341,0),1),0))</f>
        <v>0</v>
      </c>
      <c r="AJ97" s="125">
        <f>AH97</f>
        <v>0</v>
      </c>
      <c r="AK97" s="125">
        <f>IF(R97=$Z$18,INDEX($AO$306:$AP$323,MATCH(V97,$AN$306:$AN$323,0),2),IF(R97=$Z$17,INDEX($AR$306:$AS$323,MATCH(V97,$AQ$306:$AQ$323,0),2),0))</f>
        <v>0</v>
      </c>
      <c r="AL97" s="125">
        <v>0</v>
      </c>
      <c r="AN97" s="437">
        <f>IFERROR(MATCH(R97,$Z$15:$Z$20,0),0)</f>
        <v>0</v>
      </c>
    </row>
    <row r="98" spans="2:40" ht="15" customHeight="1">
      <c r="B98" s="1037">
        <f>SUBTOTAL(3,$I$83:I98)</f>
        <v>16</v>
      </c>
      <c r="C98" s="654" t="s">
        <v>268</v>
      </c>
      <c r="D98" s="654"/>
      <c r="E98" s="654"/>
      <c r="F98" s="669">
        <v>300</v>
      </c>
      <c r="G98" s="670" t="s">
        <v>150</v>
      </c>
      <c r="H98" s="1035"/>
      <c r="I98" s="660">
        <f t="shared" si="12"/>
        <v>0</v>
      </c>
      <c r="J98" s="1013" t="s">
        <v>151</v>
      </c>
      <c r="K98" s="661"/>
      <c r="L98" s="610">
        <f t="shared" si="13"/>
        <v>0</v>
      </c>
      <c r="N98" s="1032">
        <f t="shared" si="11"/>
        <v>0</v>
      </c>
      <c r="O98" s="1051"/>
      <c r="P98" s="1051"/>
      <c r="Q98" s="225"/>
      <c r="R98" s="123"/>
      <c r="S98" s="124"/>
      <c r="T98" s="124"/>
      <c r="U98" s="124"/>
      <c r="V98" s="124"/>
      <c r="W98" s="127"/>
      <c r="X98" s="93"/>
      <c r="Y98" s="103">
        <f>(380+S98)/1000*T98</f>
        <v>0</v>
      </c>
      <c r="Z98" s="103">
        <f>T98</f>
        <v>0</v>
      </c>
      <c r="AA98" s="103">
        <f>T98</f>
        <v>0</v>
      </c>
      <c r="AB98" s="103">
        <f>IF(S98&gt;=U98,IF(R98=$Z$16,S98/1000*T98,IF(R98=$Z$18,(S98-U98)/1000*T98,IF(R98=$Z$19,(U98+V98)/1000*T98,IF(R98=$Z$20,(S98+V98)/1000*T98,0)))),0)</f>
        <v>0</v>
      </c>
      <c r="AC98" s="840">
        <f>ROUNDUP(IF(OR(R98=$Z$15,R98=$Z$17,R98=$Z$19),SUM(Z98:AA98),0),0)</f>
        <v>0</v>
      </c>
      <c r="AD98" s="103">
        <f>ROUNDUP(IF(OR(R98=$Z$16,R98=$Z$18,R98=$Z$20),SUM(Z98:AA98),0),0)</f>
        <v>0</v>
      </c>
      <c r="AE98" s="103">
        <f>ROUNDUP(IF(OR(R98=$Z$20,R98=$Z$16),SUM(Z98:AA98)*5*1.03,IF(R98=$Z$18,((AA98+Z98)*5*1.03+AH98),0)),0)</f>
        <v>0</v>
      </c>
      <c r="AF98" s="237">
        <f>ROUNDUP(IF($AE$7=1,U98/1000*V98/1000*T98*1.03,0),1)</f>
        <v>0</v>
      </c>
      <c r="AG98" s="121">
        <f>IF(R98=$Z$18,INDEX($AH$307:$AI$339,MATCH(V98,$AG$307:$AG$339,0),2),IF(R98=$Z$17,INDEX($AK$307:$AL$341,MATCH(V98,$AJ$307:$AJ$341,0),2),0))</f>
        <v>0</v>
      </c>
      <c r="AH98" s="121">
        <f>IF($W98=$Y$39,0,IF(AG98=0,0,ROUNDUP(7*T98*U98/1000*1.03,0)))</f>
        <v>0</v>
      </c>
      <c r="AI98" s="121">
        <f>IF(R98=$Z$18,INDEX($AH$307:$AI$339,MATCH(V98,$AG$307:$AG$339,0),1),IF(R98=$Z$17,INDEX($AK$307:$AL$341,MATCH(V98,$AJ$307:$AJ$341,0),1),0))</f>
        <v>0</v>
      </c>
      <c r="AJ98" s="121">
        <f>AH98</f>
        <v>0</v>
      </c>
      <c r="AK98" s="121">
        <f>IF(R98=$Z$18,INDEX($AO$306:$AP$323,MATCH(V98,$AN$306:$AN$323,0),2),IF(R98=$Z$17,INDEX($AR$306:$AS$323,MATCH(V98,$AQ$306:$AQ$323,0),2),0))</f>
        <v>0</v>
      </c>
      <c r="AL98" s="121">
        <v>0</v>
      </c>
      <c r="AN98" s="437">
        <f>IFERROR(MATCH(R98,$Z$15:$Z$20,0),0)</f>
        <v>0</v>
      </c>
    </row>
    <row r="99" spans="2:40" ht="15" customHeight="1">
      <c r="B99" s="1037">
        <f>SUBTOTAL(3,$I$83:I99)</f>
        <v>17</v>
      </c>
      <c r="C99" s="654" t="s">
        <v>268</v>
      </c>
      <c r="D99" s="654"/>
      <c r="E99" s="654"/>
      <c r="F99" s="669">
        <v>350</v>
      </c>
      <c r="G99" s="670" t="s">
        <v>150</v>
      </c>
      <c r="H99" s="1035"/>
      <c r="I99" s="660">
        <f t="shared" si="12"/>
        <v>0</v>
      </c>
      <c r="J99" s="1013" t="s">
        <v>151</v>
      </c>
      <c r="K99" s="661"/>
      <c r="L99" s="610">
        <f t="shared" si="13"/>
        <v>0</v>
      </c>
      <c r="N99" s="1032">
        <f t="shared" si="11"/>
        <v>0</v>
      </c>
      <c r="O99" s="1051"/>
      <c r="P99" s="1051"/>
      <c r="Q99" s="1292" t="str">
        <f>IF(V3=Y4,"Открытый водосток"," ")</f>
        <v xml:space="preserve"> </v>
      </c>
      <c r="R99" s="1292"/>
      <c r="S99" s="1292"/>
      <c r="X99" s="93"/>
      <c r="Y99" s="1312" t="s">
        <v>166</v>
      </c>
      <c r="Z99" s="1313"/>
      <c r="AA99" s="1313"/>
      <c r="AB99" s="1313"/>
      <c r="AC99" s="1314"/>
      <c r="AN99" s="438"/>
    </row>
    <row r="100" spans="2:40" ht="15" customHeight="1">
      <c r="B100" s="1037">
        <f>SUBTOTAL(3,$I$83:I100)</f>
        <v>18</v>
      </c>
      <c r="C100" s="664" t="s">
        <v>413</v>
      </c>
      <c r="D100" s="665"/>
      <c r="E100" s="665"/>
      <c r="F100" s="666">
        <v>425</v>
      </c>
      <c r="G100" s="667" t="s">
        <v>150</v>
      </c>
      <c r="H100" s="1012"/>
      <c r="I100" s="660">
        <f>IF(OR($V$4=$AA$10,$V$4=$AA$11),SUMIF($D$225:$D$295,F100,$I$225:$I$295),SUMIF($D$137:$D$216,F100,$L$137:$L$216))</f>
        <v>0</v>
      </c>
      <c r="J100" s="1013" t="s">
        <v>151</v>
      </c>
      <c r="K100" s="661"/>
      <c r="L100" s="610">
        <f>I100*K100</f>
        <v>0</v>
      </c>
      <c r="N100" s="1032">
        <f t="shared" si="11"/>
        <v>0</v>
      </c>
      <c r="O100" s="1051"/>
      <c r="P100" s="1051"/>
      <c r="Q100" s="1026" t="s">
        <v>302</v>
      </c>
      <c r="R100" s="1026" t="str">
        <f>IF(V3=Y4,"ТИПЫ"," ")</f>
        <v xml:space="preserve"> </v>
      </c>
      <c r="S100" s="1025" t="str">
        <f>IF(V3=Y4,"ДЛИНА, м"," ")</f>
        <v xml:space="preserve"> </v>
      </c>
      <c r="X100" s="93"/>
      <c r="Y100" s="122" t="s">
        <v>153</v>
      </c>
      <c r="Z100" s="122" t="s">
        <v>155</v>
      </c>
      <c r="AA100" s="122" t="s">
        <v>254</v>
      </c>
      <c r="AB100" s="122" t="s">
        <v>253</v>
      </c>
      <c r="AC100" s="122" t="s">
        <v>600</v>
      </c>
      <c r="AN100" s="436"/>
    </row>
    <row r="101" spans="2:40" ht="15" customHeight="1" thickBot="1">
      <c r="B101" s="673"/>
      <c r="C101" s="659" t="s">
        <v>213</v>
      </c>
      <c r="D101" s="105"/>
      <c r="E101" s="105"/>
      <c r="F101" s="105"/>
      <c r="G101" s="1024"/>
      <c r="H101" s="1024"/>
      <c r="I101" s="663"/>
      <c r="J101" s="621"/>
      <c r="K101" s="621"/>
      <c r="L101" s="623">
        <f>SUM(L102:L113)</f>
        <v>0</v>
      </c>
      <c r="N101" s="1032">
        <f>IF(SUM(I102:I113)&gt;0,1,0)</f>
        <v>0</v>
      </c>
      <c r="O101" s="1051"/>
      <c r="P101" s="1051"/>
      <c r="Q101" s="225"/>
      <c r="R101" s="123"/>
      <c r="S101" s="124"/>
      <c r="X101" s="93"/>
      <c r="Y101" s="125">
        <f>S101*300/1000</f>
        <v>0</v>
      </c>
      <c r="Z101" s="125">
        <f>S101</f>
        <v>0</v>
      </c>
      <c r="AA101" s="125">
        <f>ROUNDUP(IF(R101=$Z$15,SUM(Z101),0),0)</f>
        <v>0</v>
      </c>
      <c r="AB101" s="125">
        <f>ROUNDUP(IF(R101=$Z$16,SUM(Z101),0),0)</f>
        <v>0</v>
      </c>
      <c r="AC101" s="125">
        <f>ROUNDUP(IF(OR(R101=$Z$16,R101=$Z$18),SUM(Z101)*5*1.03,0),0)</f>
        <v>0</v>
      </c>
      <c r="AN101" s="439">
        <f>IFERROR(MATCH(R101,$Z$15:$Z$20,0),0)</f>
        <v>0</v>
      </c>
    </row>
    <row r="102" spans="2:40" ht="15" customHeight="1">
      <c r="B102" s="1037">
        <f>SUBTOTAL(3,$I$83:I102)</f>
        <v>19</v>
      </c>
      <c r="C102" s="654" t="str">
        <f>IF(AND(R4=Y7,V4=AA7),"Саморез остроконечный ТехноНИКОЛЬ          6,3х","Саморез остроконечный ТехноНИКОЛЬ          4,8х")</f>
        <v>Саморез остроконечный ТехноНИКОЛЬ          4,8х</v>
      </c>
      <c r="D102" s="654"/>
      <c r="E102" s="655"/>
      <c r="F102" s="669">
        <f>IF(C102="Саморез остроконечный ТехноНИКОЛЬ          6,3х",110,50)</f>
        <v>50</v>
      </c>
      <c r="G102" s="670" t="s">
        <v>150</v>
      </c>
      <c r="H102" s="1024"/>
      <c r="I102" s="662">
        <f>IF(AND($V$4=$AA$10,$V$3=$Y$4),(SUMIF($E$225:$E$295,F102,$I$225:$I$295)+ROUNDUP(ПЛ*U12,0)),IF($V$4=$AA$11,SUMIF($E$225:$E$295,F102,$I$225:$I$295),IF(AND($R$4=$Y$9,$V$4=$AA$6),ПЛ*$U$12,IF(AND($R$4=$Y$10,$V$4=$AA$6),ПЛ*$U$12,SUMIF($E$137:$E$216,F102,$L$137:$L$216)))))</f>
        <v>0</v>
      </c>
      <c r="J102" s="1037" t="s">
        <v>151</v>
      </c>
      <c r="K102" s="610"/>
      <c r="L102" s="610">
        <f t="shared" ref="L102:L113" si="14">I102*K102</f>
        <v>0</v>
      </c>
      <c r="N102" s="1032">
        <f t="shared" ref="N102:N113" si="15">IF(I102&gt;0,1,0)</f>
        <v>0</v>
      </c>
      <c r="X102" s="93"/>
    </row>
    <row r="103" spans="2:40" ht="15" customHeight="1">
      <c r="B103" s="1037">
        <f>SUBTOTAL(3,$I$83:I103)</f>
        <v>20</v>
      </c>
      <c r="C103" s="664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3" s="665"/>
      <c r="E103" s="656"/>
      <c r="F103" s="666">
        <f>IF(C103="Саморез остроконечный ТехноНИКОЛЬ          6,3х",90,60)</f>
        <v>60</v>
      </c>
      <c r="G103" s="667" t="s">
        <v>150</v>
      </c>
      <c r="H103" s="641"/>
      <c r="I103" s="662">
        <f>IF(OR($V$4=$AA$10,$V$4=$AA$11),SUMIF($E$225:$E$295,F103,$I$225:$I$295),SUMIF($E$137:$E$216,F103,$L$137:$L$216))+IF($AK$24&gt;0,SUMIF($AK$25,$F$103,$AK$26),0)</f>
        <v>0</v>
      </c>
      <c r="J103" s="1037" t="s">
        <v>151</v>
      </c>
      <c r="K103" s="610"/>
      <c r="L103" s="610">
        <f t="shared" si="14"/>
        <v>0</v>
      </c>
      <c r="N103" s="1032">
        <f t="shared" si="15"/>
        <v>0</v>
      </c>
      <c r="P103" s="1289" t="str">
        <f>IF(V3=Y4,"НАЗВАНИЕ ПАРАПЕТА"," ")</f>
        <v xml:space="preserve"> </v>
      </c>
      <c r="Q103" s="1289"/>
      <c r="R103" s="1289"/>
      <c r="S103" s="1289"/>
      <c r="T103" s="1289"/>
      <c r="U103" s="1289"/>
      <c r="X103" s="93"/>
    </row>
    <row r="104" spans="2:40" ht="15" customHeight="1">
      <c r="B104" s="1037">
        <f>SUBTOTAL(3,$I$83:I104)</f>
        <v>21</v>
      </c>
      <c r="C104" s="671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4" s="654"/>
      <c r="E104" s="655"/>
      <c r="F104" s="669">
        <v>70</v>
      </c>
      <c r="G104" s="670" t="s">
        <v>150</v>
      </c>
      <c r="H104" s="1024"/>
      <c r="I104" s="662">
        <f>IF(OR($V$4=$AA$10,$V$4=$AA$11),SUMIF($E$225:$E$295,F104,$I$225:$I$295),SUMIF($E$137:$E$216,F104,$L$137:$L$216))+IF($AK$24&gt;0,SUMIF($AK$25,$F$104,$AK$26),0)</f>
        <v>0</v>
      </c>
      <c r="J104" s="1037" t="s">
        <v>151</v>
      </c>
      <c r="K104" s="610"/>
      <c r="L104" s="610">
        <f t="shared" si="14"/>
        <v>0</v>
      </c>
      <c r="N104" s="1032">
        <f t="shared" si="15"/>
        <v>0</v>
      </c>
      <c r="P104" s="1024" t="str">
        <f>IF(V3=Y4,"ПГ_ВЕРХ"," ")</f>
        <v xml:space="preserve"> </v>
      </c>
      <c r="Q104" s="1024"/>
      <c r="R104" s="1024" t="str">
        <f>IF(V3=Y4,"ТЭ"," ")</f>
        <v xml:space="preserve"> </v>
      </c>
      <c r="S104" s="1024"/>
      <c r="T104" s="1024" t="str">
        <f>IF(V3=Y4,"АНКЕР"," ")</f>
        <v xml:space="preserve"> </v>
      </c>
      <c r="U104" s="1024"/>
      <c r="X104" s="93"/>
    </row>
    <row r="105" spans="2:40" ht="15" customHeight="1">
      <c r="B105" s="1037">
        <f>SUBTOTAL(3,$I$83:I105)</f>
        <v>22</v>
      </c>
      <c r="C105" s="672" t="str">
        <f>IF(AND(R4=Y7,V4=AA7),"Саморез остроконечный ТехноНИКОЛЬ          6,3х",IF(R4=Y7,"Саморез остроконечный ТехноНИКОЛЬ          4,8х","Саморез сверлоконечный ТехноНИКОЛЬ       4,8х"))</f>
        <v>Саморез сверлоконечный ТехноНИКОЛЬ       4,8х</v>
      </c>
      <c r="D105" s="665"/>
      <c r="E105" s="656"/>
      <c r="F105" s="666">
        <v>80</v>
      </c>
      <c r="G105" s="667" t="s">
        <v>150</v>
      </c>
      <c r="H105" s="641"/>
      <c r="I105" s="662">
        <f>IF(OR($V$4=$AA$10,$V$4=$AA$11),SUMIF($E$225:$E$295,F105,$I$225:$I$295),SUMIF($E$137:$E$216,F105,$L$137:$L$216))+IF($AK$24&gt;0,SUMIF($AK$25,$F$105,$AK$26),0)</f>
        <v>0</v>
      </c>
      <c r="J105" s="1037" t="s">
        <v>151</v>
      </c>
      <c r="K105" s="610"/>
      <c r="L105" s="610">
        <f t="shared" si="14"/>
        <v>0</v>
      </c>
      <c r="N105" s="1032">
        <f t="shared" si="15"/>
        <v>0</v>
      </c>
      <c r="P105" s="1024" t="str">
        <f>IF(V3=Y4,"ДКР"," ")</f>
        <v xml:space="preserve"> </v>
      </c>
      <c r="Q105" s="1024"/>
      <c r="R105" s="1024" t="str">
        <f>IF(V3=Y4,"ГнП"," ")</f>
        <v xml:space="preserve"> </v>
      </c>
      <c r="S105" s="1024"/>
      <c r="T105" s="1024" t="str">
        <f>IF(V3=Y4,"СМРЗ. БЕТ"," ")</f>
        <v xml:space="preserve"> </v>
      </c>
      <c r="U105" s="1024"/>
      <c r="X105" s="93"/>
    </row>
    <row r="106" spans="2:40" ht="15" customHeight="1">
      <c r="B106" s="1037">
        <f>SUBTOTAL(3,$I$83:I106)</f>
        <v>23</v>
      </c>
      <c r="C106" s="654" t="str">
        <f>IF(R4=Y7,"Саморез остроконечный ТехноНИКОЛЬ          4,8х","Саморез сверлоконечный ТехноНИКОЛЬ       4,8х")</f>
        <v>Саморез сверлоконечный ТехноНИКОЛЬ       4,8х</v>
      </c>
      <c r="D106" s="654"/>
      <c r="E106" s="655"/>
      <c r="F106" s="669">
        <v>100</v>
      </c>
      <c r="G106" s="670" t="s">
        <v>150</v>
      </c>
      <c r="H106" s="1024"/>
      <c r="I106" s="662">
        <f>IF(OR($V$4=$AA$10,$V$4=$AA$11),SUMIF($E$225:$E$295,F106,$I$225:$I$295),SUMIF($E$137:$E$216,F106,$L$137:$L$216))+IF($AK$24&gt;0,SUMIF($AK$25,$F$106,$AK$26),0)</f>
        <v>0</v>
      </c>
      <c r="J106" s="1037" t="s">
        <v>151</v>
      </c>
      <c r="K106" s="610"/>
      <c r="L106" s="610">
        <f t="shared" si="14"/>
        <v>0</v>
      </c>
      <c r="N106" s="1032">
        <f t="shared" si="15"/>
        <v>0</v>
      </c>
      <c r="P106" s="1024" t="str">
        <f>IF(V3=Y4,"ДПР"," ")</f>
        <v xml:space="preserve"> </v>
      </c>
      <c r="Q106" s="1024"/>
      <c r="R106" s="1024" t="str">
        <f>IF(V3=Y4,"СМРЗ. МЕТ"," ")</f>
        <v xml:space="preserve"> </v>
      </c>
      <c r="S106" s="1024"/>
      <c r="T106" s="1024" t="str">
        <f>IF(V3=Y4,"ПВХ МЕТ."," ")</f>
        <v xml:space="preserve"> </v>
      </c>
      <c r="U106" s="1024"/>
      <c r="X106" s="93"/>
    </row>
    <row r="107" spans="2:40" ht="15" customHeight="1">
      <c r="B107" s="1037">
        <f>SUBTOTAL(3,$I$83:I107)</f>
        <v>24</v>
      </c>
      <c r="C107" s="664" t="s">
        <v>531</v>
      </c>
      <c r="D107" s="665"/>
      <c r="E107" s="656"/>
      <c r="F107" s="666">
        <v>120</v>
      </c>
      <c r="G107" s="667" t="s">
        <v>150</v>
      </c>
      <c r="H107" s="641"/>
      <c r="I107" s="662">
        <f>IF(OR($V$4=$AA$10,$V$4=$AA$11),SUMIF($E$225:$E$295,F107,$I$225:$I$295),SUMIF($E$137:$E$216,F107,$L$137:$L$216))+IF($AK$24&gt;0,SUMIF($AK$25,$F$107,$AK$26),0)</f>
        <v>0</v>
      </c>
      <c r="J107" s="1037" t="s">
        <v>151</v>
      </c>
      <c r="K107" s="610"/>
      <c r="L107" s="610">
        <f t="shared" si="14"/>
        <v>0</v>
      </c>
      <c r="N107" s="1032">
        <f t="shared" si="15"/>
        <v>0</v>
      </c>
      <c r="X107" s="93"/>
    </row>
    <row r="108" spans="2:40" ht="15" customHeight="1">
      <c r="B108" s="1037">
        <f>SUBTOTAL(3,$I$83:I108)</f>
        <v>25</v>
      </c>
      <c r="C108" s="654" t="s">
        <v>531</v>
      </c>
      <c r="D108" s="654"/>
      <c r="E108" s="655"/>
      <c r="F108" s="669">
        <v>160</v>
      </c>
      <c r="G108" s="670" t="s">
        <v>150</v>
      </c>
      <c r="H108" s="1024"/>
      <c r="I108" s="662">
        <f>IF(OR($V$4=$AA$10,$V$4=$AA$11),SUMIF($E$225:$E$295,F108,$I$225:$I$295),SUMIF($E$137:$E$216,F108,$L$137:$L$216))+IF($AK$24&gt;0,SUMIF($AK$25,$F$108,$AK$26),0)</f>
        <v>0</v>
      </c>
      <c r="J108" s="1037" t="s">
        <v>151</v>
      </c>
      <c r="K108" s="610"/>
      <c r="L108" s="610">
        <f t="shared" si="14"/>
        <v>0</v>
      </c>
      <c r="N108" s="1032">
        <f t="shared" si="15"/>
        <v>0</v>
      </c>
      <c r="P108" s="1350" t="s">
        <v>199</v>
      </c>
      <c r="Q108" s="1351"/>
      <c r="R108" s="1350" t="s">
        <v>1153</v>
      </c>
      <c r="S108" s="1351"/>
      <c r="T108" s="382"/>
      <c r="U108" s="382" t="s">
        <v>468</v>
      </c>
      <c r="V108" s="1356" t="str">
        <f ca="1">HYPERLINK("#"&amp;$AB$5&amp;"!B22","⇑ ")</f>
        <v xml:space="preserve">⇑ </v>
      </c>
      <c r="X108" s="93"/>
    </row>
    <row r="109" spans="2:40" ht="15" customHeight="1">
      <c r="B109" s="1037">
        <f>SUBTOTAL(3,$I$83:I109)</f>
        <v>26</v>
      </c>
      <c r="C109" s="664" t="s">
        <v>531</v>
      </c>
      <c r="D109" s="665"/>
      <c r="E109" s="656"/>
      <c r="F109" s="666">
        <v>200</v>
      </c>
      <c r="G109" s="667" t="s">
        <v>150</v>
      </c>
      <c r="H109" s="641"/>
      <c r="I109" s="662">
        <f t="shared" ref="I109:I113" si="16">IF(OR($V$4=$AA$10,$V$4=$AA$11),SUMIF($E$225:$E$295,F109,$I$225:$I$295),SUMIF($E$137:$E$216,F109,$L$137:$L$216))</f>
        <v>0</v>
      </c>
      <c r="J109" s="1037" t="s">
        <v>151</v>
      </c>
      <c r="K109" s="610"/>
      <c r="L109" s="610">
        <f t="shared" si="14"/>
        <v>0</v>
      </c>
      <c r="N109" s="1032">
        <f t="shared" si="15"/>
        <v>0</v>
      </c>
      <c r="P109" s="1285" t="s">
        <v>199</v>
      </c>
      <c r="Q109" s="1286"/>
      <c r="R109" s="1354" t="s">
        <v>474</v>
      </c>
      <c r="S109" s="1355"/>
      <c r="T109" s="380"/>
      <c r="U109" s="380" t="s">
        <v>468</v>
      </c>
      <c r="V109" s="1284"/>
      <c r="X109" s="93"/>
    </row>
    <row r="110" spans="2:40" ht="15" customHeight="1">
      <c r="B110" s="1037">
        <f>SUBTOTAL(3,$I$83:I110)</f>
        <v>27</v>
      </c>
      <c r="C110" s="654" t="s">
        <v>532</v>
      </c>
      <c r="D110" s="654"/>
      <c r="E110" s="655"/>
      <c r="F110" s="669">
        <v>140</v>
      </c>
      <c r="G110" s="670" t="s">
        <v>150</v>
      </c>
      <c r="H110" s="1035"/>
      <c r="I110" s="662">
        <f t="shared" si="16"/>
        <v>0</v>
      </c>
      <c r="J110" s="1013" t="s">
        <v>151</v>
      </c>
      <c r="K110" s="661"/>
      <c r="L110" s="610">
        <f t="shared" si="14"/>
        <v>0</v>
      </c>
      <c r="N110" s="1032">
        <f t="shared" si="15"/>
        <v>0</v>
      </c>
      <c r="P110" s="1350" t="s">
        <v>471</v>
      </c>
      <c r="Q110" s="1351"/>
      <c r="R110" s="1352" t="s">
        <v>470</v>
      </c>
      <c r="S110" s="1353"/>
      <c r="T110" s="382"/>
      <c r="U110" s="382" t="str">
        <f>IF(R110=AA14,"-","м.п")</f>
        <v>м.п</v>
      </c>
      <c r="X110" s="93"/>
    </row>
    <row r="111" spans="2:40" ht="15" customHeight="1">
      <c r="B111" s="1037">
        <f>SUBTOTAL(3,$I$83:I111)</f>
        <v>28</v>
      </c>
      <c r="C111" s="664" t="s">
        <v>532</v>
      </c>
      <c r="D111" s="665"/>
      <c r="E111" s="656"/>
      <c r="F111" s="666">
        <v>180</v>
      </c>
      <c r="G111" s="667" t="s">
        <v>150</v>
      </c>
      <c r="H111" s="1012"/>
      <c r="I111" s="662">
        <f t="shared" si="16"/>
        <v>0</v>
      </c>
      <c r="J111" s="1013" t="s">
        <v>151</v>
      </c>
      <c r="K111" s="661"/>
      <c r="L111" s="610">
        <f t="shared" si="14"/>
        <v>0</v>
      </c>
      <c r="N111" s="1032">
        <f t="shared" si="15"/>
        <v>0</v>
      </c>
      <c r="P111" s="1285" t="s">
        <v>469</v>
      </c>
      <c r="Q111" s="1286"/>
      <c r="R111" s="1354" t="s">
        <v>1150</v>
      </c>
      <c r="S111" s="1355"/>
      <c r="T111" s="380"/>
      <c r="U111" s="380" t="str">
        <f>IF(R111=AA17,"-","м2")</f>
        <v>м2</v>
      </c>
      <c r="X111" s="93"/>
    </row>
    <row r="112" spans="2:40" ht="15" customHeight="1">
      <c r="B112" s="1037">
        <f>SUBTOTAL(3,$I$83:I112)</f>
        <v>29</v>
      </c>
      <c r="C112" s="654" t="s">
        <v>532</v>
      </c>
      <c r="D112" s="654"/>
      <c r="E112" s="655"/>
      <c r="F112" s="669">
        <v>240</v>
      </c>
      <c r="G112" s="670" t="s">
        <v>150</v>
      </c>
      <c r="H112" s="1035"/>
      <c r="I112" s="662">
        <f t="shared" si="16"/>
        <v>0</v>
      </c>
      <c r="J112" s="1013" t="s">
        <v>151</v>
      </c>
      <c r="K112" s="661"/>
      <c r="L112" s="610">
        <f t="shared" si="14"/>
        <v>0</v>
      </c>
      <c r="N112" s="1032">
        <f t="shared" si="15"/>
        <v>0</v>
      </c>
      <c r="P112" s="1350" t="s">
        <v>475</v>
      </c>
      <c r="Q112" s="1351"/>
      <c r="R112" s="1352" t="s">
        <v>525</v>
      </c>
      <c r="S112" s="1353"/>
      <c r="T112" s="382"/>
      <c r="U112" s="382" t="s">
        <v>468</v>
      </c>
      <c r="X112" s="93"/>
    </row>
    <row r="113" spans="2:37" ht="15" customHeight="1">
      <c r="B113" s="1037">
        <f>SUBTOTAL(3,$I$83:I113)</f>
        <v>30</v>
      </c>
      <c r="C113" s="664" t="s">
        <v>532</v>
      </c>
      <c r="D113" s="665"/>
      <c r="E113" s="656"/>
      <c r="F113" s="666">
        <v>300</v>
      </c>
      <c r="G113" s="667" t="s">
        <v>150</v>
      </c>
      <c r="H113" s="1012"/>
      <c r="I113" s="662">
        <f t="shared" si="16"/>
        <v>0</v>
      </c>
      <c r="J113" s="1013" t="s">
        <v>151</v>
      </c>
      <c r="K113" s="661"/>
      <c r="L113" s="610">
        <f t="shared" si="14"/>
        <v>0</v>
      </c>
      <c r="N113" s="1032">
        <f t="shared" si="15"/>
        <v>0</v>
      </c>
      <c r="P113" s="1022" t="s">
        <v>476</v>
      </c>
      <c r="Q113" s="1023"/>
      <c r="R113" s="1354" t="s">
        <v>473</v>
      </c>
      <c r="S113" s="1355"/>
      <c r="T113" s="380"/>
      <c r="U113" s="380" t="s">
        <v>468</v>
      </c>
      <c r="X113" s="93"/>
    </row>
    <row r="114" spans="2:37" ht="15" customHeight="1">
      <c r="B114" s="639"/>
      <c r="C114" s="659" t="s">
        <v>163</v>
      </c>
      <c r="D114" s="105"/>
      <c r="E114" s="105"/>
      <c r="F114" s="105"/>
      <c r="G114" s="1024"/>
      <c r="H114" s="1024"/>
      <c r="I114" s="663"/>
      <c r="J114" s="1037"/>
      <c r="K114" s="1037"/>
      <c r="L114" s="597">
        <f>SUM(L115)</f>
        <v>0</v>
      </c>
      <c r="N114" s="1032">
        <f>IF(I115&gt;0,1,0)</f>
        <v>0</v>
      </c>
      <c r="S114" s="1024"/>
      <c r="X114" s="93"/>
    </row>
    <row r="115" spans="2:37" ht="15" customHeight="1">
      <c r="B115" s="1037">
        <f>SUBTOTAL(3,$I$83:I115)</f>
        <v>31</v>
      </c>
      <c r="C115" s="664" t="s">
        <v>164</v>
      </c>
      <c r="D115" s="665"/>
      <c r="E115" s="656" t="s">
        <v>165</v>
      </c>
      <c r="F115" s="666">
        <v>45</v>
      </c>
      <c r="G115" s="667" t="s">
        <v>150</v>
      </c>
      <c r="H115" s="641"/>
      <c r="I115" s="660">
        <f>IF(AND($R$4=$Y$7,OR($V$4=$Y$12,$V$4=$AA$8,$V$4=$AA$9)),SUM($L$137:$L$216),IF(AND($R$4=$Y$9,$V$4=$AA$6),ПЛ*$U$12,IF($V$4=$AA$7,SUMIF($F$137:$H$216,"8х45",$L$137:$L$216),IF(AND($R$4=$Y$7),SUMIF(F225:H295,"8х45",I225:I295),0))))</f>
        <v>0</v>
      </c>
      <c r="J115" s="1037" t="s">
        <v>151</v>
      </c>
      <c r="K115" s="610"/>
      <c r="L115" s="610">
        <f>I115*K115</f>
        <v>0</v>
      </c>
      <c r="N115" s="1032">
        <f>IF(I115&gt;0,1,0)</f>
        <v>0</v>
      </c>
      <c r="X115" s="93"/>
    </row>
    <row r="116" spans="2:37" ht="15" customHeight="1">
      <c r="C116" s="357" t="str">
        <f>IF(F116=" "," ","Толщина основного слоя утеплителя")</f>
        <v xml:space="preserve"> </v>
      </c>
      <c r="D116" s="358"/>
      <c r="E116" s="358"/>
      <c r="F116" s="359" t="str">
        <f>IF(R3=0," ",R3)</f>
        <v xml:space="preserve"> </v>
      </c>
      <c r="G116" s="359" t="str">
        <f>IF(F116=" "," ","мм")</f>
        <v xml:space="preserve"> </v>
      </c>
      <c r="H116" s="358"/>
      <c r="N116" s="1032">
        <f>IF($V$4="НЕТ",0,1)</f>
        <v>0</v>
      </c>
      <c r="X116" s="93"/>
    </row>
    <row r="117" spans="2:37" ht="15" customHeight="1">
      <c r="C117" s="360" t="str">
        <f>IFERROR(IF(SUM(J138:J216)&gt;0,"** Количество крепежа дано с учетом закрепления мембраны, над клиновидной теплоизоляцией"," "),"")</f>
        <v xml:space="preserve"> </v>
      </c>
      <c r="D117" s="358"/>
      <c r="E117" s="358"/>
      <c r="F117" s="358"/>
      <c r="G117" s="358"/>
      <c r="H117" s="358"/>
      <c r="N117" s="1032">
        <f>IF($V$4="НЕТ",0,1)</f>
        <v>0</v>
      </c>
      <c r="R117" s="1024"/>
      <c r="S117" s="1024"/>
      <c r="X117" s="93"/>
      <c r="AA117" s="93"/>
      <c r="AB117" s="93"/>
    </row>
    <row r="118" spans="2:37" ht="23.25" customHeight="1">
      <c r="B118" s="1348" t="str">
        <f>IFERROR(IF(MATCH("НЕТ ДАННЫХ",D137:D176,0)&gt;0,"Внимание, на данной странице показан не весь необходимый крепеж, высота закрепления клиновидной теплоизоляции превышает асортимент телескопического крепежа компании ТехноНИКОЛЬ, смотри таблицу группировки крепежа, по позициям НЕТ ДАННЫХ."," ")," ")</f>
        <v xml:space="preserve"> </v>
      </c>
      <c r="C118" s="1348"/>
      <c r="D118" s="1348"/>
      <c r="E118" s="1348"/>
      <c r="F118" s="1348"/>
      <c r="G118" s="1348"/>
      <c r="H118" s="1348"/>
      <c r="I118" s="1348"/>
      <c r="J118" s="1348"/>
      <c r="K118" s="1348"/>
      <c r="L118" s="1348"/>
      <c r="N118" s="1032">
        <f>IF($V$4="НЕТ",0,1)</f>
        <v>0</v>
      </c>
      <c r="S118" s="1024"/>
      <c r="X118" s="93"/>
      <c r="AA118" s="93"/>
      <c r="AB118" s="93"/>
    </row>
    <row r="119" spans="2:37" ht="23.25" customHeight="1">
      <c r="B119" s="1348"/>
      <c r="C119" s="1348"/>
      <c r="D119" s="1348"/>
      <c r="E119" s="1348"/>
      <c r="F119" s="1348"/>
      <c r="G119" s="1348"/>
      <c r="H119" s="1348"/>
      <c r="I119" s="1348"/>
      <c r="J119" s="1348"/>
      <c r="K119" s="1348"/>
      <c r="L119" s="1348"/>
      <c r="N119" s="1032">
        <f>IF($V$4="НЕТ",0,1)</f>
        <v>0</v>
      </c>
      <c r="S119" s="1024"/>
      <c r="X119" s="93"/>
    </row>
    <row r="120" spans="2:37" ht="15" customHeight="1">
      <c r="B120" s="257"/>
      <c r="C120" s="1349" t="str">
        <f>IF(OR(T3=Y14,T4=Y20,T4=Y22),"Альбом с примерами раскладки клиновидной теплоизоляции из каменной ваты можно скачать по этой ссылке","")</f>
        <v/>
      </c>
      <c r="D120" s="1349"/>
      <c r="E120" s="1349"/>
      <c r="F120" s="1349"/>
      <c r="G120" s="1349"/>
      <c r="H120" s="1349"/>
      <c r="I120" s="1349"/>
      <c r="J120" s="1349"/>
      <c r="K120" s="1349"/>
      <c r="L120" s="1349"/>
      <c r="N120" s="1032">
        <f>IF($C$120="",0,1)</f>
        <v>0</v>
      </c>
      <c r="S120" s="1024"/>
      <c r="X120" s="93"/>
    </row>
    <row r="121" spans="2:37" ht="15" customHeight="1"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N121" s="1032">
        <f>IF($C$120="",0,1)</f>
        <v>0</v>
      </c>
      <c r="X121" s="93"/>
    </row>
    <row r="122" spans="2:37" ht="15" customHeight="1">
      <c r="C122" s="1349"/>
      <c r="D122" s="1349"/>
      <c r="E122" s="1349"/>
      <c r="F122" s="1349"/>
      <c r="G122" s="1349"/>
      <c r="H122" s="1349"/>
      <c r="I122" s="1349"/>
      <c r="J122" s="1349"/>
      <c r="K122" s="1349"/>
      <c r="L122" s="1349"/>
      <c r="N122" s="1032">
        <f>IF($C$120="",0,1)</f>
        <v>0</v>
      </c>
      <c r="X122" s="93"/>
    </row>
    <row r="123" spans="2:37" ht="15" customHeight="1">
      <c r="C123" s="1349" t="str">
        <f>IF(OR(T3=Y16,T4=Y23,T4=Y27),"Альбом с примерами раскладки клиновидной теплоизоляции из XPS можно скачать по этой ссылке","")</f>
        <v/>
      </c>
      <c r="D123" s="1349"/>
      <c r="E123" s="1349"/>
      <c r="F123" s="1349"/>
      <c r="G123" s="1349"/>
      <c r="H123" s="1349"/>
      <c r="I123" s="1349"/>
      <c r="J123" s="1349"/>
      <c r="K123" s="1349"/>
      <c r="L123" s="1349"/>
      <c r="N123" s="1032">
        <f>IF($C$123="",0,1)</f>
        <v>0</v>
      </c>
      <c r="AA123" s="93"/>
      <c r="AB123" s="93"/>
    </row>
    <row r="124" spans="2:37" ht="15" customHeight="1">
      <c r="C124" s="1349"/>
      <c r="D124" s="1349"/>
      <c r="E124" s="1349"/>
      <c r="F124" s="1349"/>
      <c r="G124" s="1349"/>
      <c r="H124" s="1349"/>
      <c r="I124" s="1349"/>
      <c r="J124" s="1349"/>
      <c r="K124" s="1349"/>
      <c r="L124" s="1349"/>
      <c r="N124" s="1032">
        <f>IF($C$123="",0,1)</f>
        <v>0</v>
      </c>
      <c r="AA124" s="93"/>
      <c r="AB124" s="93"/>
    </row>
    <row r="125" spans="2:37" ht="15" customHeight="1"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N125" s="1032">
        <f>IF($C$123="",0,1)</f>
        <v>0</v>
      </c>
      <c r="AA125" s="93"/>
      <c r="AB125" s="93"/>
      <c r="AC125" s="93"/>
    </row>
    <row r="126" spans="2:37" ht="15" customHeight="1">
      <c r="C126" s="1349" t="str">
        <f>IF(OR(T3=Y18,T4=Y25),"Альбом с примерами раскладки клиновидной теплоизоляции из PIR можно скачать по этой ссылке","")</f>
        <v/>
      </c>
      <c r="D126" s="1349"/>
      <c r="E126" s="1349"/>
      <c r="F126" s="1349"/>
      <c r="G126" s="1349"/>
      <c r="H126" s="1349"/>
      <c r="I126" s="1349"/>
      <c r="J126" s="1349"/>
      <c r="K126" s="1349"/>
      <c r="L126" s="1349"/>
      <c r="N126" s="1032">
        <f>IF($C$126="",0,1)</f>
        <v>0</v>
      </c>
    </row>
    <row r="127" spans="2:37" ht="15" customHeight="1">
      <c r="C127" s="1349"/>
      <c r="D127" s="1349"/>
      <c r="E127" s="1349"/>
      <c r="F127" s="1349"/>
      <c r="G127" s="1349"/>
      <c r="H127" s="1349"/>
      <c r="I127" s="1349"/>
      <c r="J127" s="1349"/>
      <c r="K127" s="1349"/>
      <c r="L127" s="1349"/>
      <c r="N127" s="1032">
        <f>IF($C$126="",0,1)</f>
        <v>0</v>
      </c>
    </row>
    <row r="128" spans="2:37" ht="15" customHeight="1"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N128" s="1032">
        <f>IF($C$126="",0,1)</f>
        <v>0</v>
      </c>
      <c r="AG128" s="158"/>
      <c r="AK128" s="158"/>
    </row>
    <row r="129" spans="1:40" ht="95.1" customHeight="1" thickBot="1">
      <c r="A129" s="1051"/>
      <c r="B129" s="1051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N129" s="1032">
        <f>IF($V$4="НЕТ",0,1)</f>
        <v>0</v>
      </c>
      <c r="AG129" s="158"/>
      <c r="AK129" s="158"/>
    </row>
    <row r="130" spans="1:40" ht="15" customHeight="1" thickBot="1">
      <c r="B130" s="1220" t="s">
        <v>171</v>
      </c>
      <c r="C130" s="1221"/>
      <c r="D130" s="1221"/>
      <c r="E130" s="1221"/>
      <c r="F130" s="1221"/>
      <c r="G130" s="1339" t="str">
        <f>номер_объекта</f>
        <v>11-27ХХ-МПКПМКИ-12.21</v>
      </c>
      <c r="H130" s="1339"/>
      <c r="I130" s="1339"/>
      <c r="J130" s="1339"/>
      <c r="K130" s="1341" t="str">
        <f ca="1">IF(K5=0," ",K5)</f>
        <v>ТИП7</v>
      </c>
      <c r="L130" s="1342"/>
      <c r="N130" s="1032">
        <f>IF($V$4="НЕТ",0,1)</f>
        <v>0</v>
      </c>
      <c r="P130" s="1346" t="str">
        <f>IF(V3=Y3,"Примыкание к парапету высотой более 500 мм"," ")</f>
        <v xml:space="preserve"> </v>
      </c>
      <c r="Q130" s="1346"/>
      <c r="R130" s="1346"/>
      <c r="S130" s="1346"/>
      <c r="T130" s="1346"/>
      <c r="U130" s="409" t="str">
        <f ca="1">HYPERLINK("#"&amp;$AB$5&amp;"!A36","⇑ ")</f>
        <v xml:space="preserve">⇑ </v>
      </c>
      <c r="V130" s="226"/>
      <c r="W130" s="226"/>
      <c r="Y130" s="1312" t="s">
        <v>152</v>
      </c>
      <c r="Z130" s="1313"/>
      <c r="AA130" s="1313"/>
      <c r="AB130" s="1313"/>
      <c r="AC130" s="1313"/>
      <c r="AD130" s="1313"/>
      <c r="AE130" s="1314"/>
    </row>
    <row r="131" spans="1:40" ht="15" customHeight="1">
      <c r="B131" s="1222"/>
      <c r="C131" s="1223"/>
      <c r="D131" s="1223"/>
      <c r="E131" s="1223"/>
      <c r="F131" s="1223"/>
      <c r="G131" s="1269"/>
      <c r="H131" s="1269"/>
      <c r="I131" s="1269"/>
      <c r="J131" s="1269"/>
      <c r="K131" s="1273"/>
      <c r="L131" s="1343"/>
      <c r="N131" s="1032">
        <f t="shared" ref="N131:N136" si="17">IF($V$4="НЕТ",0,1)</f>
        <v>0</v>
      </c>
      <c r="O131" s="1347">
        <v>1</v>
      </c>
      <c r="P131" s="1295" t="s">
        <v>302</v>
      </c>
      <c r="Q131" s="1295" t="str">
        <f>IF(V3=Y3,"ТИПЫ"," ")</f>
        <v xml:space="preserve"> </v>
      </c>
      <c r="R131" s="1295" t="str">
        <f>IF(V3=Y3,"ШИРИНА, мм"," ")</f>
        <v xml:space="preserve"> </v>
      </c>
      <c r="S131" s="1295" t="str">
        <f>IF(V3=Y3,"ВЫСОТА, мм"," ")</f>
        <v xml:space="preserve"> </v>
      </c>
      <c r="T131" s="1295" t="str">
        <f>IF(V3=Y3,"ДЛИНА, м"," ")</f>
        <v xml:space="preserve"> </v>
      </c>
      <c r="U131" s="1307" t="s">
        <v>334</v>
      </c>
      <c r="V131" s="1307" t="s">
        <v>306</v>
      </c>
      <c r="W131" s="1307" t="s">
        <v>303</v>
      </c>
      <c r="Y131" s="1305" t="s">
        <v>153</v>
      </c>
      <c r="Z131" s="1306"/>
      <c r="AA131" s="1315" t="s">
        <v>154</v>
      </c>
      <c r="AB131" s="1315" t="s">
        <v>254</v>
      </c>
      <c r="AC131" s="1315" t="s">
        <v>253</v>
      </c>
      <c r="AD131" s="1315" t="s">
        <v>600</v>
      </c>
      <c r="AE131" s="1315" t="s">
        <v>419</v>
      </c>
      <c r="AF131" s="1303" t="s">
        <v>309</v>
      </c>
      <c r="AG131" s="1305" t="s">
        <v>310</v>
      </c>
      <c r="AH131" s="1306"/>
      <c r="AI131" s="1305" t="s">
        <v>311</v>
      </c>
      <c r="AJ131" s="1306"/>
      <c r="AK131" s="1305" t="s">
        <v>312</v>
      </c>
      <c r="AL131" s="1306"/>
      <c r="AN131" s="435" t="s">
        <v>598</v>
      </c>
    </row>
    <row r="132" spans="1:40" ht="15" customHeight="1" thickBot="1">
      <c r="B132" s="1224"/>
      <c r="C132" s="1225"/>
      <c r="D132" s="1225"/>
      <c r="E132" s="1225"/>
      <c r="F132" s="1225"/>
      <c r="G132" s="1340"/>
      <c r="H132" s="1340"/>
      <c r="I132" s="1340"/>
      <c r="J132" s="1340"/>
      <c r="K132" s="1344"/>
      <c r="L132" s="1345"/>
      <c r="N132" s="1032">
        <f t="shared" si="17"/>
        <v>0</v>
      </c>
      <c r="O132" s="1347"/>
      <c r="P132" s="1295"/>
      <c r="Q132" s="1295"/>
      <c r="R132" s="1295"/>
      <c r="S132" s="1295"/>
      <c r="T132" s="1295"/>
      <c r="U132" s="1307"/>
      <c r="V132" s="1307"/>
      <c r="W132" s="1307"/>
      <c r="Y132" s="1027" t="s">
        <v>157</v>
      </c>
      <c r="Z132" s="1027" t="s">
        <v>158</v>
      </c>
      <c r="AA132" s="1310"/>
      <c r="AB132" s="1310"/>
      <c r="AC132" s="1310"/>
      <c r="AD132" s="1310"/>
      <c r="AE132" s="1310"/>
      <c r="AF132" s="1304"/>
      <c r="AG132" s="1027" t="s">
        <v>314</v>
      </c>
      <c r="AH132" s="1027" t="s">
        <v>313</v>
      </c>
      <c r="AI132" s="1027" t="s">
        <v>314</v>
      </c>
      <c r="AJ132" s="1027" t="s">
        <v>313</v>
      </c>
      <c r="AK132" s="1027" t="s">
        <v>314</v>
      </c>
      <c r="AL132" s="1027" t="s">
        <v>313</v>
      </c>
      <c r="AN132" s="436" t="s">
        <v>599</v>
      </c>
    </row>
    <row r="133" spans="1:40" ht="15" customHeight="1">
      <c r="B133" s="1325" t="s">
        <v>128</v>
      </c>
      <c r="C133" s="1325" t="s">
        <v>172</v>
      </c>
      <c r="D133" s="1325" t="s">
        <v>173</v>
      </c>
      <c r="E133" s="1328" t="s">
        <v>509</v>
      </c>
      <c r="F133" s="1331" t="s">
        <v>174</v>
      </c>
      <c r="G133" s="1332"/>
      <c r="H133" s="1333"/>
      <c r="I133" s="1325" t="s">
        <v>175</v>
      </c>
      <c r="J133" s="1331" t="s">
        <v>176</v>
      </c>
      <c r="K133" s="1333"/>
      <c r="L133" s="1325" t="s">
        <v>177</v>
      </c>
      <c r="N133" s="1032">
        <f t="shared" si="17"/>
        <v>0</v>
      </c>
      <c r="O133" s="1347"/>
      <c r="P133" s="127"/>
      <c r="Q133" s="127"/>
      <c r="R133" s="124"/>
      <c r="S133" s="124"/>
      <c r="T133" s="124"/>
      <c r="U133" s="124"/>
      <c r="V133" s="124"/>
      <c r="W133" s="127"/>
      <c r="Y133" s="126">
        <f>T133*(500+R133+S133)/1000</f>
        <v>0</v>
      </c>
      <c r="Z133" s="126">
        <f>650*T133/1000</f>
        <v>0</v>
      </c>
      <c r="AA133" s="126">
        <v>0</v>
      </c>
      <c r="AB133" s="126">
        <f>ROUNDUP(IF(OR(Q133=$Z$15,Q133=$Z$17,Q133=$Z$18),AA133,0),0)</f>
        <v>0</v>
      </c>
      <c r="AC133" s="126">
        <f>ROUNDUP(IF(Q133=$Z$16,AA133,0),0)</f>
        <v>0</v>
      </c>
      <c r="AD133" s="126">
        <f>ROUNDUP(IF(Q133=$Z$16,AA133*5*1.03,0),0)</f>
        <v>0</v>
      </c>
      <c r="AE133" s="126">
        <f>IF(Q133=$Z$15,0,IF(Q133=$Z$17,(T133*(U133+V133)/1000),Y133))</f>
        <v>0</v>
      </c>
      <c r="AF133" s="221">
        <f>ROUNDUP(IF($AF$5=1,U133/1000*V133/1000*T133*1.03,0),1)</f>
        <v>0</v>
      </c>
      <c r="AG133" s="1297" t="s">
        <v>308</v>
      </c>
      <c r="AH133" s="1298"/>
      <c r="AI133" s="1297" t="s">
        <v>308</v>
      </c>
      <c r="AJ133" s="1298"/>
      <c r="AK133" s="1297" t="s">
        <v>308</v>
      </c>
      <c r="AL133" s="1298"/>
      <c r="AN133" s="437">
        <f>IFERROR(MATCH(Q133,$Z$15:$Z$20,0),0)</f>
        <v>0</v>
      </c>
    </row>
    <row r="134" spans="1:40" ht="15" customHeight="1">
      <c r="B134" s="1326"/>
      <c r="C134" s="1326"/>
      <c r="D134" s="1326"/>
      <c r="E134" s="1329"/>
      <c r="F134" s="1334"/>
      <c r="G134" s="1292"/>
      <c r="H134" s="1335"/>
      <c r="I134" s="1326"/>
      <c r="J134" s="1334"/>
      <c r="K134" s="1335"/>
      <c r="L134" s="1326"/>
      <c r="N134" s="1032">
        <f t="shared" si="17"/>
        <v>0</v>
      </c>
      <c r="O134" s="1347"/>
      <c r="P134" s="127"/>
      <c r="Q134" s="127"/>
      <c r="R134" s="124"/>
      <c r="S134" s="124"/>
      <c r="T134" s="124"/>
      <c r="U134" s="124"/>
      <c r="V134" s="124"/>
      <c r="W134" s="127"/>
      <c r="Y134" s="103">
        <f>T134*(500+R134+S134)/1000</f>
        <v>0</v>
      </c>
      <c r="Z134" s="103">
        <f>650*T134/1000</f>
        <v>0</v>
      </c>
      <c r="AA134" s="103">
        <v>0</v>
      </c>
      <c r="AB134" s="103">
        <f>ROUNDUP(IF(OR(Q134=$Z$15,Q134=$Z$17,Q134=$Z$18),AA134,0),0)</f>
        <v>0</v>
      </c>
      <c r="AC134" s="103">
        <f>ROUNDUP(IF(Q134=$Z$16,AA134,0),0)</f>
        <v>0</v>
      </c>
      <c r="AD134" s="103">
        <f>ROUNDUP(IF(Q134=$Z$16,AA134*5*1.03,0),0)</f>
        <v>0</v>
      </c>
      <c r="AE134" s="103">
        <f>IF(Q134=$Z$15,0,IF(Q134=$Z$17,(T134*(U134+V134)/1000),Y134))</f>
        <v>0</v>
      </c>
      <c r="AF134" s="224">
        <f>ROUNDUP(IF($AF$5=1,U134/1000*V134/1000*T134*1.03,0),1)</f>
        <v>0</v>
      </c>
      <c r="AG134" s="1299"/>
      <c r="AH134" s="1300"/>
      <c r="AI134" s="1299"/>
      <c r="AJ134" s="1300"/>
      <c r="AK134" s="1299"/>
      <c r="AL134" s="1300"/>
      <c r="AN134" s="437">
        <f>IFERROR(MATCH(Q134,$Z$15:$Z$20,0),0)</f>
        <v>0</v>
      </c>
    </row>
    <row r="135" spans="1:40" ht="15" customHeight="1" thickBot="1">
      <c r="B135" s="1327"/>
      <c r="C135" s="1327"/>
      <c r="D135" s="1327"/>
      <c r="E135" s="1330"/>
      <c r="F135" s="1336"/>
      <c r="G135" s="1337"/>
      <c r="H135" s="1338"/>
      <c r="I135" s="1327"/>
      <c r="J135" s="1336"/>
      <c r="K135" s="1338"/>
      <c r="L135" s="1327"/>
      <c r="N135" s="1032">
        <f t="shared" si="17"/>
        <v>0</v>
      </c>
      <c r="O135" s="1347"/>
      <c r="P135" s="127"/>
      <c r="Q135" s="127"/>
      <c r="R135" s="124"/>
      <c r="S135" s="124"/>
      <c r="T135" s="124"/>
      <c r="U135" s="124"/>
      <c r="V135" s="124"/>
      <c r="W135" s="127"/>
      <c r="Y135" s="126">
        <f>T135*(500+R135+S135)/1000</f>
        <v>0</v>
      </c>
      <c r="Z135" s="126">
        <f>650*T135/1000</f>
        <v>0</v>
      </c>
      <c r="AA135" s="126">
        <v>0</v>
      </c>
      <c r="AB135" s="126">
        <f>ROUNDUP(IF(OR(Q135=$Z$15,Q135=$Z$17,Q135=$Z$18),AA135,0),0)</f>
        <v>0</v>
      </c>
      <c r="AC135" s="126">
        <f>ROUNDUP(IF(Q135=$Z$16,AA135,0),0)</f>
        <v>0</v>
      </c>
      <c r="AD135" s="126">
        <f>ROUNDUP(IF(Q135=$Z$16,AA135*5*1.03,0),0)</f>
        <v>0</v>
      </c>
      <c r="AE135" s="126">
        <f>IF(Q135=$Z$15,0,IF(Q135=$Z$17,(T135*(U135+V135)/1000),Y135))</f>
        <v>0</v>
      </c>
      <c r="AF135" s="221">
        <f>ROUNDUP(IF($AF$5=1,U135/1000*V135/1000*T135*1.03,0),1)</f>
        <v>0</v>
      </c>
      <c r="AG135" s="1299"/>
      <c r="AH135" s="1300"/>
      <c r="AI135" s="1299"/>
      <c r="AJ135" s="1300"/>
      <c r="AK135" s="1299"/>
      <c r="AL135" s="1300"/>
      <c r="AN135" s="437">
        <f>IFERROR(MATCH(Q135,$Z$15:$Z$20,0),0)</f>
        <v>0</v>
      </c>
    </row>
    <row r="136" spans="1:40" ht="15" customHeight="1" thickBot="1">
      <c r="B136" s="674">
        <v>1</v>
      </c>
      <c r="C136" s="674">
        <v>2</v>
      </c>
      <c r="D136" s="674">
        <v>3</v>
      </c>
      <c r="E136" s="674">
        <v>4</v>
      </c>
      <c r="F136" s="1320">
        <v>5</v>
      </c>
      <c r="G136" s="1321"/>
      <c r="H136" s="1322"/>
      <c r="I136" s="674">
        <v>6</v>
      </c>
      <c r="J136" s="1320">
        <v>7</v>
      </c>
      <c r="K136" s="1322"/>
      <c r="L136" s="674">
        <v>8</v>
      </c>
      <c r="N136" s="1032">
        <f t="shared" si="17"/>
        <v>0</v>
      </c>
      <c r="O136" s="1347"/>
      <c r="P136" s="127"/>
      <c r="Q136" s="127"/>
      <c r="R136" s="124"/>
      <c r="S136" s="124"/>
      <c r="T136" s="124"/>
      <c r="U136" s="124"/>
      <c r="V136" s="124"/>
      <c r="W136" s="127"/>
      <c r="Y136" s="103">
        <f>T136*(500+R136+S136)/1000</f>
        <v>0</v>
      </c>
      <c r="Z136" s="103">
        <f>650*T136/1000</f>
        <v>0</v>
      </c>
      <c r="AA136" s="103">
        <v>0</v>
      </c>
      <c r="AB136" s="103">
        <f>ROUNDUP(IF(OR(Q136=$Z$15,Q136=$Z$17,Q136=$Z$18),AA136,0),0)</f>
        <v>0</v>
      </c>
      <c r="AC136" s="103">
        <f>ROUNDUP(IF(Q136=$Z$16,AA136,0),0)</f>
        <v>0</v>
      </c>
      <c r="AD136" s="103">
        <f>ROUNDUP(IF(Q136=$Z$16,AA136*5*1.03,0),0)</f>
        <v>0</v>
      </c>
      <c r="AE136" s="103">
        <f>IF(Q136=$Z$15,0,IF(Q136=$Z$17,(T136*(U136+V136)/1000),Y136))</f>
        <v>0</v>
      </c>
      <c r="AF136" s="224">
        <f>ROUNDUP(IF($AF$5=1,U136/1000*V136/1000*T136*1.03,0),1)</f>
        <v>0</v>
      </c>
      <c r="AG136" s="1299"/>
      <c r="AH136" s="1300"/>
      <c r="AI136" s="1299"/>
      <c r="AJ136" s="1300"/>
      <c r="AK136" s="1299"/>
      <c r="AL136" s="1300"/>
      <c r="AN136" s="437">
        <f>IFERROR(MATCH(Q136,$Z$15:$Z$20,0),0)</f>
        <v>0</v>
      </c>
    </row>
    <row r="137" spans="1:40" ht="15" customHeight="1">
      <c r="B137" s="621">
        <f>SUBTOTAL(3,$I$137:I137)</f>
        <v>1</v>
      </c>
      <c r="C137" s="621">
        <f>R3</f>
        <v>0</v>
      </c>
      <c r="D137" s="676" t="str">
        <f>IFERROR(IF(AND($R$4=$Y$7,$V$4=$AA$6),INDEX($AH$303:$AI$370,MATCH(_xlfn.CEILING.MATH(C137,10),$AG$303:$AG$370,0),1),IF(AND($R$4=$Y$7,$V$4=$AA$7),INDEX($AE$303:$AF$370,MATCH(_xlfn.CEILING.MATH(C137,10),$AD$303:$AD$370,0),1),IF(AND($R$4=$Y$8,$V$4=$AA$6),INDEX($AK$303:$AL$372,MATCH(_xlfn.CEILING.MATH(C137,10),$AJ$303:$AJ$372,0),1)," "))),"НЕТ ДАННЫХ")</f>
        <v xml:space="preserve"> </v>
      </c>
      <c r="E137" s="676" t="str">
        <f>IFERROR(IF(AND($R$4=$Y$7,$V$4=$AA$6),INDEX($AH$303:$AI$370,MATCH(_xlfn.CEILING.MATH(C137,10),$AG$303:$AG$370,0),2),IF(AND($R$4=$Y$7,$V$4=$AA$7),INDEX($AE$303:$AF$370,MATCH(_xlfn.CEILING.MATH(C137,10),$AD$303:$AD$370,0),2),IF(AND($R$4=$Y$8,$V$4=$AA$6),INDEX($AK$303:$AL$372,MATCH(_xlfn.CEILING.MATH(C137,10),$AJ$303:$AJ$372,0),2)," "))),"НЕТ ДАННЫХ")</f>
        <v xml:space="preserve"> </v>
      </c>
      <c r="F137" s="1323" t="str">
        <f t="shared" ref="F137:F200" si="18">IF(AND(OR($V$4=$Y$12,$V$4=$AA$8,$V$4=$AA$9),OR($R$4=$Y$7,$R$4=$Y$9)),"8х45",IF(AND($V$4=$AA$7,C137&gt;300),"8х45",IF(AND($V$4=$AA$7,$AA$2=$AA$6),"8х45","не требуется")))</f>
        <v>не требуется</v>
      </c>
      <c r="G137" s="1323"/>
      <c r="H137" s="1323"/>
      <c r="I137" s="677">
        <f>ROUND(IF(AND($T$3=$Y$13,OR($V$4=$Y$12,$V$4=$AA$7),OR($R$4=$Y$7,$R$4=$Y$8),$V$5=$AD$22),(ПЛ-AF21)*3.06,IF(AND($T$3=$Y$13,OR($V$4=$Y$12,$V$4=$AA$7),OR($R$4=$Y$7,$R$4=$Y$8),$V$5=$AC$22),(ПЛ-AF21)*3,IF(AND(T3=Y13,OR($V$4=$Y$12,$V$4=$AA$7),OR($R$4=$Y$7,$R$4=$Y$8),$V$5=$AB$22),(ПЛ-AF21)*3,0))),0)</f>
        <v>0</v>
      </c>
      <c r="J137" s="1324">
        <f>ROUND(IF(AND(T3=Y13,OR(V4=AA7,V4=Y12),$V$5=$AD$22),I137*U12/3.06,IF(AND(T3=Y13,OR(V4=Y12,V4=AA7),$V$5=$AC$22),I137*U12/3,IF(AND(T3=Y13,OR(V4=Y12,V4=AA7),$V$5=$AB$22),I137*U12/3,0))),0)</f>
        <v>0</v>
      </c>
      <c r="K137" s="1324"/>
      <c r="L137" s="1028">
        <f>I137+J137+IF(AND($V$3=$Y$3,$T$3=$Y$6,$V$4&lt;&gt;$Y$13),($I$862*8+$I$864*4),IF(AND($V$3=$Y$4,$T$3=$Y$6,$V$4&lt;&gt;$Y$13),($I$971*8+$I$976*4),0))</f>
        <v>0</v>
      </c>
      <c r="N137" s="1032">
        <f t="shared" ref="N137:N200" si="19">IF(I137&gt;0,1,0)</f>
        <v>0</v>
      </c>
      <c r="O137" s="1347"/>
      <c r="P137" s="127"/>
      <c r="Q137" s="127"/>
      <c r="R137" s="124"/>
      <c r="S137" s="124"/>
      <c r="T137" s="124"/>
      <c r="U137" s="124"/>
      <c r="V137" s="124"/>
      <c r="W137" s="127"/>
      <c r="Y137" s="220">
        <f>T137*(500+R137+S137)/1000</f>
        <v>0</v>
      </c>
      <c r="Z137" s="220">
        <f>650*T137/1000</f>
        <v>0</v>
      </c>
      <c r="AA137" s="220">
        <v>0</v>
      </c>
      <c r="AB137" s="126">
        <f>ROUNDUP(IF(OR(Q137=$Z$15,Q137=$Z$17,Q137=$Z$18),AA137,0),0)</f>
        <v>0</v>
      </c>
      <c r="AC137" s="220">
        <f>ROUNDUP(IF(Q137=$Z$16,AA137,0),0)</f>
        <v>0</v>
      </c>
      <c r="AD137" s="126">
        <f>ROUNDUP(IF(Q137=$Z$16,AA137*5*1.03,0),0)</f>
        <v>0</v>
      </c>
      <c r="AE137" s="126">
        <f>IF(Q137=$Z$15,0,IF(Q137=$Z$17,(T137*(U137+V137)/1000),Y137))</f>
        <v>0</v>
      </c>
      <c r="AF137" s="221">
        <f>ROUNDUP(IF($AF$5=1,U137/1000*V137/1000*T137*1.03,0),1)</f>
        <v>0</v>
      </c>
      <c r="AG137" s="1301"/>
      <c r="AH137" s="1302"/>
      <c r="AI137" s="1301"/>
      <c r="AJ137" s="1302"/>
      <c r="AK137" s="1301"/>
      <c r="AL137" s="1302"/>
      <c r="AN137" s="437">
        <f>IFERROR(MATCH(Q137,$Z$15:$Z$20,0),0)</f>
        <v>0</v>
      </c>
    </row>
    <row r="138" spans="1:40" ht="15" customHeight="1">
      <c r="B138" s="1037">
        <f>SUBTOTAL(3,$I$137:I138)</f>
        <v>2</v>
      </c>
      <c r="C138" s="1037">
        <f t="shared" ref="C138:C184" si="20">IF($T$5=$AA$12,P14,P14+$R$3)</f>
        <v>0</v>
      </c>
      <c r="D138" s="1013" t="str">
        <f>IFERROR(IF(AND($R$4=$Y$7,OR($V$4=$AA$8,$V$4=$AA$9,$V$4=$Y$12)),INDEX($AH$381:$AI$448,MATCH(_xlfn.CEILING.MATH(C138,10),$AG$381:$AG$448,0),1),IF(AND($R$4=$Y$7,$V$4=$AA$7),INDEX($AH$381:$AI$448,MATCH(_xlfn.CEILING.MATH(C138,10),$AG$381:$AG$448,0),1),IF(AND($R$4=$Y$8,OR($V$4=$AA$8,$V$4=$AA$9,$V$4=$Y$12)),INDEX($AK$381:$AL$449,MATCH(_xlfn.CEILING.MATH(C138,10),$AJ$381:$AJ$449,0),1)," "))),"НЕТ ДАННЫХ")</f>
        <v xml:space="preserve"> </v>
      </c>
      <c r="E138" s="1013" t="str">
        <f>IFERROR(IF(AND($R$4=$Y$7,OR($V$4=$AA$8,$V$4=$AA$9,$V$4=$Y$12)),INDEX($AH$381:$AI$448,MATCH(_xlfn.CEILING.MATH(C138,10),$AG$381:$AG$448,0),2),IF(AND($R$4=$Y$7,$V$4=$AA$7),INDEX($AH$381:$AI$448,MATCH(_xlfn.CEILING.MATH(C138,10),$AG$381:$AG$448,0),2),IF(AND($R$4=$Y$8,OR($V$4=$AA$8,$V$4=$AA$9,$V$4=$Y$12)),INDEX($AK$381:$AL$449,MATCH(_xlfn.CEILING.MATH(C138,10),$AJ$381:$AJ$449,0),2)," "))),"НЕТ ДАННЫХ")</f>
        <v xml:space="preserve"> </v>
      </c>
      <c r="F138" s="1250" t="str">
        <f t="shared" si="18"/>
        <v>не требуется</v>
      </c>
      <c r="G138" s="1250"/>
      <c r="H138" s="1250"/>
      <c r="I138" s="1013">
        <f>ROUND(Q14,0)</f>
        <v>0</v>
      </c>
      <c r="J138" s="1262">
        <f>ROUND(IFERROR(IF($V$4=$Y$11,0,IF($T$3=$Y$13,Q14/$AE$12*$U$12,Q14/$U$14*$U$12)),0),0)</f>
        <v>0</v>
      </c>
      <c r="K138" s="1262"/>
      <c r="L138" s="675">
        <f>I138+J138+IF(AND($V$3=$Y$3,$T$3&lt;&gt;$Y$13,$V$4&lt;&gt;$Y$13),($I$862*8+$I$864*4),IF(AND($V$3=Y4,$T$3&lt;&gt;$Y$13,$V$4&lt;&gt;$Y$13),($I$971*8+$I$976*4),0))</f>
        <v>0</v>
      </c>
      <c r="N138" s="1032">
        <f t="shared" si="19"/>
        <v>0</v>
      </c>
      <c r="O138" s="1347"/>
      <c r="P138" s="1292" t="str">
        <f>IF(V3=Y3,"Примыкание к парапету высотой менее 500 мм"," ")</f>
        <v xml:space="preserve"> </v>
      </c>
      <c r="Q138" s="1292"/>
      <c r="R138" s="1292"/>
      <c r="S138" s="1292"/>
      <c r="T138" s="1292"/>
      <c r="U138" s="217"/>
      <c r="V138" s="217"/>
      <c r="W138" s="217"/>
      <c r="Y138" s="1312" t="s">
        <v>159</v>
      </c>
      <c r="Z138" s="1313"/>
      <c r="AA138" s="1313"/>
      <c r="AB138" s="1313"/>
      <c r="AC138" s="1313"/>
      <c r="AD138" s="1313"/>
      <c r="AE138" s="1314"/>
      <c r="AN138" s="436"/>
    </row>
    <row r="139" spans="1:40" ht="15" customHeight="1">
      <c r="B139" s="1037">
        <f>SUBTOTAL(3,$I$137:I139)</f>
        <v>3</v>
      </c>
      <c r="C139" s="1037">
        <f t="shared" si="20"/>
        <v>0</v>
      </c>
      <c r="D139" s="1013" t="str">
        <f t="shared" ref="D139:D202" si="21">IFERROR(IF(AND($R$4=$Y$7,OR($V$4=$AA$8,$V$4=$AA$9,$V$4=$Y$12)),INDEX($AH$381:$AI$448,MATCH(_xlfn.CEILING.MATH(C139,10),$AG$381:$AG$448,0),1),IF(AND($R$4=$Y$7,$V$4=$AA$7),INDEX($AH$381:$AI$448,MATCH(_xlfn.CEILING.MATH(C139,10),$AG$381:$AG$448,0),1),IF(AND($R$4=$Y$8,OR($V$4=$AA$8,$V$4=$AA$9,$V$4=$Y$12)),INDEX($AK$381:$AL$449,MATCH(_xlfn.CEILING.MATH(C139,10),$AJ$381:$AJ$449,0),1)," "))),"НЕТ ДАННЫХ")</f>
        <v xml:space="preserve"> </v>
      </c>
      <c r="E139" s="1013" t="str">
        <f t="shared" ref="E139:E202" si="22">IFERROR(IF(AND($R$4=$Y$7,OR($V$4=$AA$8,$V$4=$AA$9,$V$4=$Y$12)),INDEX($AH$381:$AI$448,MATCH(_xlfn.CEILING.MATH(C139,10),$AG$381:$AG$448,0),2),IF(AND($R$4=$Y$7,$V$4=$AA$7),INDEX($AH$381:$AI$448,MATCH(_xlfn.CEILING.MATH(C139,10),$AG$381:$AG$448,0),2),IF(AND($R$4=$Y$8,OR($V$4=$AA$8,$V$4=$AA$9,$V$4=$Y$12)),INDEX($AK$381:$AL$449,MATCH(_xlfn.CEILING.MATH(C139,10),$AJ$381:$AJ$449,0),2)," "))),"НЕТ ДАННЫХ")</f>
        <v xml:space="preserve"> </v>
      </c>
      <c r="F139" s="1250" t="str">
        <f t="shared" si="18"/>
        <v>не требуется</v>
      </c>
      <c r="G139" s="1250"/>
      <c r="H139" s="1250"/>
      <c r="I139" s="1013">
        <f t="shared" ref="I139:I184" si="23">ROUND(Q15,0)</f>
        <v>0</v>
      </c>
      <c r="J139" s="1262">
        <f t="shared" ref="J139:J184" si="24">ROUND(IFERROR(IF($V$4=$Y$11,0,IF($T$3=$Y$13,Q15/$AE$12*$U$12,Q15/$U$14*$U$12)),0),0)</f>
        <v>0</v>
      </c>
      <c r="K139" s="1262"/>
      <c r="L139" s="675">
        <f t="shared" ref="L139:L202" si="25">I139+J139</f>
        <v>0</v>
      </c>
      <c r="N139" s="1032">
        <f t="shared" si="19"/>
        <v>0</v>
      </c>
      <c r="O139" s="1347"/>
      <c r="P139" s="1295" t="s">
        <v>302</v>
      </c>
      <c r="Q139" s="1296" t="str">
        <f>IF(V3=Y3,"ТИПЫ"," ")</f>
        <v xml:space="preserve"> </v>
      </c>
      <c r="R139" s="1295" t="str">
        <f>IF(V3=Y3,"ШИРИНА, мм"," ")</f>
        <v xml:space="preserve"> </v>
      </c>
      <c r="S139" s="1295" t="str">
        <f>IF(V3=Y3,"ВЫСОТА, мм"," ")</f>
        <v xml:space="preserve"> </v>
      </c>
      <c r="T139" s="1295" t="str">
        <f>IF(V3=Y3,"ДЛИНА, м"," ")</f>
        <v xml:space="preserve"> </v>
      </c>
      <c r="U139" s="1307" t="s">
        <v>334</v>
      </c>
      <c r="V139" s="1307" t="s">
        <v>306</v>
      </c>
      <c r="W139" s="1307" t="s">
        <v>303</v>
      </c>
      <c r="Y139" s="1308" t="s">
        <v>153</v>
      </c>
      <c r="Z139" s="1309"/>
      <c r="AA139" s="1319" t="s">
        <v>154</v>
      </c>
      <c r="AB139" s="1310" t="s">
        <v>254</v>
      </c>
      <c r="AC139" s="1310" t="s">
        <v>253</v>
      </c>
      <c r="AD139" s="1310" t="s">
        <v>600</v>
      </c>
      <c r="AE139" s="1315" t="s">
        <v>419</v>
      </c>
      <c r="AF139" s="1303" t="s">
        <v>309</v>
      </c>
      <c r="AG139" s="1305" t="s">
        <v>310</v>
      </c>
      <c r="AH139" s="1306"/>
      <c r="AI139" s="1305" t="s">
        <v>311</v>
      </c>
      <c r="AJ139" s="1306"/>
      <c r="AK139" s="1305" t="s">
        <v>312</v>
      </c>
      <c r="AL139" s="1306"/>
      <c r="AN139" s="436"/>
    </row>
    <row r="140" spans="1:40" ht="15" customHeight="1">
      <c r="B140" s="1037">
        <f>SUBTOTAL(3,$I$137:I140)</f>
        <v>4</v>
      </c>
      <c r="C140" s="1037">
        <f t="shared" si="20"/>
        <v>0</v>
      </c>
      <c r="D140" s="1013" t="str">
        <f t="shared" si="21"/>
        <v xml:space="preserve"> </v>
      </c>
      <c r="E140" s="1013" t="str">
        <f t="shared" si="22"/>
        <v xml:space="preserve"> </v>
      </c>
      <c r="F140" s="1250" t="str">
        <f t="shared" si="18"/>
        <v>не требуется</v>
      </c>
      <c r="G140" s="1250"/>
      <c r="H140" s="1250"/>
      <c r="I140" s="1013">
        <f t="shared" si="23"/>
        <v>0</v>
      </c>
      <c r="J140" s="1262">
        <f t="shared" si="24"/>
        <v>0</v>
      </c>
      <c r="K140" s="1262"/>
      <c r="L140" s="675">
        <f t="shared" si="25"/>
        <v>0</v>
      </c>
      <c r="N140" s="1032">
        <f t="shared" si="19"/>
        <v>0</v>
      </c>
      <c r="O140" s="1347"/>
      <c r="P140" s="1295"/>
      <c r="Q140" s="1296"/>
      <c r="R140" s="1295"/>
      <c r="S140" s="1295"/>
      <c r="T140" s="1295"/>
      <c r="U140" s="1307"/>
      <c r="V140" s="1307"/>
      <c r="W140" s="1307"/>
      <c r="Y140" s="1027" t="s">
        <v>157</v>
      </c>
      <c r="Z140" s="1027" t="s">
        <v>158</v>
      </c>
      <c r="AA140" s="1310"/>
      <c r="AB140" s="1311"/>
      <c r="AC140" s="1311"/>
      <c r="AD140" s="1311"/>
      <c r="AE140" s="1310"/>
      <c r="AF140" s="1304"/>
      <c r="AG140" s="1027" t="s">
        <v>314</v>
      </c>
      <c r="AH140" s="1027" t="s">
        <v>313</v>
      </c>
      <c r="AI140" s="1027" t="s">
        <v>314</v>
      </c>
      <c r="AJ140" s="1027" t="s">
        <v>313</v>
      </c>
      <c r="AK140" s="1027" t="s">
        <v>314</v>
      </c>
      <c r="AL140" s="1027" t="s">
        <v>313</v>
      </c>
      <c r="AN140" s="436"/>
    </row>
    <row r="141" spans="1:40" ht="15" customHeight="1">
      <c r="B141" s="1037">
        <f>SUBTOTAL(3,$I$137:I141)</f>
        <v>5</v>
      </c>
      <c r="C141" s="1037">
        <f t="shared" si="20"/>
        <v>0</v>
      </c>
      <c r="D141" s="1013" t="str">
        <f t="shared" si="21"/>
        <v xml:space="preserve"> </v>
      </c>
      <c r="E141" s="1013" t="str">
        <f t="shared" si="22"/>
        <v xml:space="preserve"> </v>
      </c>
      <c r="F141" s="1250" t="str">
        <f t="shared" si="18"/>
        <v>не требуется</v>
      </c>
      <c r="G141" s="1250"/>
      <c r="H141" s="1250"/>
      <c r="I141" s="1013">
        <f t="shared" si="23"/>
        <v>0</v>
      </c>
      <c r="J141" s="1262">
        <f t="shared" si="24"/>
        <v>0</v>
      </c>
      <c r="K141" s="1262"/>
      <c r="L141" s="675">
        <f t="shared" si="25"/>
        <v>0</v>
      </c>
      <c r="N141" s="1032">
        <f t="shared" si="19"/>
        <v>0</v>
      </c>
      <c r="O141" s="1347"/>
      <c r="P141" s="127"/>
      <c r="Q141" s="127"/>
      <c r="R141" s="124"/>
      <c r="S141" s="124"/>
      <c r="T141" s="124"/>
      <c r="U141" s="124"/>
      <c r="V141" s="124"/>
      <c r="W141" s="127"/>
      <c r="Y141" s="126">
        <f>(350+R141+S141)/1000*T141</f>
        <v>0</v>
      </c>
      <c r="Z141" s="126">
        <f>(450+R141+S141)/1000*T141</f>
        <v>0</v>
      </c>
      <c r="AA141" s="1297" t="s">
        <v>114</v>
      </c>
      <c r="AB141" s="1317"/>
      <c r="AC141" s="1317"/>
      <c r="AD141" s="1298"/>
      <c r="AE141" s="126">
        <f>IF(Q141=$Z$15,0,IF(Q141=$Z$17,(T141*(U141+V141)/1000),Y141))</f>
        <v>0</v>
      </c>
      <c r="AF141" s="221">
        <f>ROUNDUP(IF($AF$6=1,U141/1000*V141/1000*T141*1.03,0),1)</f>
        <v>0</v>
      </c>
      <c r="AG141" s="1297" t="s">
        <v>308</v>
      </c>
      <c r="AH141" s="1298"/>
      <c r="AI141" s="1297" t="s">
        <v>308</v>
      </c>
      <c r="AJ141" s="1298"/>
      <c r="AK141" s="1297" t="s">
        <v>308</v>
      </c>
      <c r="AL141" s="1298"/>
      <c r="AN141" s="437">
        <f>IFERROR(MATCH(Q141,$Z$15:$Z$20,0),0)</f>
        <v>0</v>
      </c>
    </row>
    <row r="142" spans="1:40" ht="15" customHeight="1">
      <c r="B142" s="1037">
        <f>SUBTOTAL(3,$I$137:I142)</f>
        <v>6</v>
      </c>
      <c r="C142" s="1037">
        <f t="shared" si="20"/>
        <v>0</v>
      </c>
      <c r="D142" s="1013" t="str">
        <f t="shared" si="21"/>
        <v xml:space="preserve"> </v>
      </c>
      <c r="E142" s="1013" t="str">
        <f t="shared" si="22"/>
        <v xml:space="preserve"> </v>
      </c>
      <c r="F142" s="1250" t="str">
        <f t="shared" si="18"/>
        <v>не требуется</v>
      </c>
      <c r="G142" s="1250"/>
      <c r="H142" s="1250"/>
      <c r="I142" s="1013">
        <f t="shared" si="23"/>
        <v>0</v>
      </c>
      <c r="J142" s="1262">
        <f t="shared" si="24"/>
        <v>0</v>
      </c>
      <c r="K142" s="1262"/>
      <c r="L142" s="675">
        <f t="shared" si="25"/>
        <v>0</v>
      </c>
      <c r="N142" s="1032">
        <f t="shared" si="19"/>
        <v>0</v>
      </c>
      <c r="O142" s="1347"/>
      <c r="P142" s="127"/>
      <c r="Q142" s="127"/>
      <c r="R142" s="124"/>
      <c r="S142" s="124"/>
      <c r="T142" s="124"/>
      <c r="U142" s="124"/>
      <c r="V142" s="124"/>
      <c r="W142" s="127"/>
      <c r="Y142" s="103">
        <f>(350+R142+S142)/1000*T142</f>
        <v>0</v>
      </c>
      <c r="Z142" s="103">
        <f>(450+R142+S142)/1000*T142</f>
        <v>0</v>
      </c>
      <c r="AA142" s="1299"/>
      <c r="AB142" s="1318"/>
      <c r="AC142" s="1318"/>
      <c r="AD142" s="1300"/>
      <c r="AE142" s="103">
        <f>IF(Q142=$Z$15,0,IF(Q142=$Z$17,(T142*(U142+V142)/1000),Y142))</f>
        <v>0</v>
      </c>
      <c r="AF142" s="237">
        <f>ROUNDUP(IF($AF$6=1,U142/1000*V142/1000*T142*1.03,0),1)</f>
        <v>0</v>
      </c>
      <c r="AG142" s="1299"/>
      <c r="AH142" s="1300"/>
      <c r="AI142" s="1299"/>
      <c r="AJ142" s="1300"/>
      <c r="AK142" s="1299"/>
      <c r="AL142" s="1300"/>
      <c r="AN142" s="437">
        <f>IFERROR(MATCH(Q142,$Z$15:$Z$20,0),0)</f>
        <v>0</v>
      </c>
    </row>
    <row r="143" spans="1:40" ht="15" customHeight="1">
      <c r="B143" s="1037">
        <f>SUBTOTAL(3,$I$137:I143)</f>
        <v>7</v>
      </c>
      <c r="C143" s="1037">
        <f t="shared" si="20"/>
        <v>0</v>
      </c>
      <c r="D143" s="1013" t="str">
        <f t="shared" si="21"/>
        <v xml:space="preserve"> </v>
      </c>
      <c r="E143" s="1013" t="str">
        <f t="shared" si="22"/>
        <v xml:space="preserve"> </v>
      </c>
      <c r="F143" s="1250" t="str">
        <f t="shared" si="18"/>
        <v>не требуется</v>
      </c>
      <c r="G143" s="1250"/>
      <c r="H143" s="1250"/>
      <c r="I143" s="1013">
        <f t="shared" si="23"/>
        <v>0</v>
      </c>
      <c r="J143" s="1262">
        <f t="shared" si="24"/>
        <v>0</v>
      </c>
      <c r="K143" s="1262"/>
      <c r="L143" s="675">
        <f t="shared" si="25"/>
        <v>0</v>
      </c>
      <c r="N143" s="1032">
        <f t="shared" si="19"/>
        <v>0</v>
      </c>
      <c r="O143" s="1347"/>
      <c r="P143" s="127"/>
      <c r="Q143" s="127"/>
      <c r="R143" s="124"/>
      <c r="S143" s="124"/>
      <c r="T143" s="124"/>
      <c r="U143" s="124"/>
      <c r="V143" s="124"/>
      <c r="W143" s="127"/>
      <c r="Y143" s="126">
        <f>(350+R143+S143)/1000*T143</f>
        <v>0</v>
      </c>
      <c r="Z143" s="126">
        <f>(450+R143+S143)/1000*T143</f>
        <v>0</v>
      </c>
      <c r="AA143" s="1299"/>
      <c r="AB143" s="1318"/>
      <c r="AC143" s="1318"/>
      <c r="AD143" s="1300"/>
      <c r="AE143" s="126">
        <f>IF(Q143=$Z$15,0,IF(Q143=$Z$17,(T143*(U143+V143)/1000),Y143))</f>
        <v>0</v>
      </c>
      <c r="AF143" s="221">
        <f>ROUNDUP(IF($AF$6=1,U143/1000*V143/1000*T143*1.03,0),1)</f>
        <v>0</v>
      </c>
      <c r="AG143" s="1299"/>
      <c r="AH143" s="1300"/>
      <c r="AI143" s="1299"/>
      <c r="AJ143" s="1300"/>
      <c r="AK143" s="1299"/>
      <c r="AL143" s="1300"/>
      <c r="AN143" s="437">
        <f>IFERROR(MATCH(Q143,$Z$15:$Z$20,0),0)</f>
        <v>0</v>
      </c>
    </row>
    <row r="144" spans="1:40" ht="15" customHeight="1">
      <c r="B144" s="1037">
        <f>SUBTOTAL(3,$I$137:I144)</f>
        <v>8</v>
      </c>
      <c r="C144" s="1037">
        <f t="shared" si="20"/>
        <v>0</v>
      </c>
      <c r="D144" s="1013" t="str">
        <f t="shared" si="21"/>
        <v xml:space="preserve"> </v>
      </c>
      <c r="E144" s="1013" t="str">
        <f t="shared" si="22"/>
        <v xml:space="preserve"> </v>
      </c>
      <c r="F144" s="1250" t="str">
        <f t="shared" si="18"/>
        <v>не требуется</v>
      </c>
      <c r="G144" s="1250"/>
      <c r="H144" s="1250"/>
      <c r="I144" s="1013">
        <f t="shared" si="23"/>
        <v>0</v>
      </c>
      <c r="J144" s="1262">
        <f t="shared" si="24"/>
        <v>0</v>
      </c>
      <c r="K144" s="1262"/>
      <c r="L144" s="675">
        <f t="shared" si="25"/>
        <v>0</v>
      </c>
      <c r="N144" s="1032">
        <f t="shared" si="19"/>
        <v>0</v>
      </c>
      <c r="O144" s="1347"/>
      <c r="P144" s="127"/>
      <c r="Q144" s="127"/>
      <c r="R144" s="124"/>
      <c r="S144" s="124"/>
      <c r="T144" s="124"/>
      <c r="U144" s="124"/>
      <c r="V144" s="124"/>
      <c r="W144" s="127"/>
      <c r="Y144" s="103">
        <f>(350+R144+S144)/1000*T144</f>
        <v>0</v>
      </c>
      <c r="Z144" s="103">
        <f>(450+R144+S144)/1000*T144</f>
        <v>0</v>
      </c>
      <c r="AA144" s="1299"/>
      <c r="AB144" s="1318"/>
      <c r="AC144" s="1318"/>
      <c r="AD144" s="1300"/>
      <c r="AE144" s="103">
        <f>IF(Q144=$Z$15,0,IF(Q144=$Z$17,(T144*(U144+V144)/1000),Y144))</f>
        <v>0</v>
      </c>
      <c r="AF144" s="237">
        <f>ROUNDUP(IF($AF$6=1,U144/1000*V144/1000*T144*1.03,0),1)</f>
        <v>0</v>
      </c>
      <c r="AG144" s="1299"/>
      <c r="AH144" s="1300"/>
      <c r="AI144" s="1299"/>
      <c r="AJ144" s="1300"/>
      <c r="AK144" s="1299"/>
      <c r="AL144" s="1300"/>
      <c r="AN144" s="437">
        <f>IFERROR(MATCH(Q144,$Z$15:$Z$20,0),0)</f>
        <v>0</v>
      </c>
    </row>
    <row r="145" spans="2:40" ht="15" customHeight="1">
      <c r="B145" s="1037">
        <f>SUBTOTAL(3,$I$137:I145)</f>
        <v>9</v>
      </c>
      <c r="C145" s="1037">
        <f t="shared" si="20"/>
        <v>0</v>
      </c>
      <c r="D145" s="1013" t="str">
        <f t="shared" si="21"/>
        <v xml:space="preserve"> </v>
      </c>
      <c r="E145" s="1013" t="str">
        <f t="shared" si="22"/>
        <v xml:space="preserve"> </v>
      </c>
      <c r="F145" s="1250" t="str">
        <f t="shared" si="18"/>
        <v>не требуется</v>
      </c>
      <c r="G145" s="1250"/>
      <c r="H145" s="1250"/>
      <c r="I145" s="1013">
        <f t="shared" si="23"/>
        <v>0</v>
      </c>
      <c r="J145" s="1262">
        <f t="shared" si="24"/>
        <v>0</v>
      </c>
      <c r="K145" s="1262"/>
      <c r="L145" s="675">
        <f t="shared" si="25"/>
        <v>0</v>
      </c>
      <c r="N145" s="1032">
        <f t="shared" si="19"/>
        <v>0</v>
      </c>
      <c r="O145" s="1347"/>
      <c r="P145" s="127"/>
      <c r="Q145" s="127"/>
      <c r="R145" s="124"/>
      <c r="S145" s="124"/>
      <c r="T145" s="124"/>
      <c r="U145" s="124"/>
      <c r="V145" s="124"/>
      <c r="W145" s="127"/>
      <c r="Y145" s="220">
        <f>(350+R145+S145)/1000*T145</f>
        <v>0</v>
      </c>
      <c r="Z145" s="220">
        <f>(450+R145+S145)/1000*T145</f>
        <v>0</v>
      </c>
      <c r="AA145" s="1299"/>
      <c r="AB145" s="1318"/>
      <c r="AC145" s="1318"/>
      <c r="AD145" s="1300"/>
      <c r="AE145" s="126">
        <f>IF(Q145=$Z$15,0,IF(Q145=$Z$17,(T145*(U145+V145)/1000),Y145))</f>
        <v>0</v>
      </c>
      <c r="AF145" s="221">
        <f>ROUNDUP(IF($AF$6=1,U145/1000*V145/1000*T145*1.03,0),1)</f>
        <v>0</v>
      </c>
      <c r="AG145" s="1301"/>
      <c r="AH145" s="1302"/>
      <c r="AI145" s="1301"/>
      <c r="AJ145" s="1302"/>
      <c r="AK145" s="1301"/>
      <c r="AL145" s="1302"/>
      <c r="AN145" s="437">
        <f>IFERROR(MATCH(Q145,$Z$15:$Z$20,0),0)</f>
        <v>0</v>
      </c>
    </row>
    <row r="146" spans="2:40" ht="15" customHeight="1">
      <c r="B146" s="1037">
        <f>SUBTOTAL(3,$I$137:I146)</f>
        <v>10</v>
      </c>
      <c r="C146" s="1037">
        <f t="shared" si="20"/>
        <v>0</v>
      </c>
      <c r="D146" s="1013" t="str">
        <f t="shared" si="21"/>
        <v xml:space="preserve"> </v>
      </c>
      <c r="E146" s="1013" t="str">
        <f t="shared" si="22"/>
        <v xml:space="preserve"> </v>
      </c>
      <c r="F146" s="1250" t="str">
        <f t="shared" si="18"/>
        <v>не требуется</v>
      </c>
      <c r="G146" s="1250"/>
      <c r="H146" s="1250"/>
      <c r="I146" s="1013">
        <f t="shared" si="23"/>
        <v>0</v>
      </c>
      <c r="J146" s="1262">
        <f t="shared" si="24"/>
        <v>0</v>
      </c>
      <c r="K146" s="1262"/>
      <c r="L146" s="675">
        <f t="shared" si="25"/>
        <v>0</v>
      </c>
      <c r="N146" s="1032">
        <f t="shared" si="19"/>
        <v>0</v>
      </c>
      <c r="O146" s="1051"/>
      <c r="Q146" s="1316" t="str">
        <f>IF(V3=Y3,"Прим. к вертикальным стенам"," ")</f>
        <v xml:space="preserve"> </v>
      </c>
      <c r="R146" s="1316"/>
      <c r="S146" s="1316"/>
      <c r="T146" s="1316"/>
      <c r="U146" s="227"/>
      <c r="V146" s="227"/>
      <c r="W146" s="227"/>
      <c r="Y146" s="1312" t="s">
        <v>160</v>
      </c>
      <c r="Z146" s="1313"/>
      <c r="AA146" s="1313"/>
      <c r="AB146" s="1313"/>
      <c r="AC146" s="1313"/>
      <c r="AD146" s="1313"/>
      <c r="AE146" s="1314"/>
      <c r="AN146" s="436"/>
    </row>
    <row r="147" spans="2:40" ht="15" customHeight="1">
      <c r="B147" s="1037">
        <f>SUBTOTAL(3,$I$137:I147)</f>
        <v>11</v>
      </c>
      <c r="C147" s="1037">
        <f t="shared" si="20"/>
        <v>0</v>
      </c>
      <c r="D147" s="1013" t="str">
        <f t="shared" si="21"/>
        <v xml:space="preserve"> </v>
      </c>
      <c r="E147" s="1013" t="str">
        <f t="shared" si="22"/>
        <v xml:space="preserve"> </v>
      </c>
      <c r="F147" s="1250" t="str">
        <f t="shared" si="18"/>
        <v>не требуется</v>
      </c>
      <c r="G147" s="1250"/>
      <c r="H147" s="1250"/>
      <c r="I147" s="1013">
        <f t="shared" si="23"/>
        <v>0</v>
      </c>
      <c r="J147" s="1262">
        <f t="shared" si="24"/>
        <v>0</v>
      </c>
      <c r="K147" s="1262"/>
      <c r="L147" s="675">
        <f t="shared" si="25"/>
        <v>0</v>
      </c>
      <c r="N147" s="1032">
        <f t="shared" si="19"/>
        <v>0</v>
      </c>
      <c r="O147" s="1051"/>
      <c r="P147" s="1295" t="s">
        <v>302</v>
      </c>
      <c r="Q147" s="1296" t="str">
        <f>IF(V3=Y3,"ТИПЫ"," ")</f>
        <v xml:space="preserve"> </v>
      </c>
      <c r="R147" s="1295"/>
      <c r="S147" s="1295" t="str">
        <f>IF(W3=Z4,"ВЫСОТА, мм"," ")</f>
        <v xml:space="preserve"> </v>
      </c>
      <c r="T147" s="1295" t="str">
        <f>IF(V3=Y3,"ДЛИНА, м"," ")</f>
        <v xml:space="preserve"> </v>
      </c>
      <c r="U147" s="1307" t="s">
        <v>334</v>
      </c>
      <c r="V147" s="1307" t="s">
        <v>306</v>
      </c>
      <c r="W147" s="1307" t="s">
        <v>303</v>
      </c>
      <c r="Y147" s="1308" t="s">
        <v>153</v>
      </c>
      <c r="Z147" s="1309"/>
      <c r="AA147" s="1310" t="s">
        <v>162</v>
      </c>
      <c r="AB147" s="1310" t="s">
        <v>254</v>
      </c>
      <c r="AC147" s="1310" t="s">
        <v>253</v>
      </c>
      <c r="AD147" s="1310" t="s">
        <v>600</v>
      </c>
      <c r="AE147" s="1315" t="s">
        <v>419</v>
      </c>
      <c r="AF147" s="1303" t="s">
        <v>309</v>
      </c>
      <c r="AG147" s="1305" t="s">
        <v>310</v>
      </c>
      <c r="AH147" s="1306"/>
      <c r="AI147" s="1305" t="s">
        <v>311</v>
      </c>
      <c r="AJ147" s="1306"/>
      <c r="AK147" s="1305" t="s">
        <v>312</v>
      </c>
      <c r="AL147" s="1306"/>
      <c r="AN147" s="436"/>
    </row>
    <row r="148" spans="2:40" ht="15" customHeight="1">
      <c r="B148" s="1037">
        <f>SUBTOTAL(3,$I$137:I148)</f>
        <v>12</v>
      </c>
      <c r="C148" s="1037">
        <f t="shared" si="20"/>
        <v>0</v>
      </c>
      <c r="D148" s="1013" t="str">
        <f t="shared" si="21"/>
        <v xml:space="preserve"> </v>
      </c>
      <c r="E148" s="1013" t="str">
        <f t="shared" si="22"/>
        <v xml:space="preserve"> </v>
      </c>
      <c r="F148" s="1250" t="str">
        <f t="shared" si="18"/>
        <v>не требуется</v>
      </c>
      <c r="G148" s="1250"/>
      <c r="H148" s="1250"/>
      <c r="I148" s="1013">
        <f t="shared" si="23"/>
        <v>0</v>
      </c>
      <c r="J148" s="1262">
        <f t="shared" si="24"/>
        <v>0</v>
      </c>
      <c r="K148" s="1262"/>
      <c r="L148" s="675">
        <f t="shared" si="25"/>
        <v>0</v>
      </c>
      <c r="N148" s="1032">
        <f t="shared" si="19"/>
        <v>0</v>
      </c>
      <c r="O148" s="1051"/>
      <c r="P148" s="1295"/>
      <c r="Q148" s="1296"/>
      <c r="R148" s="1295"/>
      <c r="S148" s="1295"/>
      <c r="T148" s="1295"/>
      <c r="U148" s="1307"/>
      <c r="V148" s="1307"/>
      <c r="W148" s="1307"/>
      <c r="Y148" s="1027" t="s">
        <v>157</v>
      </c>
      <c r="Z148" s="1027" t="s">
        <v>158</v>
      </c>
      <c r="AA148" s="1311"/>
      <c r="AB148" s="1311"/>
      <c r="AC148" s="1311"/>
      <c r="AD148" s="1311"/>
      <c r="AE148" s="1310"/>
      <c r="AF148" s="1304"/>
      <c r="AG148" s="1027" t="s">
        <v>314</v>
      </c>
      <c r="AH148" s="1027" t="s">
        <v>313</v>
      </c>
      <c r="AI148" s="1027" t="s">
        <v>314</v>
      </c>
      <c r="AJ148" s="1027" t="s">
        <v>313</v>
      </c>
      <c r="AK148" s="1027" t="s">
        <v>314</v>
      </c>
      <c r="AL148" s="1027" t="s">
        <v>313</v>
      </c>
      <c r="AN148" s="436"/>
    </row>
    <row r="149" spans="2:40" ht="15" customHeight="1">
      <c r="B149" s="1037">
        <f>SUBTOTAL(3,$I$137:I149)</f>
        <v>13</v>
      </c>
      <c r="C149" s="1037">
        <f t="shared" si="20"/>
        <v>0</v>
      </c>
      <c r="D149" s="1013" t="str">
        <f t="shared" si="21"/>
        <v xml:space="preserve"> </v>
      </c>
      <c r="E149" s="1013" t="str">
        <f t="shared" si="22"/>
        <v xml:space="preserve"> </v>
      </c>
      <c r="F149" s="1250" t="str">
        <f t="shared" si="18"/>
        <v>не требуется</v>
      </c>
      <c r="G149" s="1250"/>
      <c r="H149" s="1250"/>
      <c r="I149" s="1013">
        <f t="shared" si="23"/>
        <v>0</v>
      </c>
      <c r="J149" s="1262">
        <f t="shared" si="24"/>
        <v>0</v>
      </c>
      <c r="K149" s="1262"/>
      <c r="L149" s="675">
        <f t="shared" si="25"/>
        <v>0</v>
      </c>
      <c r="N149" s="1032">
        <f t="shared" si="19"/>
        <v>0</v>
      </c>
      <c r="O149" s="1051"/>
      <c r="P149" s="127"/>
      <c r="Q149" s="127"/>
      <c r="R149" s="124"/>
      <c r="S149" s="124"/>
      <c r="T149" s="124"/>
      <c r="U149" s="124"/>
      <c r="V149" s="124"/>
      <c r="W149" s="127"/>
      <c r="Y149" s="126">
        <f>T149*(250+S149)/1000</f>
        <v>0</v>
      </c>
      <c r="Z149" s="126">
        <f>T149*800/1000</f>
        <v>0</v>
      </c>
      <c r="AA149" s="126">
        <f>T149</f>
        <v>0</v>
      </c>
      <c r="AB149" s="126">
        <f>ROUNDUP(IF(OR(Q149=$Z$15,Q149=$Z$17,Q149=$Z$19),AA149,0),0)</f>
        <v>0</v>
      </c>
      <c r="AC149" s="126">
        <f>ROUNDUP(IF(OR(Q149=$Z$16,Q149=$Z$18,Q149=$Z$20),AA149,0),0)</f>
        <v>0</v>
      </c>
      <c r="AD149" s="126">
        <f>ROUNDUP(IF(OR(Q149=$Z$16,Q149=$Z$18,Q149=$Z$20),AA149*5*1.03,0),0)</f>
        <v>0</v>
      </c>
      <c r="AE149" s="126">
        <f>IF(Q149=$Z$15,0,IF(Q149=$Z$17,(T149*(U149+V149)/1000),Y149))</f>
        <v>0</v>
      </c>
      <c r="AF149" s="221">
        <f>ROUNDUP(IF($AF$7=1,U149/1000*V149/1000*T149*1.03,0),1)</f>
        <v>0</v>
      </c>
      <c r="AG149" s="1297" t="s">
        <v>308</v>
      </c>
      <c r="AH149" s="1298"/>
      <c r="AI149" s="1297" t="s">
        <v>308</v>
      </c>
      <c r="AJ149" s="1298"/>
      <c r="AK149" s="1297" t="s">
        <v>308</v>
      </c>
      <c r="AL149" s="1298"/>
      <c r="AN149" s="437">
        <f>IFERROR(MATCH(Q149,$Z$15:$Z$20,0),0)</f>
        <v>0</v>
      </c>
    </row>
    <row r="150" spans="2:40" ht="15" customHeight="1">
      <c r="B150" s="1037">
        <f>SUBTOTAL(3,$I$137:I150)</f>
        <v>14</v>
      </c>
      <c r="C150" s="1037">
        <f t="shared" si="20"/>
        <v>0</v>
      </c>
      <c r="D150" s="1013" t="str">
        <f t="shared" si="21"/>
        <v xml:space="preserve"> </v>
      </c>
      <c r="E150" s="1013" t="str">
        <f t="shared" si="22"/>
        <v xml:space="preserve"> </v>
      </c>
      <c r="F150" s="1250" t="str">
        <f t="shared" si="18"/>
        <v>не требуется</v>
      </c>
      <c r="G150" s="1250"/>
      <c r="H150" s="1250"/>
      <c r="I150" s="1013">
        <f t="shared" si="23"/>
        <v>0</v>
      </c>
      <c r="J150" s="1262">
        <f t="shared" si="24"/>
        <v>0</v>
      </c>
      <c r="K150" s="1262"/>
      <c r="L150" s="675">
        <f t="shared" si="25"/>
        <v>0</v>
      </c>
      <c r="N150" s="1032">
        <f t="shared" si="19"/>
        <v>0</v>
      </c>
      <c r="O150" s="1051"/>
      <c r="P150" s="127"/>
      <c r="Q150" s="127"/>
      <c r="R150" s="124"/>
      <c r="S150" s="124"/>
      <c r="T150" s="124"/>
      <c r="U150" s="124"/>
      <c r="V150" s="124"/>
      <c r="W150" s="127"/>
      <c r="Y150" s="103">
        <f>T150*(250+S150)/1000</f>
        <v>0</v>
      </c>
      <c r="Z150" s="103">
        <f>T150*800/1000</f>
        <v>0</v>
      </c>
      <c r="AA150" s="103">
        <f>T150</f>
        <v>0</v>
      </c>
      <c r="AB150" s="121">
        <f>ROUNDUP(IF(OR(Q150=$Z$15,Q150=$Z$17,Q150=$Z$19),AA150,0),0)</f>
        <v>0</v>
      </c>
      <c r="AC150" s="121">
        <f>ROUNDUP(IF(OR(Q150=$Z$16,Q150=$Z$18,Q150=$Z$20),AA150,0),0)</f>
        <v>0</v>
      </c>
      <c r="AD150" s="121">
        <f>ROUNDUP(IF(OR(Q150=$Z$16,Q150=$Z$18,Q150=$Z$20),AA150*5*1.03,0),0)</f>
        <v>0</v>
      </c>
      <c r="AE150" s="121">
        <f>IF(Q150=$Z$15,0,IF(Q150=$Z$17,(T150*(U150+V150)/1000),Y150))</f>
        <v>0</v>
      </c>
      <c r="AF150" s="237">
        <f>ROUNDUP(IF($AF$7=1,U150/1000*V150/1000*T150*1.03,0),1)</f>
        <v>0</v>
      </c>
      <c r="AG150" s="1299"/>
      <c r="AH150" s="1300"/>
      <c r="AI150" s="1299"/>
      <c r="AJ150" s="1300"/>
      <c r="AK150" s="1299"/>
      <c r="AL150" s="1300"/>
      <c r="AN150" s="437">
        <f>IFERROR(MATCH(Q150,$Z$15:$Z$20,0),0)</f>
        <v>0</v>
      </c>
    </row>
    <row r="151" spans="2:40" ht="15" customHeight="1">
      <c r="B151" s="1037">
        <f>SUBTOTAL(3,$I$137:I151)</f>
        <v>15</v>
      </c>
      <c r="C151" s="1037">
        <f t="shared" si="20"/>
        <v>0</v>
      </c>
      <c r="D151" s="1013" t="str">
        <f t="shared" si="21"/>
        <v xml:space="preserve"> </v>
      </c>
      <c r="E151" s="1013" t="str">
        <f t="shared" si="22"/>
        <v xml:space="preserve"> </v>
      </c>
      <c r="F151" s="1250" t="str">
        <f t="shared" si="18"/>
        <v>не требуется</v>
      </c>
      <c r="G151" s="1250"/>
      <c r="H151" s="1250"/>
      <c r="I151" s="1013">
        <f t="shared" si="23"/>
        <v>0</v>
      </c>
      <c r="J151" s="1262">
        <f t="shared" si="24"/>
        <v>0</v>
      </c>
      <c r="K151" s="1262"/>
      <c r="L151" s="675">
        <f t="shared" si="25"/>
        <v>0</v>
      </c>
      <c r="N151" s="1032">
        <f t="shared" si="19"/>
        <v>0</v>
      </c>
      <c r="O151" s="1051"/>
      <c r="P151" s="127"/>
      <c r="Q151" s="127"/>
      <c r="R151" s="124"/>
      <c r="S151" s="124"/>
      <c r="T151" s="124"/>
      <c r="U151" s="124"/>
      <c r="V151" s="124"/>
      <c r="W151" s="127"/>
      <c r="Y151" s="126">
        <f>T151*(250+S151)/1000</f>
        <v>0</v>
      </c>
      <c r="Z151" s="126">
        <f>T151*800/1000</f>
        <v>0</v>
      </c>
      <c r="AA151" s="126">
        <f>T151</f>
        <v>0</v>
      </c>
      <c r="AB151" s="126">
        <f>ROUNDUP(IF(OR(Q151=$Z$15,Q151=$Z$17,Q151=$Z$19),AA151,0),0)</f>
        <v>0</v>
      </c>
      <c r="AC151" s="126">
        <f>ROUNDUP(IF(OR(Q151=$Z$16,Q151=$Z$18,Q151=$Z$20),AA151,0),0)</f>
        <v>0</v>
      </c>
      <c r="AD151" s="126">
        <f>ROUNDUP(IF(OR(Q151=$Z$16,Q151=$Z$18,Q151=$Z$20),AA151*5*1.03,0),0)</f>
        <v>0</v>
      </c>
      <c r="AE151" s="126">
        <f>IF(Q151=$Z$15,0,IF(Q151=$Z$17,(T151*(U151+V151)/1000),Y151))</f>
        <v>0</v>
      </c>
      <c r="AF151" s="221">
        <f>ROUNDUP(IF($AF$7=1,U151/1000*V151/1000*T151*1.03,0),1)</f>
        <v>0</v>
      </c>
      <c r="AG151" s="1299"/>
      <c r="AH151" s="1300"/>
      <c r="AI151" s="1299"/>
      <c r="AJ151" s="1300"/>
      <c r="AK151" s="1299"/>
      <c r="AL151" s="1300"/>
      <c r="AN151" s="437">
        <f>IFERROR(MATCH(Q151,$Z$15:$Z$20,0),0)</f>
        <v>0</v>
      </c>
    </row>
    <row r="152" spans="2:40" ht="15" customHeight="1" thickBot="1">
      <c r="B152" s="1037">
        <f>SUBTOTAL(3,$I$137:I152)</f>
        <v>16</v>
      </c>
      <c r="C152" s="1037">
        <f t="shared" si="20"/>
        <v>0</v>
      </c>
      <c r="D152" s="1013" t="str">
        <f t="shared" si="21"/>
        <v xml:space="preserve"> </v>
      </c>
      <c r="E152" s="1013" t="str">
        <f t="shared" si="22"/>
        <v xml:space="preserve"> </v>
      </c>
      <c r="F152" s="1250" t="str">
        <f t="shared" si="18"/>
        <v>не требуется</v>
      </c>
      <c r="G152" s="1250"/>
      <c r="H152" s="1250"/>
      <c r="I152" s="1013">
        <f t="shared" si="23"/>
        <v>0</v>
      </c>
      <c r="J152" s="1262">
        <f t="shared" si="24"/>
        <v>0</v>
      </c>
      <c r="K152" s="1262"/>
      <c r="L152" s="675">
        <f t="shared" si="25"/>
        <v>0</v>
      </c>
      <c r="N152" s="1032">
        <f t="shared" si="19"/>
        <v>0</v>
      </c>
      <c r="O152" s="1051"/>
      <c r="P152" s="127"/>
      <c r="Q152" s="127"/>
      <c r="R152" s="124"/>
      <c r="S152" s="124"/>
      <c r="T152" s="124"/>
      <c r="U152" s="124"/>
      <c r="V152" s="124"/>
      <c r="W152" s="127"/>
      <c r="Y152" s="103">
        <f>T152*(250+S152)/1000</f>
        <v>0</v>
      </c>
      <c r="Z152" s="103">
        <f>T152*800/1000</f>
        <v>0</v>
      </c>
      <c r="AA152" s="103">
        <f>T152</f>
        <v>0</v>
      </c>
      <c r="AB152" s="121">
        <f>ROUNDUP(IF(OR(Q152=$Z$15,Q152=$Z$17,Q152=$Z$19),AA152,0),0)</f>
        <v>0</v>
      </c>
      <c r="AC152" s="121">
        <f>ROUNDUP(IF(OR(Q152=$Z$16,Q152=$Z$18,Q152=$Z$20),AA152,0),0)</f>
        <v>0</v>
      </c>
      <c r="AD152" s="121">
        <f>ROUNDUP(IF(OR(Q152=$Z$16,Q152=$Z$18,Q152=$Z$20),AA152*5*1.03,0),0)</f>
        <v>0</v>
      </c>
      <c r="AE152" s="121">
        <f>IF(Q152=$Z$15,0,IF(Q152=$Z$17,(T152*(U152+V152)/1000),Y152))</f>
        <v>0</v>
      </c>
      <c r="AF152" s="237">
        <f>ROUNDUP(IF($AF$7=1,U152/1000*V152/1000*T152*1.03,0),1)</f>
        <v>0</v>
      </c>
      <c r="AG152" s="1301"/>
      <c r="AH152" s="1302"/>
      <c r="AI152" s="1301"/>
      <c r="AJ152" s="1302"/>
      <c r="AK152" s="1301"/>
      <c r="AL152" s="1302"/>
      <c r="AN152" s="439">
        <f>IFERROR(MATCH(Q152,$Z$15:$Z$20,0),0)</f>
        <v>0</v>
      </c>
    </row>
    <row r="153" spans="2:40" ht="15" customHeight="1">
      <c r="B153" s="1037">
        <f>SUBTOTAL(3,$I$137:I153)</f>
        <v>17</v>
      </c>
      <c r="C153" s="1037">
        <f t="shared" si="20"/>
        <v>0</v>
      </c>
      <c r="D153" s="1013" t="str">
        <f t="shared" si="21"/>
        <v xml:space="preserve"> </v>
      </c>
      <c r="E153" s="1013" t="str">
        <f t="shared" si="22"/>
        <v xml:space="preserve"> </v>
      </c>
      <c r="F153" s="1250" t="str">
        <f t="shared" si="18"/>
        <v>не требуется</v>
      </c>
      <c r="G153" s="1250"/>
      <c r="H153" s="1250"/>
      <c r="I153" s="1013">
        <f t="shared" si="23"/>
        <v>0</v>
      </c>
      <c r="J153" s="1262">
        <f t="shared" si="24"/>
        <v>0</v>
      </c>
      <c r="K153" s="1262"/>
      <c r="L153" s="675">
        <f t="shared" si="25"/>
        <v>0</v>
      </c>
      <c r="N153" s="1032">
        <f t="shared" si="19"/>
        <v>0</v>
      </c>
      <c r="Q153" s="1051"/>
      <c r="R153" s="1292" t="str">
        <f>IF(V3=Y3,"Открытый водосток"," ")</f>
        <v xml:space="preserve"> </v>
      </c>
      <c r="S153" s="1292"/>
      <c r="T153" s="1292"/>
      <c r="Y153" s="1293" t="s">
        <v>166</v>
      </c>
      <c r="Z153" s="1294"/>
      <c r="AN153" s="1"/>
    </row>
    <row r="154" spans="2:40" ht="15" customHeight="1">
      <c r="B154" s="1037">
        <f>SUBTOTAL(3,$I$137:I154)</f>
        <v>18</v>
      </c>
      <c r="C154" s="1037">
        <f t="shared" si="20"/>
        <v>0</v>
      </c>
      <c r="D154" s="1013" t="str">
        <f t="shared" si="21"/>
        <v xml:space="preserve"> </v>
      </c>
      <c r="E154" s="1013" t="str">
        <f t="shared" si="22"/>
        <v xml:space="preserve"> </v>
      </c>
      <c r="F154" s="1250" t="str">
        <f t="shared" si="18"/>
        <v>не требуется</v>
      </c>
      <c r="G154" s="1250"/>
      <c r="H154" s="1250"/>
      <c r="I154" s="1013">
        <f t="shared" si="23"/>
        <v>0</v>
      </c>
      <c r="J154" s="1262">
        <f t="shared" si="24"/>
        <v>0</v>
      </c>
      <c r="K154" s="1262"/>
      <c r="L154" s="675">
        <f t="shared" si="25"/>
        <v>0</v>
      </c>
      <c r="N154" s="1032">
        <f t="shared" si="19"/>
        <v>0</v>
      </c>
      <c r="Q154" s="1051"/>
      <c r="R154" s="1295" t="s">
        <v>302</v>
      </c>
      <c r="S154" s="1296" t="str">
        <f>IF(V3=Y3,"ТИПЫ"," ")</f>
        <v xml:space="preserve"> </v>
      </c>
      <c r="T154" s="1295" t="str">
        <f>IF(V3=Y3,"ДЛИНА, м"," ")</f>
        <v xml:space="preserve"> </v>
      </c>
      <c r="Y154" s="1290" t="s">
        <v>153</v>
      </c>
      <c r="Z154" s="1291"/>
    </row>
    <row r="155" spans="2:40" ht="15" customHeight="1">
      <c r="B155" s="1037">
        <f>SUBTOTAL(3,$I$137:I155)</f>
        <v>19</v>
      </c>
      <c r="C155" s="1037">
        <f t="shared" si="20"/>
        <v>0</v>
      </c>
      <c r="D155" s="1013" t="str">
        <f t="shared" si="21"/>
        <v xml:space="preserve"> </v>
      </c>
      <c r="E155" s="1013" t="str">
        <f t="shared" si="22"/>
        <v xml:space="preserve"> </v>
      </c>
      <c r="F155" s="1250" t="str">
        <f t="shared" si="18"/>
        <v>не требуется</v>
      </c>
      <c r="G155" s="1250"/>
      <c r="H155" s="1250"/>
      <c r="I155" s="1013">
        <f t="shared" si="23"/>
        <v>0</v>
      </c>
      <c r="J155" s="1262">
        <f t="shared" si="24"/>
        <v>0</v>
      </c>
      <c r="K155" s="1262"/>
      <c r="L155" s="675">
        <f t="shared" si="25"/>
        <v>0</v>
      </c>
      <c r="N155" s="1032">
        <f t="shared" si="19"/>
        <v>0</v>
      </c>
      <c r="Q155" s="1051"/>
      <c r="R155" s="1295"/>
      <c r="S155" s="1296"/>
      <c r="T155" s="1295"/>
      <c r="Y155" s="1027" t="s">
        <v>157</v>
      </c>
      <c r="Z155" s="1027" t="s">
        <v>158</v>
      </c>
    </row>
    <row r="156" spans="2:40" ht="15" customHeight="1">
      <c r="B156" s="1037">
        <f>SUBTOTAL(3,$I$137:I156)</f>
        <v>20</v>
      </c>
      <c r="C156" s="1037">
        <f t="shared" si="20"/>
        <v>0</v>
      </c>
      <c r="D156" s="1013" t="str">
        <f t="shared" si="21"/>
        <v xml:space="preserve"> </v>
      </c>
      <c r="E156" s="1013" t="str">
        <f t="shared" si="22"/>
        <v xml:space="preserve"> </v>
      </c>
      <c r="F156" s="1250" t="str">
        <f t="shared" si="18"/>
        <v>не требуется</v>
      </c>
      <c r="G156" s="1250"/>
      <c r="H156" s="1250"/>
      <c r="I156" s="1013">
        <f t="shared" si="23"/>
        <v>0</v>
      </c>
      <c r="J156" s="1262">
        <f t="shared" si="24"/>
        <v>0</v>
      </c>
      <c r="K156" s="1262"/>
      <c r="L156" s="675">
        <f t="shared" si="25"/>
        <v>0</v>
      </c>
      <c r="N156" s="1032">
        <f t="shared" si="19"/>
        <v>0</v>
      </c>
      <c r="Q156" s="1051"/>
      <c r="R156" s="127"/>
      <c r="S156" s="127" t="str">
        <f>IF(V3=Y3,"ТИП 1"," ")</f>
        <v xml:space="preserve"> </v>
      </c>
      <c r="T156" s="124"/>
      <c r="Y156" s="126" t="s">
        <v>114</v>
      </c>
      <c r="Z156" s="126">
        <f>T156*400/1000</f>
        <v>0</v>
      </c>
    </row>
    <row r="157" spans="2:40" ht="15" customHeight="1">
      <c r="B157" s="1037">
        <f>SUBTOTAL(3,$I$137:I157)</f>
        <v>21</v>
      </c>
      <c r="C157" s="1037">
        <f t="shared" si="20"/>
        <v>0</v>
      </c>
      <c r="D157" s="1013" t="str">
        <f t="shared" si="21"/>
        <v xml:space="preserve"> </v>
      </c>
      <c r="E157" s="1013" t="str">
        <f t="shared" si="22"/>
        <v xml:space="preserve"> </v>
      </c>
      <c r="F157" s="1250" t="str">
        <f t="shared" si="18"/>
        <v>не требуется</v>
      </c>
      <c r="G157" s="1250"/>
      <c r="H157" s="1250"/>
      <c r="I157" s="1013">
        <f t="shared" si="23"/>
        <v>0</v>
      </c>
      <c r="J157" s="1262">
        <f t="shared" si="24"/>
        <v>0</v>
      </c>
      <c r="K157" s="1262"/>
      <c r="L157" s="675">
        <f t="shared" si="25"/>
        <v>0</v>
      </c>
      <c r="N157" s="1032">
        <f t="shared" si="19"/>
        <v>0</v>
      </c>
    </row>
    <row r="158" spans="2:40" ht="15" customHeight="1">
      <c r="B158" s="1037">
        <f>SUBTOTAL(3,$I$137:I158)</f>
        <v>22</v>
      </c>
      <c r="C158" s="1037">
        <f t="shared" si="20"/>
        <v>0</v>
      </c>
      <c r="D158" s="1013" t="str">
        <f t="shared" si="21"/>
        <v xml:space="preserve"> </v>
      </c>
      <c r="E158" s="1013" t="str">
        <f t="shared" si="22"/>
        <v xml:space="preserve"> </v>
      </c>
      <c r="F158" s="1250" t="str">
        <f t="shared" si="18"/>
        <v>не требуется</v>
      </c>
      <c r="G158" s="1250"/>
      <c r="H158" s="1250"/>
      <c r="I158" s="1013">
        <f t="shared" si="23"/>
        <v>0</v>
      </c>
      <c r="J158" s="1262">
        <f t="shared" si="24"/>
        <v>0</v>
      </c>
      <c r="K158" s="1262"/>
      <c r="L158" s="675">
        <f t="shared" si="25"/>
        <v>0</v>
      </c>
      <c r="N158" s="1032">
        <f t="shared" si="19"/>
        <v>0</v>
      </c>
      <c r="R158" s="218"/>
      <c r="S158" s="218"/>
      <c r="T158" s="218"/>
    </row>
    <row r="159" spans="2:40" ht="15" customHeight="1">
      <c r="B159" s="1037">
        <f>SUBTOTAL(3,$I$137:I159)</f>
        <v>23</v>
      </c>
      <c r="C159" s="1037">
        <f t="shared" si="20"/>
        <v>0</v>
      </c>
      <c r="D159" s="1013" t="str">
        <f t="shared" si="21"/>
        <v xml:space="preserve"> </v>
      </c>
      <c r="E159" s="1013" t="str">
        <f t="shared" si="22"/>
        <v xml:space="preserve"> </v>
      </c>
      <c r="F159" s="1250" t="str">
        <f t="shared" si="18"/>
        <v>не требуется</v>
      </c>
      <c r="G159" s="1250"/>
      <c r="H159" s="1250"/>
      <c r="I159" s="1013">
        <f t="shared" si="23"/>
        <v>0</v>
      </c>
      <c r="J159" s="1262">
        <f t="shared" si="24"/>
        <v>0</v>
      </c>
      <c r="K159" s="1262"/>
      <c r="L159" s="675">
        <f t="shared" si="25"/>
        <v>0</v>
      </c>
      <c r="N159" s="1032">
        <f t="shared" si="19"/>
        <v>0</v>
      </c>
    </row>
    <row r="160" spans="2:40" ht="15" customHeight="1">
      <c r="B160" s="1037">
        <f>SUBTOTAL(3,$I$137:I160)</f>
        <v>24</v>
      </c>
      <c r="C160" s="1037">
        <f t="shared" si="20"/>
        <v>0</v>
      </c>
      <c r="D160" s="1013" t="str">
        <f t="shared" si="21"/>
        <v xml:space="preserve"> </v>
      </c>
      <c r="E160" s="1013" t="str">
        <f t="shared" si="22"/>
        <v xml:space="preserve"> </v>
      </c>
      <c r="F160" s="1250" t="str">
        <f t="shared" si="18"/>
        <v>не требуется</v>
      </c>
      <c r="G160" s="1250"/>
      <c r="H160" s="1250"/>
      <c r="I160" s="1013">
        <f t="shared" si="23"/>
        <v>0</v>
      </c>
      <c r="J160" s="1262">
        <f t="shared" si="24"/>
        <v>0</v>
      </c>
      <c r="K160" s="1262"/>
      <c r="L160" s="675">
        <f t="shared" si="25"/>
        <v>0</v>
      </c>
      <c r="N160" s="1032">
        <f t="shared" si="19"/>
        <v>0</v>
      </c>
      <c r="P160" s="1289" t="str">
        <f>IF(V3=Y3,"НАЗВАНИЕ ПАРАПЕТА"," ")</f>
        <v xml:space="preserve"> </v>
      </c>
      <c r="Q160" s="1289"/>
      <c r="R160" s="1289"/>
      <c r="S160" s="1289"/>
      <c r="T160" s="1289"/>
      <c r="U160" s="1289"/>
    </row>
    <row r="161" spans="2:30" ht="15" customHeight="1">
      <c r="B161" s="1037">
        <f>SUBTOTAL(3,$I$137:I161)</f>
        <v>25</v>
      </c>
      <c r="C161" s="1037">
        <f t="shared" si="20"/>
        <v>0</v>
      </c>
      <c r="D161" s="1013" t="str">
        <f t="shared" si="21"/>
        <v xml:space="preserve"> </v>
      </c>
      <c r="E161" s="1013" t="str">
        <f t="shared" si="22"/>
        <v xml:space="preserve"> </v>
      </c>
      <c r="F161" s="1250" t="str">
        <f t="shared" si="18"/>
        <v>не требуется</v>
      </c>
      <c r="G161" s="1250"/>
      <c r="H161" s="1250"/>
      <c r="I161" s="1013">
        <f t="shared" si="23"/>
        <v>0</v>
      </c>
      <c r="J161" s="1262">
        <f t="shared" si="24"/>
        <v>0</v>
      </c>
      <c r="K161" s="1262"/>
      <c r="L161" s="675">
        <f t="shared" si="25"/>
        <v>0</v>
      </c>
      <c r="N161" s="1032">
        <f t="shared" si="19"/>
        <v>0</v>
      </c>
      <c r="P161" s="1024" t="str">
        <f>IF(V3=Y3,"ПГ_ВЕРХ"," ")</f>
        <v xml:space="preserve"> </v>
      </c>
      <c r="Q161" s="1024"/>
      <c r="R161" s="1024" t="str">
        <f>IF(V3=Y3,"ДКР"," ")</f>
        <v xml:space="preserve"> </v>
      </c>
      <c r="S161" s="1024"/>
      <c r="T161" s="1024" t="str">
        <f>IF(V3=Y3,"АНКЕР"," ")</f>
        <v xml:space="preserve"> </v>
      </c>
      <c r="U161" s="1024"/>
    </row>
    <row r="162" spans="2:30" ht="15" customHeight="1">
      <c r="B162" s="1037">
        <f>SUBTOTAL(3,$I$137:I162)</f>
        <v>26</v>
      </c>
      <c r="C162" s="1037">
        <f t="shared" si="20"/>
        <v>0</v>
      </c>
      <c r="D162" s="1013" t="str">
        <f t="shared" si="21"/>
        <v xml:space="preserve"> </v>
      </c>
      <c r="E162" s="1013" t="str">
        <f t="shared" si="22"/>
        <v xml:space="preserve"> </v>
      </c>
      <c r="F162" s="1250" t="str">
        <f t="shared" si="18"/>
        <v>не требуется</v>
      </c>
      <c r="G162" s="1250"/>
      <c r="H162" s="1250"/>
      <c r="I162" s="1013">
        <f t="shared" si="23"/>
        <v>0</v>
      </c>
      <c r="J162" s="1262">
        <f t="shared" si="24"/>
        <v>0</v>
      </c>
      <c r="K162" s="1262"/>
      <c r="L162" s="675">
        <f t="shared" si="25"/>
        <v>0</v>
      </c>
      <c r="N162" s="1032">
        <f t="shared" si="19"/>
        <v>0</v>
      </c>
      <c r="P162" s="1024" t="str">
        <f>IF(V3=Y3,"ПГ_НИЗ"," ")</f>
        <v xml:space="preserve"> </v>
      </c>
      <c r="Q162" s="1024"/>
      <c r="R162" s="1024" t="str">
        <f>IF(V3=Y3,"ДПР"," ")</f>
        <v xml:space="preserve"> </v>
      </c>
      <c r="S162" s="1024"/>
    </row>
    <row r="163" spans="2:30" ht="15" customHeight="1">
      <c r="B163" s="1037">
        <f>SUBTOTAL(3,$I$137:I163)</f>
        <v>27</v>
      </c>
      <c r="C163" s="1037">
        <f t="shared" si="20"/>
        <v>0</v>
      </c>
      <c r="D163" s="1013" t="str">
        <f t="shared" si="21"/>
        <v xml:space="preserve"> </v>
      </c>
      <c r="E163" s="1013" t="str">
        <f t="shared" si="22"/>
        <v xml:space="preserve"> </v>
      </c>
      <c r="F163" s="1250" t="str">
        <f t="shared" si="18"/>
        <v>не требуется</v>
      </c>
      <c r="G163" s="1250"/>
      <c r="H163" s="1250"/>
      <c r="I163" s="1013">
        <f t="shared" si="23"/>
        <v>0</v>
      </c>
      <c r="J163" s="1262">
        <f t="shared" si="24"/>
        <v>0</v>
      </c>
      <c r="K163" s="1262"/>
      <c r="L163" s="675">
        <f t="shared" si="25"/>
        <v>0</v>
      </c>
      <c r="N163" s="1032">
        <f t="shared" si="19"/>
        <v>0</v>
      </c>
      <c r="P163" s="1024" t="str">
        <f>IF(V3=Y3,"СМРЗ. МЕТ"," ")</f>
        <v xml:space="preserve"> </v>
      </c>
      <c r="Q163" s="1024"/>
      <c r="R163" s="1024" t="str">
        <f>IF(V3=Y3,"СМРЗ БЕТ."," ")</f>
        <v xml:space="preserve"> </v>
      </c>
      <c r="S163" s="1024"/>
    </row>
    <row r="164" spans="2:30" ht="15" customHeight="1">
      <c r="B164" s="1037">
        <f>SUBTOTAL(3,$I$137:I164)</f>
        <v>28</v>
      </c>
      <c r="C164" s="1013">
        <f t="shared" si="20"/>
        <v>0</v>
      </c>
      <c r="D164" s="1013" t="str">
        <f t="shared" si="21"/>
        <v xml:space="preserve"> </v>
      </c>
      <c r="E164" s="1013" t="str">
        <f t="shared" si="22"/>
        <v xml:space="preserve"> </v>
      </c>
      <c r="F164" s="1250" t="str">
        <f t="shared" si="18"/>
        <v>не требуется</v>
      </c>
      <c r="G164" s="1250"/>
      <c r="H164" s="1250"/>
      <c r="I164" s="1013">
        <f t="shared" si="23"/>
        <v>0</v>
      </c>
      <c r="J164" s="1262">
        <f t="shared" si="24"/>
        <v>0</v>
      </c>
      <c r="K164" s="1262"/>
      <c r="L164" s="675">
        <f t="shared" si="25"/>
        <v>0</v>
      </c>
      <c r="N164" s="1032">
        <f t="shared" si="19"/>
        <v>0</v>
      </c>
    </row>
    <row r="165" spans="2:30" ht="15" customHeight="1">
      <c r="B165" s="1037">
        <f>SUBTOTAL(3,$I$137:I165)</f>
        <v>29</v>
      </c>
      <c r="C165" s="1037">
        <f t="shared" si="20"/>
        <v>0</v>
      </c>
      <c r="D165" s="1013" t="str">
        <f t="shared" si="21"/>
        <v xml:space="preserve"> </v>
      </c>
      <c r="E165" s="1013" t="str">
        <f t="shared" si="22"/>
        <v xml:space="preserve"> </v>
      </c>
      <c r="F165" s="1250" t="str">
        <f t="shared" si="18"/>
        <v>не требуется</v>
      </c>
      <c r="G165" s="1250"/>
      <c r="H165" s="1250"/>
      <c r="I165" s="1013">
        <f t="shared" si="23"/>
        <v>0</v>
      </c>
      <c r="J165" s="1262">
        <f t="shared" si="24"/>
        <v>0</v>
      </c>
      <c r="K165" s="1262"/>
      <c r="L165" s="675">
        <f t="shared" si="25"/>
        <v>0</v>
      </c>
      <c r="N165" s="1032">
        <f t="shared" si="19"/>
        <v>0</v>
      </c>
      <c r="P165" s="1287" t="s">
        <v>199</v>
      </c>
      <c r="Q165" s="1288"/>
      <c r="R165" s="1287" t="s">
        <v>694</v>
      </c>
      <c r="S165" s="1288"/>
      <c r="T165" s="383"/>
      <c r="U165" s="383" t="s">
        <v>468</v>
      </c>
      <c r="V165" s="1283" t="str">
        <f ca="1">HYPERLINK("#"&amp;$AB$5&amp;"!A22","⇑ ")</f>
        <v xml:space="preserve">⇑ </v>
      </c>
    </row>
    <row r="166" spans="2:30" ht="15" customHeight="1">
      <c r="B166" s="1037">
        <f>SUBTOTAL(3,$I$137:I166)</f>
        <v>30</v>
      </c>
      <c r="C166" s="1037">
        <f t="shared" si="20"/>
        <v>0</v>
      </c>
      <c r="D166" s="1013" t="str">
        <f t="shared" si="21"/>
        <v xml:space="preserve"> </v>
      </c>
      <c r="E166" s="1013" t="str">
        <f t="shared" si="22"/>
        <v xml:space="preserve"> </v>
      </c>
      <c r="F166" s="1250" t="str">
        <f t="shared" si="18"/>
        <v>не требуется</v>
      </c>
      <c r="G166" s="1250"/>
      <c r="H166" s="1250"/>
      <c r="I166" s="1013">
        <f t="shared" si="23"/>
        <v>0</v>
      </c>
      <c r="J166" s="1262">
        <f t="shared" si="24"/>
        <v>0</v>
      </c>
      <c r="K166" s="1262"/>
      <c r="L166" s="675">
        <f t="shared" si="25"/>
        <v>0</v>
      </c>
      <c r="N166" s="1032">
        <f t="shared" si="19"/>
        <v>0</v>
      </c>
      <c r="P166" s="1285" t="s">
        <v>1144</v>
      </c>
      <c r="Q166" s="1286"/>
      <c r="R166" s="1285" t="s">
        <v>1114</v>
      </c>
      <c r="S166" s="1286"/>
      <c r="T166" s="380"/>
      <c r="U166" s="380" t="s">
        <v>468</v>
      </c>
      <c r="V166" s="1284"/>
    </row>
    <row r="167" spans="2:30" ht="15" customHeight="1">
      <c r="B167" s="1037">
        <f>SUBTOTAL(3,$I$137:I167)</f>
        <v>31</v>
      </c>
      <c r="C167" s="1037">
        <f t="shared" si="20"/>
        <v>0</v>
      </c>
      <c r="D167" s="1013" t="str">
        <f t="shared" si="21"/>
        <v xml:space="preserve"> </v>
      </c>
      <c r="E167" s="1013" t="str">
        <f t="shared" si="22"/>
        <v xml:space="preserve"> </v>
      </c>
      <c r="F167" s="1250" t="str">
        <f t="shared" si="18"/>
        <v>не требуется</v>
      </c>
      <c r="G167" s="1250"/>
      <c r="H167" s="1250"/>
      <c r="I167" s="1013">
        <f t="shared" si="23"/>
        <v>0</v>
      </c>
      <c r="J167" s="1262">
        <f t="shared" si="24"/>
        <v>0</v>
      </c>
      <c r="K167" s="1262"/>
      <c r="L167" s="675">
        <f t="shared" si="25"/>
        <v>0</v>
      </c>
      <c r="N167" s="1032">
        <f t="shared" si="19"/>
        <v>0</v>
      </c>
      <c r="P167" s="1287" t="s">
        <v>1473</v>
      </c>
      <c r="Q167" s="1288"/>
      <c r="R167" s="1287" t="s">
        <v>180</v>
      </c>
      <c r="S167" s="1288"/>
      <c r="T167" s="383"/>
      <c r="U167" s="383" t="s">
        <v>264</v>
      </c>
    </row>
    <row r="168" spans="2:30" ht="15" customHeight="1">
      <c r="B168" s="1037">
        <f>SUBTOTAL(3,$I$137:I168)</f>
        <v>32</v>
      </c>
      <c r="C168" s="1037">
        <f t="shared" si="20"/>
        <v>0</v>
      </c>
      <c r="D168" s="1013" t="str">
        <f t="shared" si="21"/>
        <v xml:space="preserve"> </v>
      </c>
      <c r="E168" s="1013" t="str">
        <f t="shared" si="22"/>
        <v xml:space="preserve"> </v>
      </c>
      <c r="F168" s="1250" t="str">
        <f t="shared" si="18"/>
        <v>не требуется</v>
      </c>
      <c r="G168" s="1250"/>
      <c r="H168" s="1250"/>
      <c r="I168" s="1013">
        <f t="shared" si="23"/>
        <v>0</v>
      </c>
      <c r="J168" s="1262">
        <f t="shared" si="24"/>
        <v>0</v>
      </c>
      <c r="K168" s="1262"/>
      <c r="L168" s="675">
        <f t="shared" si="25"/>
        <v>0</v>
      </c>
      <c r="N168" s="1032">
        <f t="shared" si="19"/>
        <v>0</v>
      </c>
    </row>
    <row r="169" spans="2:30" ht="15" customHeight="1">
      <c r="B169" s="1037">
        <f>SUBTOTAL(3,$I$137:I169)</f>
        <v>33</v>
      </c>
      <c r="C169" s="1037">
        <f t="shared" si="20"/>
        <v>0</v>
      </c>
      <c r="D169" s="1013" t="str">
        <f t="shared" si="21"/>
        <v xml:space="preserve"> </v>
      </c>
      <c r="E169" s="1013" t="str">
        <f t="shared" si="22"/>
        <v xml:space="preserve"> </v>
      </c>
      <c r="F169" s="1250" t="str">
        <f t="shared" si="18"/>
        <v>не требуется</v>
      </c>
      <c r="G169" s="1250"/>
      <c r="H169" s="1250"/>
      <c r="I169" s="1013">
        <f t="shared" si="23"/>
        <v>0</v>
      </c>
      <c r="J169" s="1262">
        <f t="shared" si="24"/>
        <v>0</v>
      </c>
      <c r="K169" s="1262"/>
      <c r="L169" s="675">
        <f t="shared" si="25"/>
        <v>0</v>
      </c>
      <c r="N169" s="1032">
        <f t="shared" si="19"/>
        <v>0</v>
      </c>
    </row>
    <row r="170" spans="2:30" ht="15" customHeight="1">
      <c r="B170" s="1037">
        <f>SUBTOTAL(3,$I$137:I170)</f>
        <v>34</v>
      </c>
      <c r="C170" s="1037">
        <f t="shared" si="20"/>
        <v>0</v>
      </c>
      <c r="D170" s="1013" t="str">
        <f t="shared" si="21"/>
        <v xml:space="preserve"> </v>
      </c>
      <c r="E170" s="1013" t="str">
        <f t="shared" si="22"/>
        <v xml:space="preserve"> </v>
      </c>
      <c r="F170" s="1250" t="str">
        <f t="shared" si="18"/>
        <v>не требуется</v>
      </c>
      <c r="G170" s="1250"/>
      <c r="H170" s="1250"/>
      <c r="I170" s="1013">
        <f t="shared" si="23"/>
        <v>0</v>
      </c>
      <c r="J170" s="1262">
        <f t="shared" si="24"/>
        <v>0</v>
      </c>
      <c r="K170" s="1262"/>
      <c r="L170" s="675">
        <f t="shared" si="25"/>
        <v>0</v>
      </c>
      <c r="N170" s="1032">
        <f t="shared" si="19"/>
        <v>0</v>
      </c>
      <c r="P170" s="1280" t="str">
        <f ca="1">HYPERLINK("#"&amp;$AB$5&amp;"!T2","⇑ ")</f>
        <v xml:space="preserve">⇑ </v>
      </c>
      <c r="Q170" s="1020" t="s">
        <v>661</v>
      </c>
      <c r="R170" s="1281" t="str">
        <f>$V$2</f>
        <v>-</v>
      </c>
      <c r="S170" s="1281"/>
      <c r="T170" s="502" t="str">
        <f>IF($R$170=$Z$171,$AD$171,IF($R$170=$AA$171,$AD$172,"-"))</f>
        <v>-</v>
      </c>
    </row>
    <row r="171" spans="2:30" ht="15" customHeight="1">
      <c r="B171" s="1037">
        <f>SUBTOTAL(3,$I$137:I171)</f>
        <v>35</v>
      </c>
      <c r="C171" s="1037">
        <f t="shared" si="20"/>
        <v>0</v>
      </c>
      <c r="D171" s="1013" t="str">
        <f t="shared" si="21"/>
        <v xml:space="preserve"> </v>
      </c>
      <c r="E171" s="1013" t="str">
        <f t="shared" si="22"/>
        <v xml:space="preserve"> </v>
      </c>
      <c r="F171" s="1250" t="str">
        <f t="shared" si="18"/>
        <v>не требуется</v>
      </c>
      <c r="G171" s="1250"/>
      <c r="H171" s="1250"/>
      <c r="I171" s="1013">
        <f t="shared" si="23"/>
        <v>0</v>
      </c>
      <c r="J171" s="1262">
        <f t="shared" si="24"/>
        <v>0</v>
      </c>
      <c r="K171" s="1262"/>
      <c r="L171" s="675">
        <f t="shared" si="25"/>
        <v>0</v>
      </c>
      <c r="N171" s="1032">
        <f t="shared" si="19"/>
        <v>0</v>
      </c>
      <c r="P171" s="1280"/>
      <c r="Q171" s="1021" t="s">
        <v>565</v>
      </c>
      <c r="R171" s="1021" t="s">
        <v>520</v>
      </c>
      <c r="S171" s="1282" t="s">
        <v>657</v>
      </c>
      <c r="T171" s="1282"/>
      <c r="U171" s="1282"/>
      <c r="V171" s="1021" t="s">
        <v>660</v>
      </c>
      <c r="Y171" s="1011" t="s">
        <v>565</v>
      </c>
      <c r="Z171" s="501" t="s">
        <v>655</v>
      </c>
      <c r="AA171" s="501" t="s">
        <v>656</v>
      </c>
      <c r="AD171" s="106" t="s">
        <v>658</v>
      </c>
    </row>
    <row r="172" spans="2:30" ht="15" customHeight="1">
      <c r="B172" s="1037">
        <f>SUBTOTAL(3,$I$137:I172)</f>
        <v>36</v>
      </c>
      <c r="C172" s="1037">
        <f t="shared" si="20"/>
        <v>0</v>
      </c>
      <c r="D172" s="1013" t="str">
        <f t="shared" si="21"/>
        <v xml:space="preserve"> </v>
      </c>
      <c r="E172" s="1013" t="str">
        <f t="shared" si="22"/>
        <v xml:space="preserve"> </v>
      </c>
      <c r="F172" s="1250" t="str">
        <f t="shared" si="18"/>
        <v>не требуется</v>
      </c>
      <c r="G172" s="1250"/>
      <c r="H172" s="1250"/>
      <c r="I172" s="1013">
        <f t="shared" si="23"/>
        <v>0</v>
      </c>
      <c r="J172" s="1262">
        <f t="shared" si="24"/>
        <v>0</v>
      </c>
      <c r="K172" s="1262"/>
      <c r="L172" s="675">
        <f t="shared" si="25"/>
        <v>0</v>
      </c>
      <c r="N172" s="1032">
        <f t="shared" si="19"/>
        <v>0</v>
      </c>
      <c r="Q172" s="524" t="s">
        <v>663</v>
      </c>
      <c r="R172" s="524"/>
      <c r="S172" s="1279" t="str">
        <f>IFERROR(IF(R172&gt;0,INDEX($Z$172:$AA$176,MATCH(Q172,$Y$172:$Y$176,0),MATCH($R$170,$Z$171:$AA$171,0)),"-"),"-")</f>
        <v>-</v>
      </c>
      <c r="T172" s="1279"/>
      <c r="U172" s="1279"/>
      <c r="V172" s="507" t="str">
        <f>IFERROR(IF(R172:R172&gt;0,ROUNDUP(R172/3,0),"-"),"-")</f>
        <v>-</v>
      </c>
      <c r="Y172" s="465" t="s">
        <v>663</v>
      </c>
      <c r="Z172" s="106" t="s">
        <v>680</v>
      </c>
      <c r="AA172" s="106" t="s">
        <v>678</v>
      </c>
      <c r="AD172" s="106" t="s">
        <v>659</v>
      </c>
    </row>
    <row r="173" spans="2:30" ht="15" customHeight="1">
      <c r="B173" s="1037">
        <f>SUBTOTAL(3,$I$137:I173)</f>
        <v>37</v>
      </c>
      <c r="C173" s="1037">
        <f t="shared" si="20"/>
        <v>0</v>
      </c>
      <c r="D173" s="1013" t="str">
        <f t="shared" si="21"/>
        <v xml:space="preserve"> </v>
      </c>
      <c r="E173" s="1013" t="str">
        <f t="shared" si="22"/>
        <v xml:space="preserve"> </v>
      </c>
      <c r="F173" s="1250" t="str">
        <f t="shared" si="18"/>
        <v>не требуется</v>
      </c>
      <c r="G173" s="1250"/>
      <c r="H173" s="1250"/>
      <c r="I173" s="1013">
        <f t="shared" si="23"/>
        <v>0</v>
      </c>
      <c r="J173" s="1262">
        <f t="shared" si="24"/>
        <v>0</v>
      </c>
      <c r="K173" s="1262"/>
      <c r="L173" s="675">
        <f t="shared" si="25"/>
        <v>0</v>
      </c>
      <c r="N173" s="1032">
        <f t="shared" si="19"/>
        <v>0</v>
      </c>
      <c r="Q173" s="524" t="s">
        <v>662</v>
      </c>
      <c r="R173" s="524"/>
      <c r="S173" s="1279" t="str">
        <f>IFERROR(IF(R173&gt;0,INDEX($Z$172:$AA$176,MATCH(Q173,$Y$172:$Y$176,0),MATCH($R$170,$Z$171:$AA$171,0)),"-"),"-")</f>
        <v>-</v>
      </c>
      <c r="T173" s="1279"/>
      <c r="U173" s="1279"/>
      <c r="V173" s="507" t="str">
        <f>IFERROR(IF(R173:R173&gt;0,ROUNDUP(R173/3,0),"-"),"-")</f>
        <v>-</v>
      </c>
      <c r="Y173" s="465" t="s">
        <v>662</v>
      </c>
      <c r="Z173" s="106" t="s">
        <v>681</v>
      </c>
      <c r="AA173" s="106" t="s">
        <v>678</v>
      </c>
    </row>
    <row r="174" spans="2:30" ht="15" customHeight="1">
      <c r="B174" s="1037">
        <f>SUBTOTAL(3,$I$137:I174)</f>
        <v>38</v>
      </c>
      <c r="C174" s="1037">
        <f t="shared" si="20"/>
        <v>0</v>
      </c>
      <c r="D174" s="1013" t="str">
        <f t="shared" si="21"/>
        <v xml:space="preserve"> </v>
      </c>
      <c r="E174" s="1013" t="str">
        <f t="shared" si="22"/>
        <v xml:space="preserve"> </v>
      </c>
      <c r="F174" s="1250" t="str">
        <f t="shared" si="18"/>
        <v>не требуется</v>
      </c>
      <c r="G174" s="1250"/>
      <c r="H174" s="1250"/>
      <c r="I174" s="1013">
        <f t="shared" si="23"/>
        <v>0</v>
      </c>
      <c r="J174" s="1262">
        <f t="shared" si="24"/>
        <v>0</v>
      </c>
      <c r="K174" s="1262"/>
      <c r="L174" s="675">
        <f t="shared" si="25"/>
        <v>0</v>
      </c>
      <c r="N174" s="1032">
        <f t="shared" si="19"/>
        <v>0</v>
      </c>
      <c r="Q174" s="524" t="s">
        <v>664</v>
      </c>
      <c r="R174" s="524"/>
      <c r="S174" s="1279" t="str">
        <f>IFERROR(IF(R174&gt;0,INDEX($Z$172:$AA$176,MATCH(Q174,$Y$172:$Y$176,0),MATCH($R$170,$Z$171:$AA$171,0)),"-"),"-")</f>
        <v>-</v>
      </c>
      <c r="T174" s="1279"/>
      <c r="U174" s="1279"/>
      <c r="V174" s="507" t="str">
        <f>IFERROR(IF(R174:R174&gt;0,ROUNDUP(R174/3,0),"-"),"-")</f>
        <v>-</v>
      </c>
      <c r="Y174" s="465" t="s">
        <v>664</v>
      </c>
      <c r="Z174" s="106" t="s">
        <v>681</v>
      </c>
      <c r="AA174" s="106" t="s">
        <v>679</v>
      </c>
    </row>
    <row r="175" spans="2:30" ht="15" customHeight="1">
      <c r="B175" s="1037">
        <f>SUBTOTAL(3,$I$137:I175)</f>
        <v>39</v>
      </c>
      <c r="C175" s="1037">
        <f t="shared" si="20"/>
        <v>0</v>
      </c>
      <c r="D175" s="1013" t="str">
        <f t="shared" si="21"/>
        <v xml:space="preserve"> </v>
      </c>
      <c r="E175" s="1013" t="str">
        <f t="shared" si="22"/>
        <v xml:space="preserve"> </v>
      </c>
      <c r="F175" s="1250" t="str">
        <f t="shared" si="18"/>
        <v>не требуется</v>
      </c>
      <c r="G175" s="1250"/>
      <c r="H175" s="1250"/>
      <c r="I175" s="1013">
        <f t="shared" si="23"/>
        <v>0</v>
      </c>
      <c r="J175" s="1262">
        <f t="shared" si="24"/>
        <v>0</v>
      </c>
      <c r="K175" s="1262"/>
      <c r="L175" s="675">
        <f t="shared" si="25"/>
        <v>0</v>
      </c>
      <c r="N175" s="1032">
        <f t="shared" si="19"/>
        <v>0</v>
      </c>
      <c r="Q175" s="524" t="s">
        <v>665</v>
      </c>
      <c r="R175" s="524"/>
      <c r="S175" s="1279" t="str">
        <f>IFERROR(IF(R175&gt;0,INDEX($Z$172:$AA$176,MATCH(Q175,$Y$172:$Y$176,0),MATCH($R$170,$Z$171:$AA$171,0)),"-"),"-")</f>
        <v>-</v>
      </c>
      <c r="T175" s="1279"/>
      <c r="U175" s="1279"/>
      <c r="V175" s="507" t="str">
        <f>IFERROR(IF(R175:R175&gt;0,ROUNDUP(R175/3,0),"-"),"-")</f>
        <v>-</v>
      </c>
      <c r="Y175" s="465" t="s">
        <v>665</v>
      </c>
      <c r="Z175" s="1011" t="s">
        <v>6</v>
      </c>
      <c r="AA175" s="106" t="s">
        <v>681</v>
      </c>
    </row>
    <row r="176" spans="2:30" ht="15" customHeight="1">
      <c r="B176" s="1037">
        <f>SUBTOTAL(3,$I$137:I176)</f>
        <v>40</v>
      </c>
      <c r="C176" s="1037">
        <f t="shared" si="20"/>
        <v>0</v>
      </c>
      <c r="D176" s="1013" t="str">
        <f t="shared" si="21"/>
        <v xml:space="preserve"> </v>
      </c>
      <c r="E176" s="1013" t="str">
        <f t="shared" si="22"/>
        <v xml:space="preserve"> </v>
      </c>
      <c r="F176" s="1250" t="str">
        <f t="shared" si="18"/>
        <v>не требуется</v>
      </c>
      <c r="G176" s="1250"/>
      <c r="H176" s="1250"/>
      <c r="I176" s="1013">
        <f t="shared" si="23"/>
        <v>0</v>
      </c>
      <c r="J176" s="1262">
        <f t="shared" si="24"/>
        <v>0</v>
      </c>
      <c r="K176" s="1262"/>
      <c r="L176" s="675">
        <f t="shared" si="25"/>
        <v>0</v>
      </c>
      <c r="N176" s="1032">
        <f t="shared" si="19"/>
        <v>0</v>
      </c>
      <c r="Q176" s="524" t="s">
        <v>666</v>
      </c>
      <c r="R176" s="524"/>
      <c r="S176" s="1279" t="str">
        <f>IFERROR(IF(R176&gt;0,INDEX($Z$172:$AA$176,MATCH(Q176,$Y$172:$Y$176,0),MATCH($R$170,$Z$171:$AA$171,0)),"-"),"-")</f>
        <v>-</v>
      </c>
      <c r="T176" s="1279"/>
      <c r="U176" s="1279"/>
      <c r="V176" s="507" t="str">
        <f>IFERROR(IF(R176:R176&gt;0,ROUNDUP(R176/3,0),"-"),"-")</f>
        <v>-</v>
      </c>
      <c r="Y176" s="465" t="s">
        <v>666</v>
      </c>
      <c r="Z176" s="1011" t="s">
        <v>6</v>
      </c>
      <c r="AA176" s="106" t="s">
        <v>681</v>
      </c>
    </row>
    <row r="177" spans="2:30" s="158" customFormat="1" ht="15" customHeight="1">
      <c r="B177" s="1013">
        <f>SUBTOTAL(3,$I$137:I177)</f>
        <v>41</v>
      </c>
      <c r="C177" s="1037">
        <f t="shared" si="20"/>
        <v>0</v>
      </c>
      <c r="D177" s="1013" t="str">
        <f t="shared" si="21"/>
        <v xml:space="preserve"> </v>
      </c>
      <c r="E177" s="1013" t="str">
        <f t="shared" si="22"/>
        <v xml:space="preserve"> </v>
      </c>
      <c r="F177" s="1250" t="str">
        <f t="shared" si="18"/>
        <v>не требуется</v>
      </c>
      <c r="G177" s="1250"/>
      <c r="H177" s="1250"/>
      <c r="I177" s="1013">
        <f t="shared" si="23"/>
        <v>0</v>
      </c>
      <c r="J177" s="1262">
        <f t="shared" si="24"/>
        <v>0</v>
      </c>
      <c r="K177" s="1262"/>
      <c r="L177" s="1019">
        <f t="shared" si="25"/>
        <v>0</v>
      </c>
      <c r="N177" s="1032">
        <f t="shared" si="19"/>
        <v>0</v>
      </c>
      <c r="AA177" s="106"/>
    </row>
    <row r="178" spans="2:30" ht="15" customHeight="1">
      <c r="B178" s="1037">
        <f>SUBTOTAL(3,$I$137:I178)</f>
        <v>42</v>
      </c>
      <c r="C178" s="1037">
        <f t="shared" si="20"/>
        <v>0</v>
      </c>
      <c r="D178" s="1013" t="str">
        <f t="shared" si="21"/>
        <v xml:space="preserve"> </v>
      </c>
      <c r="E178" s="1013" t="str">
        <f t="shared" si="22"/>
        <v xml:space="preserve"> </v>
      </c>
      <c r="F178" s="1250" t="str">
        <f t="shared" si="18"/>
        <v>не требуется</v>
      </c>
      <c r="G178" s="1250"/>
      <c r="H178" s="1250"/>
      <c r="I178" s="1013">
        <f t="shared" si="23"/>
        <v>0</v>
      </c>
      <c r="J178" s="1262">
        <f t="shared" si="24"/>
        <v>0</v>
      </c>
      <c r="K178" s="1262"/>
      <c r="L178" s="675">
        <f t="shared" si="25"/>
        <v>0</v>
      </c>
      <c r="N178" s="1032">
        <f t="shared" si="19"/>
        <v>0</v>
      </c>
      <c r="AA178" s="106"/>
    </row>
    <row r="179" spans="2:30" ht="15" customHeight="1">
      <c r="B179" s="1037">
        <f>SUBTOTAL(3,$I$137:I179)</f>
        <v>43</v>
      </c>
      <c r="C179" s="1037">
        <f t="shared" si="20"/>
        <v>0</v>
      </c>
      <c r="D179" s="1013" t="str">
        <f t="shared" si="21"/>
        <v xml:space="preserve"> </v>
      </c>
      <c r="E179" s="1013" t="str">
        <f t="shared" si="22"/>
        <v xml:space="preserve"> </v>
      </c>
      <c r="F179" s="1250" t="str">
        <f t="shared" si="18"/>
        <v>не требуется</v>
      </c>
      <c r="G179" s="1250"/>
      <c r="H179" s="1250"/>
      <c r="I179" s="1013">
        <f t="shared" si="23"/>
        <v>0</v>
      </c>
      <c r="J179" s="1262">
        <f t="shared" si="24"/>
        <v>0</v>
      </c>
      <c r="K179" s="1262"/>
      <c r="L179" s="675">
        <f t="shared" si="25"/>
        <v>0</v>
      </c>
      <c r="N179" s="1032">
        <f t="shared" si="19"/>
        <v>0</v>
      </c>
      <c r="AA179" s="106"/>
    </row>
    <row r="180" spans="2:30" ht="15" customHeight="1" thickBot="1">
      <c r="B180" s="1037">
        <f>SUBTOTAL(3,$I$137:I180)</f>
        <v>44</v>
      </c>
      <c r="C180" s="1037">
        <f t="shared" si="20"/>
        <v>0</v>
      </c>
      <c r="D180" s="1013" t="str">
        <f t="shared" si="21"/>
        <v xml:space="preserve"> </v>
      </c>
      <c r="E180" s="1013" t="str">
        <f t="shared" si="22"/>
        <v xml:space="preserve"> </v>
      </c>
      <c r="F180" s="1250" t="str">
        <f t="shared" si="18"/>
        <v>не требуется</v>
      </c>
      <c r="G180" s="1250"/>
      <c r="H180" s="1250"/>
      <c r="I180" s="1013">
        <f t="shared" si="23"/>
        <v>0</v>
      </c>
      <c r="J180" s="1262">
        <f t="shared" si="24"/>
        <v>0</v>
      </c>
      <c r="K180" s="1262"/>
      <c r="L180" s="675">
        <f t="shared" si="25"/>
        <v>0</v>
      </c>
      <c r="N180" s="1032">
        <f t="shared" si="19"/>
        <v>0</v>
      </c>
    </row>
    <row r="181" spans="2:30" ht="15" customHeight="1" thickBot="1">
      <c r="B181" s="1037">
        <f>SUBTOTAL(3,$I$137:I181)</f>
        <v>45</v>
      </c>
      <c r="C181" s="1037">
        <f t="shared" si="20"/>
        <v>0</v>
      </c>
      <c r="D181" s="1013" t="str">
        <f t="shared" si="21"/>
        <v xml:space="preserve"> </v>
      </c>
      <c r="E181" s="1013" t="str">
        <f t="shared" si="22"/>
        <v xml:space="preserve"> </v>
      </c>
      <c r="F181" s="1250" t="str">
        <f t="shared" si="18"/>
        <v>не требуется</v>
      </c>
      <c r="G181" s="1250"/>
      <c r="H181" s="1250"/>
      <c r="I181" s="1013">
        <f t="shared" si="23"/>
        <v>0</v>
      </c>
      <c r="J181" s="1262">
        <f t="shared" si="24"/>
        <v>0</v>
      </c>
      <c r="K181" s="1262"/>
      <c r="L181" s="675">
        <f t="shared" si="25"/>
        <v>0</v>
      </c>
      <c r="N181" s="1032">
        <f t="shared" si="19"/>
        <v>0</v>
      </c>
      <c r="AA181" s="904"/>
      <c r="AB181" s="204"/>
      <c r="AC181" s="268" t="s">
        <v>1152</v>
      </c>
      <c r="AD181" s="905" t="s">
        <v>936</v>
      </c>
    </row>
    <row r="182" spans="2:30" ht="15" customHeight="1">
      <c r="B182" s="1037">
        <f>SUBTOTAL(3,$I$137:I182)</f>
        <v>46</v>
      </c>
      <c r="C182" s="1037">
        <f t="shared" si="20"/>
        <v>0</v>
      </c>
      <c r="D182" s="1013" t="str">
        <f t="shared" si="21"/>
        <v xml:space="preserve"> </v>
      </c>
      <c r="E182" s="1013" t="str">
        <f t="shared" si="22"/>
        <v xml:space="preserve"> </v>
      </c>
      <c r="F182" s="1250" t="str">
        <f t="shared" si="18"/>
        <v>не требуется</v>
      </c>
      <c r="G182" s="1250"/>
      <c r="H182" s="1250"/>
      <c r="I182" s="1013">
        <f t="shared" si="23"/>
        <v>0</v>
      </c>
      <c r="J182" s="1262">
        <f t="shared" si="24"/>
        <v>0</v>
      </c>
      <c r="K182" s="1262"/>
      <c r="L182" s="675">
        <f t="shared" si="25"/>
        <v>0</v>
      </c>
      <c r="N182" s="1032">
        <f t="shared" si="19"/>
        <v>0</v>
      </c>
      <c r="AA182" s="267" t="s">
        <v>678</v>
      </c>
      <c r="AB182" s="204">
        <f ca="1">SUMIF($S$172:$U$176,AA182,$V$172:$V$176)</f>
        <v>0</v>
      </c>
      <c r="AC182" s="204">
        <f ca="1">IF(AB182&gt;0,(0.6*AB182),0)</f>
        <v>0</v>
      </c>
      <c r="AD182" s="269">
        <f ca="1">IF(AB182&gt;0,(0.25*AB182),0)</f>
        <v>0</v>
      </c>
    </row>
    <row r="183" spans="2:30" ht="15" customHeight="1">
      <c r="B183" s="1037">
        <f>SUBTOTAL(3,$I$137:I183)</f>
        <v>47</v>
      </c>
      <c r="C183" s="1037">
        <f t="shared" si="20"/>
        <v>0</v>
      </c>
      <c r="D183" s="1013" t="str">
        <f t="shared" si="21"/>
        <v xml:space="preserve"> </v>
      </c>
      <c r="E183" s="1013" t="str">
        <f t="shared" si="22"/>
        <v xml:space="preserve"> </v>
      </c>
      <c r="F183" s="1250" t="str">
        <f t="shared" si="18"/>
        <v>не требуется</v>
      </c>
      <c r="G183" s="1250"/>
      <c r="H183" s="1250"/>
      <c r="I183" s="1013">
        <f t="shared" si="23"/>
        <v>0</v>
      </c>
      <c r="J183" s="1262">
        <f t="shared" si="24"/>
        <v>0</v>
      </c>
      <c r="K183" s="1262"/>
      <c r="L183" s="675">
        <f t="shared" si="25"/>
        <v>0</v>
      </c>
      <c r="N183" s="1032">
        <f t="shared" si="19"/>
        <v>0</v>
      </c>
      <c r="AA183" s="906" t="s">
        <v>680</v>
      </c>
      <c r="AB183" s="1024">
        <f ca="1">SUMIF($S$172:$U$176,AA183,$V$172:$V$176)</f>
        <v>0</v>
      </c>
      <c r="AC183" s="1024">
        <f ca="1">IF(AB183&gt;0,(0.6*AB183),0)</f>
        <v>0</v>
      </c>
      <c r="AD183" s="206">
        <f ca="1">IF(AB183&gt;0,(0.25*AB183),0)</f>
        <v>0</v>
      </c>
    </row>
    <row r="184" spans="2:30" ht="15" customHeight="1">
      <c r="B184" s="1037">
        <f>SUBTOTAL(3,$I$137:I184)</f>
        <v>48</v>
      </c>
      <c r="C184" s="1037">
        <f t="shared" si="20"/>
        <v>0</v>
      </c>
      <c r="D184" s="1013" t="str">
        <f t="shared" si="21"/>
        <v xml:space="preserve"> </v>
      </c>
      <c r="E184" s="1013" t="str">
        <f t="shared" si="22"/>
        <v xml:space="preserve"> </v>
      </c>
      <c r="F184" s="1250" t="str">
        <f t="shared" si="18"/>
        <v>не требуется</v>
      </c>
      <c r="G184" s="1250"/>
      <c r="H184" s="1250"/>
      <c r="I184" s="1013">
        <f t="shared" si="23"/>
        <v>0</v>
      </c>
      <c r="J184" s="1262">
        <f t="shared" si="24"/>
        <v>0</v>
      </c>
      <c r="K184" s="1262"/>
      <c r="L184" s="675">
        <f t="shared" si="25"/>
        <v>0</v>
      </c>
      <c r="N184" s="1032">
        <f t="shared" si="19"/>
        <v>0</v>
      </c>
      <c r="AA184" s="906" t="s">
        <v>681</v>
      </c>
      <c r="AB184" s="1024">
        <f ca="1">SUMIF($S$172:$U$176,AA184,$V$172:$V$176)</f>
        <v>0</v>
      </c>
      <c r="AC184" s="1024">
        <v>0</v>
      </c>
      <c r="AD184" s="206">
        <f ca="1">IF(AB184&gt;0,(0.5*AB184),0)</f>
        <v>0</v>
      </c>
    </row>
    <row r="185" spans="2:30" ht="15" customHeight="1" thickBot="1">
      <c r="B185" s="1037">
        <f>SUBTOTAL(3,$I$137:I185)</f>
        <v>49</v>
      </c>
      <c r="C185" s="1037">
        <f t="shared" ref="C185:C216" si="26">IF($T$5=$AA$12,S21,S21+$R$3)</f>
        <v>0</v>
      </c>
      <c r="D185" s="1013" t="str">
        <f t="shared" si="21"/>
        <v xml:space="preserve"> </v>
      </c>
      <c r="E185" s="1013" t="str">
        <f t="shared" si="22"/>
        <v xml:space="preserve"> </v>
      </c>
      <c r="F185" s="1250" t="str">
        <f t="shared" si="18"/>
        <v>не требуется</v>
      </c>
      <c r="G185" s="1250"/>
      <c r="H185" s="1250"/>
      <c r="I185" s="1013">
        <f>ROUND(T21,0)</f>
        <v>0</v>
      </c>
      <c r="J185" s="1262">
        <f>ROUND(IFERROR(IF($V$4=$Y$11,0,IF($T$3=$Y$13,T21/$AE$12*$U$12,T21/$U$14*$U$12)),0),0)</f>
        <v>0</v>
      </c>
      <c r="K185" s="1262"/>
      <c r="L185" s="675">
        <f t="shared" si="25"/>
        <v>0</v>
      </c>
      <c r="N185" s="1032">
        <f t="shared" si="19"/>
        <v>0</v>
      </c>
      <c r="AA185" s="907" t="s">
        <v>679</v>
      </c>
      <c r="AB185" s="274">
        <f ca="1">SUMIF($S$172:$U$176,AA185,$V$172:$V$176)</f>
        <v>0</v>
      </c>
      <c r="AC185" s="274">
        <v>0</v>
      </c>
      <c r="AD185" s="207">
        <f ca="1">IF(AB185&gt;0,(0.5*AB185),0)</f>
        <v>0</v>
      </c>
    </row>
    <row r="186" spans="2:30" ht="15" customHeight="1" thickBot="1">
      <c r="B186" s="1037">
        <f>SUBTOTAL(3,$I$137:I186)</f>
        <v>50</v>
      </c>
      <c r="C186" s="1037">
        <f t="shared" si="26"/>
        <v>0</v>
      </c>
      <c r="D186" s="1013" t="str">
        <f t="shared" si="21"/>
        <v xml:space="preserve"> </v>
      </c>
      <c r="E186" s="1013" t="str">
        <f t="shared" si="22"/>
        <v xml:space="preserve"> </v>
      </c>
      <c r="F186" s="1250" t="str">
        <f t="shared" si="18"/>
        <v>не требуется</v>
      </c>
      <c r="G186" s="1250"/>
      <c r="H186" s="1250"/>
      <c r="I186" s="1013">
        <f t="shared" ref="I186:I216" si="27">ROUND(T22,0)</f>
        <v>0</v>
      </c>
      <c r="J186" s="1262">
        <f t="shared" ref="J186:J216" si="28">ROUND(IFERROR(IF($V$4=$Y$11,0,IF($T$3=$Y$13,T22/$AE$12*$U$12,T22/$U$14*$U$12)),0),0)</f>
        <v>0</v>
      </c>
      <c r="K186" s="1262"/>
      <c r="L186" s="675">
        <f t="shared" si="25"/>
        <v>0</v>
      </c>
      <c r="N186" s="1032">
        <f t="shared" si="19"/>
        <v>0</v>
      </c>
      <c r="AA186" s="848"/>
      <c r="AB186" s="274"/>
      <c r="AC186" s="274">
        <f>IF(V3=Y4,SUM(AC182:AC185),0)</f>
        <v>0</v>
      </c>
      <c r="AD186" s="207">
        <f>IF(V3=Y4,SUM(AD182:AD185),0)</f>
        <v>0</v>
      </c>
    </row>
    <row r="187" spans="2:30" ht="15" customHeight="1">
      <c r="B187" s="1037">
        <f>SUBTOTAL(3,$I$137:I187)</f>
        <v>51</v>
      </c>
      <c r="C187" s="1037">
        <f t="shared" si="26"/>
        <v>0</v>
      </c>
      <c r="D187" s="1013" t="str">
        <f t="shared" si="21"/>
        <v xml:space="preserve"> </v>
      </c>
      <c r="E187" s="1013" t="str">
        <f t="shared" si="22"/>
        <v xml:space="preserve"> </v>
      </c>
      <c r="F187" s="1250" t="str">
        <f t="shared" si="18"/>
        <v>не требуется</v>
      </c>
      <c r="G187" s="1250"/>
      <c r="H187" s="1250"/>
      <c r="I187" s="1013">
        <f t="shared" si="27"/>
        <v>0</v>
      </c>
      <c r="J187" s="1262">
        <f t="shared" si="28"/>
        <v>0</v>
      </c>
      <c r="K187" s="1262"/>
      <c r="L187" s="675">
        <f t="shared" si="25"/>
        <v>0</v>
      </c>
      <c r="N187" s="1032">
        <f t="shared" si="19"/>
        <v>0</v>
      </c>
      <c r="AA187" s="1"/>
    </row>
    <row r="188" spans="2:30" ht="15" customHeight="1">
      <c r="B188" s="1037">
        <f>SUBTOTAL(3,$I$137:I188)</f>
        <v>52</v>
      </c>
      <c r="C188" s="1037">
        <f t="shared" si="26"/>
        <v>0</v>
      </c>
      <c r="D188" s="1013" t="str">
        <f t="shared" si="21"/>
        <v xml:space="preserve"> </v>
      </c>
      <c r="E188" s="1013" t="str">
        <f t="shared" si="22"/>
        <v xml:space="preserve"> </v>
      </c>
      <c r="F188" s="1250" t="str">
        <f t="shared" si="18"/>
        <v>не требуется</v>
      </c>
      <c r="G188" s="1250"/>
      <c r="H188" s="1250"/>
      <c r="I188" s="1013">
        <f t="shared" si="27"/>
        <v>0</v>
      </c>
      <c r="J188" s="1262">
        <f t="shared" si="28"/>
        <v>0</v>
      </c>
      <c r="K188" s="1262"/>
      <c r="L188" s="675">
        <f t="shared" si="25"/>
        <v>0</v>
      </c>
      <c r="N188" s="1032">
        <f t="shared" si="19"/>
        <v>0</v>
      </c>
      <c r="AA188" s="1"/>
    </row>
    <row r="189" spans="2:30" ht="15" customHeight="1">
      <c r="B189" s="1037">
        <f>SUBTOTAL(3,$I$137:I189)</f>
        <v>53</v>
      </c>
      <c r="C189" s="1037">
        <f t="shared" si="26"/>
        <v>0</v>
      </c>
      <c r="D189" s="1013" t="str">
        <f t="shared" si="21"/>
        <v xml:space="preserve"> </v>
      </c>
      <c r="E189" s="1013" t="str">
        <f t="shared" si="22"/>
        <v xml:space="preserve"> </v>
      </c>
      <c r="F189" s="1250" t="str">
        <f t="shared" si="18"/>
        <v>не требуется</v>
      </c>
      <c r="G189" s="1250"/>
      <c r="H189" s="1250"/>
      <c r="I189" s="1013">
        <f t="shared" si="27"/>
        <v>0</v>
      </c>
      <c r="J189" s="1262">
        <f t="shared" si="28"/>
        <v>0</v>
      </c>
      <c r="K189" s="1262"/>
      <c r="L189" s="675">
        <f t="shared" si="25"/>
        <v>0</v>
      </c>
      <c r="N189" s="1032">
        <f t="shared" si="19"/>
        <v>0</v>
      </c>
      <c r="AA189" s="1"/>
    </row>
    <row r="190" spans="2:30" ht="15" customHeight="1">
      <c r="B190" s="1037">
        <f>SUBTOTAL(3,$I$137:I190)</f>
        <v>54</v>
      </c>
      <c r="C190" s="1037">
        <f t="shared" si="26"/>
        <v>0</v>
      </c>
      <c r="D190" s="1013" t="str">
        <f t="shared" si="21"/>
        <v xml:space="preserve"> </v>
      </c>
      <c r="E190" s="1013" t="str">
        <f t="shared" si="22"/>
        <v xml:space="preserve"> </v>
      </c>
      <c r="F190" s="1250" t="str">
        <f t="shared" si="18"/>
        <v>не требуется</v>
      </c>
      <c r="G190" s="1250"/>
      <c r="H190" s="1250"/>
      <c r="I190" s="1013">
        <f t="shared" si="27"/>
        <v>0</v>
      </c>
      <c r="J190" s="1262">
        <f t="shared" si="28"/>
        <v>0</v>
      </c>
      <c r="K190" s="1262"/>
      <c r="L190" s="675">
        <f t="shared" si="25"/>
        <v>0</v>
      </c>
      <c r="N190" s="1032">
        <f t="shared" si="19"/>
        <v>0</v>
      </c>
      <c r="Z190" s="106"/>
      <c r="AA190" s="106"/>
    </row>
    <row r="191" spans="2:30" ht="15" customHeight="1">
      <c r="B191" s="1037">
        <f>SUBTOTAL(3,$I$137:I191)</f>
        <v>55</v>
      </c>
      <c r="C191" s="1037">
        <f t="shared" si="26"/>
        <v>0</v>
      </c>
      <c r="D191" s="1013" t="str">
        <f t="shared" si="21"/>
        <v xml:space="preserve"> </v>
      </c>
      <c r="E191" s="1013" t="str">
        <f t="shared" si="22"/>
        <v xml:space="preserve"> </v>
      </c>
      <c r="F191" s="1250" t="str">
        <f t="shared" si="18"/>
        <v>не требуется</v>
      </c>
      <c r="G191" s="1250"/>
      <c r="H191" s="1250"/>
      <c r="I191" s="1013">
        <f t="shared" si="27"/>
        <v>0</v>
      </c>
      <c r="J191" s="1262">
        <f t="shared" si="28"/>
        <v>0</v>
      </c>
      <c r="K191" s="1262"/>
      <c r="L191" s="675">
        <f t="shared" si="25"/>
        <v>0</v>
      </c>
      <c r="N191" s="1032">
        <f t="shared" si="19"/>
        <v>0</v>
      </c>
      <c r="Z191" s="106"/>
      <c r="AA191" s="106"/>
    </row>
    <row r="192" spans="2:30" ht="15" customHeight="1">
      <c r="B192" s="1037">
        <f>SUBTOTAL(3,$I$137:I192)</f>
        <v>56</v>
      </c>
      <c r="C192" s="1037">
        <f t="shared" si="26"/>
        <v>0</v>
      </c>
      <c r="D192" s="1013" t="str">
        <f t="shared" si="21"/>
        <v xml:space="preserve"> </v>
      </c>
      <c r="E192" s="1013" t="str">
        <f t="shared" si="22"/>
        <v xml:space="preserve"> </v>
      </c>
      <c r="F192" s="1250" t="str">
        <f t="shared" si="18"/>
        <v>не требуется</v>
      </c>
      <c r="G192" s="1250"/>
      <c r="H192" s="1250"/>
      <c r="I192" s="1013">
        <f t="shared" si="27"/>
        <v>0</v>
      </c>
      <c r="J192" s="1262">
        <f t="shared" si="28"/>
        <v>0</v>
      </c>
      <c r="K192" s="1262"/>
      <c r="L192" s="675">
        <f t="shared" si="25"/>
        <v>0</v>
      </c>
      <c r="N192" s="1032">
        <f t="shared" si="19"/>
        <v>0</v>
      </c>
      <c r="Z192" s="106"/>
      <c r="AA192" s="106"/>
    </row>
    <row r="193" spans="2:27" ht="15" customHeight="1">
      <c r="B193" s="1037">
        <f>SUBTOTAL(3,$I$137:I193)</f>
        <v>57</v>
      </c>
      <c r="C193" s="1037">
        <f t="shared" si="26"/>
        <v>0</v>
      </c>
      <c r="D193" s="1013" t="str">
        <f t="shared" si="21"/>
        <v xml:space="preserve"> </v>
      </c>
      <c r="E193" s="1013" t="str">
        <f t="shared" si="22"/>
        <v xml:space="preserve"> </v>
      </c>
      <c r="F193" s="1250" t="str">
        <f t="shared" si="18"/>
        <v>не требуется</v>
      </c>
      <c r="G193" s="1250"/>
      <c r="H193" s="1250"/>
      <c r="I193" s="1013">
        <f t="shared" si="27"/>
        <v>0</v>
      </c>
      <c r="J193" s="1262">
        <f t="shared" si="28"/>
        <v>0</v>
      </c>
      <c r="K193" s="1262"/>
      <c r="L193" s="675">
        <f t="shared" si="25"/>
        <v>0</v>
      </c>
      <c r="N193" s="1032">
        <f t="shared" si="19"/>
        <v>0</v>
      </c>
      <c r="Z193" s="106"/>
      <c r="AA193" s="106"/>
    </row>
    <row r="194" spans="2:27" ht="15" customHeight="1">
      <c r="B194" s="1037">
        <f>SUBTOTAL(3,$I$137:I194)</f>
        <v>58</v>
      </c>
      <c r="C194" s="1037">
        <f t="shared" si="26"/>
        <v>0</v>
      </c>
      <c r="D194" s="1013" t="str">
        <f t="shared" si="21"/>
        <v xml:space="preserve"> </v>
      </c>
      <c r="E194" s="1013" t="str">
        <f t="shared" si="22"/>
        <v xml:space="preserve"> </v>
      </c>
      <c r="F194" s="1250" t="str">
        <f t="shared" si="18"/>
        <v>не требуется</v>
      </c>
      <c r="G194" s="1250"/>
      <c r="H194" s="1250"/>
      <c r="I194" s="1013">
        <f t="shared" si="27"/>
        <v>0</v>
      </c>
      <c r="J194" s="1262">
        <f t="shared" si="28"/>
        <v>0</v>
      </c>
      <c r="K194" s="1262"/>
      <c r="L194" s="675">
        <f t="shared" si="25"/>
        <v>0</v>
      </c>
      <c r="N194" s="1032">
        <f t="shared" si="19"/>
        <v>0</v>
      </c>
      <c r="Z194" s="106"/>
      <c r="AA194" s="1"/>
    </row>
    <row r="195" spans="2:27" ht="15" customHeight="1">
      <c r="B195" s="1037">
        <f>SUBTOTAL(3,$I$137:I195)</f>
        <v>59</v>
      </c>
      <c r="C195" s="1037">
        <f t="shared" si="26"/>
        <v>0</v>
      </c>
      <c r="D195" s="1013" t="str">
        <f t="shared" si="21"/>
        <v xml:space="preserve"> </v>
      </c>
      <c r="E195" s="1013" t="str">
        <f t="shared" si="22"/>
        <v xml:space="preserve"> </v>
      </c>
      <c r="F195" s="1250" t="str">
        <f t="shared" si="18"/>
        <v>не требуется</v>
      </c>
      <c r="G195" s="1250"/>
      <c r="H195" s="1250"/>
      <c r="I195" s="1013">
        <f t="shared" si="27"/>
        <v>0</v>
      </c>
      <c r="J195" s="1262">
        <f t="shared" si="28"/>
        <v>0</v>
      </c>
      <c r="K195" s="1262"/>
      <c r="L195" s="675">
        <f t="shared" si="25"/>
        <v>0</v>
      </c>
      <c r="N195" s="1032">
        <f t="shared" si="19"/>
        <v>0</v>
      </c>
      <c r="Z195" s="1"/>
      <c r="AA195" s="1"/>
    </row>
    <row r="196" spans="2:27" ht="15" customHeight="1">
      <c r="B196" s="1037">
        <f>SUBTOTAL(3,$I$137:I196)</f>
        <v>60</v>
      </c>
      <c r="C196" s="1037">
        <f t="shared" si="26"/>
        <v>0</v>
      </c>
      <c r="D196" s="1013" t="str">
        <f t="shared" si="21"/>
        <v xml:space="preserve"> </v>
      </c>
      <c r="E196" s="1013" t="str">
        <f t="shared" si="22"/>
        <v xml:space="preserve"> </v>
      </c>
      <c r="F196" s="1250" t="str">
        <f t="shared" si="18"/>
        <v>не требуется</v>
      </c>
      <c r="G196" s="1250"/>
      <c r="H196" s="1250"/>
      <c r="I196" s="1013">
        <f t="shared" si="27"/>
        <v>0</v>
      </c>
      <c r="J196" s="1262">
        <f t="shared" si="28"/>
        <v>0</v>
      </c>
      <c r="K196" s="1262"/>
      <c r="L196" s="675">
        <f t="shared" si="25"/>
        <v>0</v>
      </c>
      <c r="N196" s="1032">
        <f t="shared" si="19"/>
        <v>0</v>
      </c>
      <c r="Z196" s="1"/>
      <c r="AA196" s="1"/>
    </row>
    <row r="197" spans="2:27" ht="15" customHeight="1">
      <c r="B197" s="1037">
        <f>SUBTOTAL(3,$I$137:I197)</f>
        <v>61</v>
      </c>
      <c r="C197" s="1037">
        <f t="shared" si="26"/>
        <v>0</v>
      </c>
      <c r="D197" s="1013" t="str">
        <f t="shared" si="21"/>
        <v xml:space="preserve"> </v>
      </c>
      <c r="E197" s="1013" t="str">
        <f t="shared" si="22"/>
        <v xml:space="preserve"> </v>
      </c>
      <c r="F197" s="1250" t="str">
        <f t="shared" si="18"/>
        <v>не требуется</v>
      </c>
      <c r="G197" s="1250"/>
      <c r="H197" s="1250"/>
      <c r="I197" s="1013">
        <f t="shared" si="27"/>
        <v>0</v>
      </c>
      <c r="J197" s="1262">
        <f t="shared" si="28"/>
        <v>0</v>
      </c>
      <c r="K197" s="1262"/>
      <c r="L197" s="675">
        <f t="shared" si="25"/>
        <v>0</v>
      </c>
      <c r="N197" s="1032">
        <f t="shared" si="19"/>
        <v>0</v>
      </c>
      <c r="Z197" s="1"/>
      <c r="AA197" s="1"/>
    </row>
    <row r="198" spans="2:27" ht="15" customHeight="1">
      <c r="B198" s="1037">
        <f>SUBTOTAL(3,$I$137:I198)</f>
        <v>62</v>
      </c>
      <c r="C198" s="1037">
        <f t="shared" si="26"/>
        <v>0</v>
      </c>
      <c r="D198" s="1013" t="str">
        <f t="shared" si="21"/>
        <v xml:space="preserve"> </v>
      </c>
      <c r="E198" s="1013" t="str">
        <f t="shared" si="22"/>
        <v xml:space="preserve"> </v>
      </c>
      <c r="F198" s="1250" t="str">
        <f t="shared" si="18"/>
        <v>не требуется</v>
      </c>
      <c r="G198" s="1250"/>
      <c r="H198" s="1250"/>
      <c r="I198" s="1013">
        <f t="shared" si="27"/>
        <v>0</v>
      </c>
      <c r="J198" s="1262">
        <f t="shared" si="28"/>
        <v>0</v>
      </c>
      <c r="K198" s="1262"/>
      <c r="L198" s="675">
        <f t="shared" si="25"/>
        <v>0</v>
      </c>
      <c r="N198" s="1032">
        <f t="shared" si="19"/>
        <v>0</v>
      </c>
    </row>
    <row r="199" spans="2:27" ht="15" customHeight="1">
      <c r="B199" s="1037">
        <f>SUBTOTAL(3,$I$137:I199)</f>
        <v>63</v>
      </c>
      <c r="C199" s="1037">
        <f t="shared" si="26"/>
        <v>0</v>
      </c>
      <c r="D199" s="1013" t="str">
        <f t="shared" si="21"/>
        <v xml:space="preserve"> </v>
      </c>
      <c r="E199" s="1013" t="str">
        <f t="shared" si="22"/>
        <v xml:space="preserve"> </v>
      </c>
      <c r="F199" s="1250" t="str">
        <f t="shared" si="18"/>
        <v>не требуется</v>
      </c>
      <c r="G199" s="1250"/>
      <c r="H199" s="1250"/>
      <c r="I199" s="1013">
        <f t="shared" si="27"/>
        <v>0</v>
      </c>
      <c r="J199" s="1262">
        <f t="shared" si="28"/>
        <v>0</v>
      </c>
      <c r="K199" s="1262"/>
      <c r="L199" s="675">
        <f t="shared" si="25"/>
        <v>0</v>
      </c>
      <c r="N199" s="1032">
        <f t="shared" si="19"/>
        <v>0</v>
      </c>
    </row>
    <row r="200" spans="2:27" ht="15" customHeight="1">
      <c r="B200" s="1037">
        <f>SUBTOTAL(3,$I$137:I200)</f>
        <v>64</v>
      </c>
      <c r="C200" s="1037">
        <f t="shared" si="26"/>
        <v>0</v>
      </c>
      <c r="D200" s="1013" t="str">
        <f t="shared" si="21"/>
        <v xml:space="preserve"> </v>
      </c>
      <c r="E200" s="1013" t="str">
        <f t="shared" si="22"/>
        <v xml:space="preserve"> </v>
      </c>
      <c r="F200" s="1250" t="str">
        <f t="shared" si="18"/>
        <v>не требуется</v>
      </c>
      <c r="G200" s="1250"/>
      <c r="H200" s="1250"/>
      <c r="I200" s="1013">
        <f t="shared" si="27"/>
        <v>0</v>
      </c>
      <c r="J200" s="1262">
        <f t="shared" si="28"/>
        <v>0</v>
      </c>
      <c r="K200" s="1262"/>
      <c r="L200" s="675">
        <f t="shared" si="25"/>
        <v>0</v>
      </c>
      <c r="N200" s="1032">
        <f t="shared" si="19"/>
        <v>0</v>
      </c>
    </row>
    <row r="201" spans="2:27" ht="15" customHeight="1">
      <c r="B201" s="1037">
        <f>SUBTOTAL(3,$I$137:I201)</f>
        <v>65</v>
      </c>
      <c r="C201" s="1037">
        <f t="shared" si="26"/>
        <v>0</v>
      </c>
      <c r="D201" s="1013" t="str">
        <f t="shared" si="21"/>
        <v xml:space="preserve"> </v>
      </c>
      <c r="E201" s="1013" t="str">
        <f t="shared" si="22"/>
        <v xml:space="preserve"> </v>
      </c>
      <c r="F201" s="1250" t="str">
        <f t="shared" ref="F201:F216" si="29">IF(AND(OR($V$4=$Y$12,$V$4=$AA$8,$V$4=$AA$9),OR($R$4=$Y$7,$R$4=$Y$9)),"8х45",IF(AND($V$4=$AA$7,C201&gt;300),"8х45",IF(AND($V$4=$AA$7,$AA$2=$AA$6),"8х45","не требуется")))</f>
        <v>не требуется</v>
      </c>
      <c r="G201" s="1250"/>
      <c r="H201" s="1250"/>
      <c r="I201" s="1013">
        <f t="shared" si="27"/>
        <v>0</v>
      </c>
      <c r="J201" s="1262">
        <f t="shared" si="28"/>
        <v>0</v>
      </c>
      <c r="K201" s="1262"/>
      <c r="L201" s="675">
        <f t="shared" si="25"/>
        <v>0</v>
      </c>
      <c r="N201" s="1032">
        <f t="shared" ref="N201:N267" si="30">IF(I201&gt;0,1,0)</f>
        <v>0</v>
      </c>
    </row>
    <row r="202" spans="2:27" ht="15" customHeight="1">
      <c r="B202" s="1037">
        <f>SUBTOTAL(3,$I$137:I202)</f>
        <v>66</v>
      </c>
      <c r="C202" s="1037">
        <f t="shared" si="26"/>
        <v>0</v>
      </c>
      <c r="D202" s="1013" t="str">
        <f t="shared" si="21"/>
        <v xml:space="preserve"> </v>
      </c>
      <c r="E202" s="1013" t="str">
        <f t="shared" si="22"/>
        <v xml:space="preserve"> </v>
      </c>
      <c r="F202" s="1250" t="str">
        <f t="shared" si="29"/>
        <v>не требуется</v>
      </c>
      <c r="G202" s="1250"/>
      <c r="H202" s="1250"/>
      <c r="I202" s="1013">
        <f t="shared" si="27"/>
        <v>0</v>
      </c>
      <c r="J202" s="1262">
        <f t="shared" si="28"/>
        <v>0</v>
      </c>
      <c r="K202" s="1262"/>
      <c r="L202" s="675">
        <f t="shared" si="25"/>
        <v>0</v>
      </c>
      <c r="N202" s="1032">
        <f t="shared" si="30"/>
        <v>0</v>
      </c>
    </row>
    <row r="203" spans="2:27" ht="15" customHeight="1">
      <c r="B203" s="1037">
        <f>SUBTOTAL(3,$I$137:I203)</f>
        <v>67</v>
      </c>
      <c r="C203" s="1037">
        <f t="shared" si="26"/>
        <v>0</v>
      </c>
      <c r="D203" s="1013" t="str">
        <f t="shared" ref="D203:D216" si="31">IFERROR(IF(AND($R$4=$Y$7,OR($V$4=$AA$8,$V$4=$AA$9,$V$4=$Y$12)),INDEX($AH$381:$AI$448,MATCH(_xlfn.CEILING.MATH(C203,10),$AG$381:$AG$448,0),1),IF(AND($R$4=$Y$7,$V$4=$AA$7),INDEX($AH$381:$AI$448,MATCH(_xlfn.CEILING.MATH(C203,10),$AG$381:$AG$448,0),1),IF(AND($R$4=$Y$8,OR($V$4=$AA$8,$V$4=$AA$9,$V$4=$Y$12)),INDEX($AK$381:$AL$449,MATCH(_xlfn.CEILING.MATH(C203,10),$AJ$381:$AJ$449,0),1)," "))),"НЕТ ДАННЫХ")</f>
        <v xml:space="preserve"> </v>
      </c>
      <c r="E203" s="1013" t="str">
        <f t="shared" ref="E203:E216" si="32">IFERROR(IF(AND($R$4=$Y$7,OR($V$4=$AA$8,$V$4=$AA$9,$V$4=$Y$12)),INDEX($AH$381:$AI$448,MATCH(_xlfn.CEILING.MATH(C203,10),$AG$381:$AG$448,0),2),IF(AND($R$4=$Y$7,$V$4=$AA$7),INDEX($AH$381:$AI$448,MATCH(_xlfn.CEILING.MATH(C203,10),$AG$381:$AG$448,0),2),IF(AND($R$4=$Y$8,OR($V$4=$AA$8,$V$4=$AA$9,$V$4=$Y$12)),INDEX($AK$381:$AL$449,MATCH(_xlfn.CEILING.MATH(C203,10),$AJ$381:$AJ$449,0),2)," "))),"НЕТ ДАННЫХ")</f>
        <v xml:space="preserve"> </v>
      </c>
      <c r="F203" s="1250" t="str">
        <f t="shared" si="29"/>
        <v>не требуется</v>
      </c>
      <c r="G203" s="1250"/>
      <c r="H203" s="1250"/>
      <c r="I203" s="1013">
        <f t="shared" si="27"/>
        <v>0</v>
      </c>
      <c r="J203" s="1262">
        <f t="shared" si="28"/>
        <v>0</v>
      </c>
      <c r="K203" s="1262"/>
      <c r="L203" s="675">
        <f t="shared" ref="L203:L212" si="33">I203+J203</f>
        <v>0</v>
      </c>
      <c r="N203" s="1032">
        <f t="shared" si="30"/>
        <v>0</v>
      </c>
    </row>
    <row r="204" spans="2:27" ht="15" customHeight="1">
      <c r="B204" s="1037">
        <f>SUBTOTAL(3,$I$137:I204)</f>
        <v>68</v>
      </c>
      <c r="C204" s="1037">
        <f t="shared" si="26"/>
        <v>0</v>
      </c>
      <c r="D204" s="1013" t="str">
        <f t="shared" si="31"/>
        <v xml:space="preserve"> </v>
      </c>
      <c r="E204" s="1013" t="str">
        <f t="shared" si="32"/>
        <v xml:space="preserve"> </v>
      </c>
      <c r="F204" s="1250" t="str">
        <f t="shared" si="29"/>
        <v>не требуется</v>
      </c>
      <c r="G204" s="1250"/>
      <c r="H204" s="1250"/>
      <c r="I204" s="1013">
        <f t="shared" si="27"/>
        <v>0</v>
      </c>
      <c r="J204" s="1262">
        <f t="shared" si="28"/>
        <v>0</v>
      </c>
      <c r="K204" s="1262"/>
      <c r="L204" s="675">
        <f t="shared" si="33"/>
        <v>0</v>
      </c>
      <c r="N204" s="1032">
        <f t="shared" si="30"/>
        <v>0</v>
      </c>
    </row>
    <row r="205" spans="2:27" ht="15" customHeight="1">
      <c r="B205" s="1037">
        <f>SUBTOTAL(3,$I$137:I205)</f>
        <v>69</v>
      </c>
      <c r="C205" s="1037">
        <f t="shared" si="26"/>
        <v>0</v>
      </c>
      <c r="D205" s="1013" t="str">
        <f t="shared" si="31"/>
        <v xml:space="preserve"> </v>
      </c>
      <c r="E205" s="1013" t="str">
        <f t="shared" si="32"/>
        <v xml:space="preserve"> </v>
      </c>
      <c r="F205" s="1250" t="str">
        <f t="shared" si="29"/>
        <v>не требуется</v>
      </c>
      <c r="G205" s="1250"/>
      <c r="H205" s="1250"/>
      <c r="I205" s="1013">
        <f t="shared" si="27"/>
        <v>0</v>
      </c>
      <c r="J205" s="1262">
        <f t="shared" si="28"/>
        <v>0</v>
      </c>
      <c r="K205" s="1262"/>
      <c r="L205" s="675">
        <f t="shared" si="33"/>
        <v>0</v>
      </c>
      <c r="N205" s="1032">
        <f t="shared" si="30"/>
        <v>0</v>
      </c>
    </row>
    <row r="206" spans="2:27" ht="15" customHeight="1">
      <c r="B206" s="1037">
        <f>SUBTOTAL(3,$I$137:I206)</f>
        <v>70</v>
      </c>
      <c r="C206" s="1037">
        <f t="shared" si="26"/>
        <v>0</v>
      </c>
      <c r="D206" s="1013" t="str">
        <f t="shared" si="31"/>
        <v xml:space="preserve"> </v>
      </c>
      <c r="E206" s="1013" t="str">
        <f t="shared" si="32"/>
        <v xml:space="preserve"> </v>
      </c>
      <c r="F206" s="1250" t="str">
        <f t="shared" si="29"/>
        <v>не требуется</v>
      </c>
      <c r="G206" s="1250"/>
      <c r="H206" s="1250"/>
      <c r="I206" s="1013">
        <f t="shared" si="27"/>
        <v>0</v>
      </c>
      <c r="J206" s="1262">
        <f t="shared" si="28"/>
        <v>0</v>
      </c>
      <c r="K206" s="1262"/>
      <c r="L206" s="675">
        <f t="shared" si="33"/>
        <v>0</v>
      </c>
      <c r="N206" s="1032">
        <f t="shared" si="30"/>
        <v>0</v>
      </c>
    </row>
    <row r="207" spans="2:27" ht="15" customHeight="1">
      <c r="B207" s="1037">
        <f>SUBTOTAL(3,$I$137:I207)</f>
        <v>71</v>
      </c>
      <c r="C207" s="1037">
        <f t="shared" si="26"/>
        <v>0</v>
      </c>
      <c r="D207" s="1013" t="str">
        <f t="shared" si="31"/>
        <v xml:space="preserve"> </v>
      </c>
      <c r="E207" s="1013" t="str">
        <f t="shared" si="32"/>
        <v xml:space="preserve"> </v>
      </c>
      <c r="F207" s="1250" t="str">
        <f t="shared" si="29"/>
        <v>не требуется</v>
      </c>
      <c r="G207" s="1250"/>
      <c r="H207" s="1250"/>
      <c r="I207" s="1013">
        <f t="shared" si="27"/>
        <v>0</v>
      </c>
      <c r="J207" s="1262">
        <f t="shared" si="28"/>
        <v>0</v>
      </c>
      <c r="K207" s="1262"/>
      <c r="L207" s="675">
        <f t="shared" si="33"/>
        <v>0</v>
      </c>
      <c r="N207" s="1032">
        <f t="shared" si="30"/>
        <v>0</v>
      </c>
    </row>
    <row r="208" spans="2:27" ht="15" customHeight="1">
      <c r="B208" s="1037">
        <f>SUBTOTAL(3,$I$137:I208)</f>
        <v>72</v>
      </c>
      <c r="C208" s="1037">
        <f t="shared" si="26"/>
        <v>0</v>
      </c>
      <c r="D208" s="1013" t="str">
        <f t="shared" si="31"/>
        <v xml:space="preserve"> </v>
      </c>
      <c r="E208" s="1013" t="str">
        <f t="shared" si="32"/>
        <v xml:space="preserve"> </v>
      </c>
      <c r="F208" s="1250" t="str">
        <f t="shared" si="29"/>
        <v>не требуется</v>
      </c>
      <c r="G208" s="1250"/>
      <c r="H208" s="1250"/>
      <c r="I208" s="1013">
        <f t="shared" si="27"/>
        <v>0</v>
      </c>
      <c r="J208" s="1262">
        <f t="shared" si="28"/>
        <v>0</v>
      </c>
      <c r="K208" s="1262"/>
      <c r="L208" s="675">
        <f t="shared" si="33"/>
        <v>0</v>
      </c>
      <c r="N208" s="1032">
        <f t="shared" si="30"/>
        <v>0</v>
      </c>
    </row>
    <row r="209" spans="2:36" ht="15" customHeight="1">
      <c r="B209" s="1037">
        <f>SUBTOTAL(3,$I$137:I209)</f>
        <v>73</v>
      </c>
      <c r="C209" s="1037">
        <f t="shared" si="26"/>
        <v>0</v>
      </c>
      <c r="D209" s="1013" t="str">
        <f t="shared" si="31"/>
        <v xml:space="preserve"> </v>
      </c>
      <c r="E209" s="1013" t="str">
        <f t="shared" si="32"/>
        <v xml:space="preserve"> </v>
      </c>
      <c r="F209" s="1250" t="str">
        <f t="shared" si="29"/>
        <v>не требуется</v>
      </c>
      <c r="G209" s="1250"/>
      <c r="H209" s="1250"/>
      <c r="I209" s="1013">
        <f t="shared" si="27"/>
        <v>0</v>
      </c>
      <c r="J209" s="1262">
        <f t="shared" si="28"/>
        <v>0</v>
      </c>
      <c r="K209" s="1262"/>
      <c r="L209" s="675">
        <f t="shared" si="33"/>
        <v>0</v>
      </c>
      <c r="N209" s="1032">
        <f t="shared" si="30"/>
        <v>0</v>
      </c>
      <c r="P209" s="477"/>
    </row>
    <row r="210" spans="2:36" ht="15" customHeight="1">
      <c r="B210" s="1037">
        <f>SUBTOTAL(3,$I$137:I210)</f>
        <v>74</v>
      </c>
      <c r="C210" s="1037">
        <f t="shared" si="26"/>
        <v>0</v>
      </c>
      <c r="D210" s="1013" t="str">
        <f t="shared" si="31"/>
        <v xml:space="preserve"> </v>
      </c>
      <c r="E210" s="1013" t="str">
        <f t="shared" si="32"/>
        <v xml:space="preserve"> </v>
      </c>
      <c r="F210" s="1250" t="str">
        <f t="shared" si="29"/>
        <v>не требуется</v>
      </c>
      <c r="G210" s="1250"/>
      <c r="H210" s="1250"/>
      <c r="I210" s="1013">
        <f t="shared" si="27"/>
        <v>0</v>
      </c>
      <c r="J210" s="1262">
        <f t="shared" si="28"/>
        <v>0</v>
      </c>
      <c r="K210" s="1262"/>
      <c r="L210" s="675">
        <f t="shared" si="33"/>
        <v>0</v>
      </c>
      <c r="N210" s="1032">
        <f t="shared" si="30"/>
        <v>0</v>
      </c>
    </row>
    <row r="211" spans="2:36" ht="15" customHeight="1">
      <c r="B211" s="1037">
        <f>SUBTOTAL(3,$I$137:I211)</f>
        <v>75</v>
      </c>
      <c r="C211" s="1037">
        <f t="shared" si="26"/>
        <v>0</v>
      </c>
      <c r="D211" s="1013" t="str">
        <f t="shared" si="31"/>
        <v xml:space="preserve"> </v>
      </c>
      <c r="E211" s="1013" t="str">
        <f t="shared" si="32"/>
        <v xml:space="preserve"> </v>
      </c>
      <c r="F211" s="1250" t="str">
        <f t="shared" si="29"/>
        <v>не требуется</v>
      </c>
      <c r="G211" s="1250"/>
      <c r="H211" s="1250"/>
      <c r="I211" s="1013">
        <f t="shared" si="27"/>
        <v>0</v>
      </c>
      <c r="J211" s="1262">
        <f t="shared" si="28"/>
        <v>0</v>
      </c>
      <c r="K211" s="1262"/>
      <c r="L211" s="675">
        <f t="shared" si="33"/>
        <v>0</v>
      </c>
      <c r="N211" s="1032">
        <f t="shared" si="30"/>
        <v>0</v>
      </c>
    </row>
    <row r="212" spans="2:36" ht="15" customHeight="1">
      <c r="B212" s="1037">
        <f>SUBTOTAL(3,$I$137:I212)</f>
        <v>76</v>
      </c>
      <c r="C212" s="1037">
        <f t="shared" si="26"/>
        <v>0</v>
      </c>
      <c r="D212" s="1013" t="str">
        <f t="shared" si="31"/>
        <v xml:space="preserve"> </v>
      </c>
      <c r="E212" s="1013" t="str">
        <f t="shared" si="32"/>
        <v xml:space="preserve"> </v>
      </c>
      <c r="F212" s="1250" t="str">
        <f t="shared" si="29"/>
        <v>не требуется</v>
      </c>
      <c r="G212" s="1250"/>
      <c r="H212" s="1250"/>
      <c r="I212" s="1013">
        <f t="shared" si="27"/>
        <v>0</v>
      </c>
      <c r="J212" s="1262">
        <f t="shared" si="28"/>
        <v>0</v>
      </c>
      <c r="K212" s="1262"/>
      <c r="L212" s="675">
        <f t="shared" si="33"/>
        <v>0</v>
      </c>
      <c r="N212" s="1032">
        <f t="shared" si="30"/>
        <v>0</v>
      </c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 ht="15" customHeight="1">
      <c r="B213" s="1037">
        <f>SUBTOTAL(3,$I$137:I213)</f>
        <v>77</v>
      </c>
      <c r="C213" s="1037">
        <f t="shared" si="26"/>
        <v>0</v>
      </c>
      <c r="D213" s="1013" t="str">
        <f t="shared" si="31"/>
        <v xml:space="preserve"> </v>
      </c>
      <c r="E213" s="1013" t="str">
        <f t="shared" si="32"/>
        <v xml:space="preserve"> </v>
      </c>
      <c r="F213" s="1250" t="str">
        <f t="shared" si="29"/>
        <v>не требуется</v>
      </c>
      <c r="G213" s="1250"/>
      <c r="H213" s="1250"/>
      <c r="I213" s="1013">
        <f t="shared" si="27"/>
        <v>0</v>
      </c>
      <c r="J213" s="1262">
        <f t="shared" si="28"/>
        <v>0</v>
      </c>
      <c r="K213" s="1262"/>
      <c r="L213" s="675">
        <f>I213+J213</f>
        <v>0</v>
      </c>
      <c r="N213" s="1032">
        <f t="shared" si="30"/>
        <v>0</v>
      </c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 ht="15" customHeight="1">
      <c r="B214" s="1037">
        <f>SUBTOTAL(3,$I$137:I214)</f>
        <v>78</v>
      </c>
      <c r="C214" s="1037">
        <f t="shared" si="26"/>
        <v>0</v>
      </c>
      <c r="D214" s="1013" t="str">
        <f t="shared" si="31"/>
        <v xml:space="preserve"> </v>
      </c>
      <c r="E214" s="1013" t="str">
        <f t="shared" si="32"/>
        <v xml:space="preserve"> </v>
      </c>
      <c r="F214" s="1250" t="str">
        <f t="shared" si="29"/>
        <v>не требуется</v>
      </c>
      <c r="G214" s="1250"/>
      <c r="H214" s="1250"/>
      <c r="I214" s="1013">
        <f t="shared" si="27"/>
        <v>0</v>
      </c>
      <c r="J214" s="1262">
        <f t="shared" si="28"/>
        <v>0</v>
      </c>
      <c r="K214" s="1262"/>
      <c r="L214" s="675">
        <f>I214+J214</f>
        <v>0</v>
      </c>
      <c r="N214" s="1032">
        <f t="shared" si="30"/>
        <v>0</v>
      </c>
    </row>
    <row r="215" spans="2:36" ht="15" customHeight="1">
      <c r="B215" s="1037">
        <f>SUBTOTAL(3,$I$137:I215)</f>
        <v>79</v>
      </c>
      <c r="C215" s="1037">
        <f t="shared" si="26"/>
        <v>0</v>
      </c>
      <c r="D215" s="1013" t="str">
        <f t="shared" si="31"/>
        <v xml:space="preserve"> </v>
      </c>
      <c r="E215" s="1013" t="str">
        <f t="shared" si="32"/>
        <v xml:space="preserve"> </v>
      </c>
      <c r="F215" s="1250" t="str">
        <f t="shared" si="29"/>
        <v>не требуется</v>
      </c>
      <c r="G215" s="1250"/>
      <c r="H215" s="1250"/>
      <c r="I215" s="1013">
        <f t="shared" si="27"/>
        <v>0</v>
      </c>
      <c r="J215" s="1262">
        <f t="shared" si="28"/>
        <v>0</v>
      </c>
      <c r="K215" s="1262"/>
      <c r="L215" s="675">
        <f>I215+J215</f>
        <v>0</v>
      </c>
      <c r="N215" s="1032">
        <f t="shared" si="30"/>
        <v>0</v>
      </c>
    </row>
    <row r="216" spans="2:36" ht="15" customHeight="1">
      <c r="B216" s="1037">
        <f>SUBTOTAL(3,$I$137:I216)</f>
        <v>80</v>
      </c>
      <c r="C216" s="1037">
        <f t="shared" si="26"/>
        <v>0</v>
      </c>
      <c r="D216" s="1013" t="str">
        <f t="shared" si="31"/>
        <v xml:space="preserve"> </v>
      </c>
      <c r="E216" s="1013" t="str">
        <f t="shared" si="32"/>
        <v xml:space="preserve"> </v>
      </c>
      <c r="F216" s="1250" t="str">
        <f t="shared" si="29"/>
        <v>не требуется</v>
      </c>
      <c r="G216" s="1250"/>
      <c r="H216" s="1250"/>
      <c r="I216" s="1013">
        <f t="shared" si="27"/>
        <v>0</v>
      </c>
      <c r="J216" s="1262">
        <f t="shared" si="28"/>
        <v>0</v>
      </c>
      <c r="K216" s="1262"/>
      <c r="L216" s="675">
        <f>I216+J216</f>
        <v>0</v>
      </c>
      <c r="N216" s="1032">
        <f t="shared" si="30"/>
        <v>0</v>
      </c>
    </row>
    <row r="217" spans="2:36" ht="15" customHeight="1">
      <c r="B217" s="1024"/>
      <c r="C217" s="1024"/>
      <c r="D217" s="1035"/>
      <c r="E217" s="1035"/>
      <c r="F217" s="449"/>
      <c r="G217" s="449"/>
      <c r="H217" s="449"/>
      <c r="I217" s="1035"/>
      <c r="J217" s="376"/>
      <c r="K217" s="376"/>
      <c r="L217" s="376"/>
      <c r="N217" s="1032">
        <f>IF(OR($V$4=$AA$10,$V$4=$AA$11),1,0)</f>
        <v>0</v>
      </c>
    </row>
    <row r="218" spans="2:36" ht="15" customHeight="1">
      <c r="B218" s="1263" t="s">
        <v>669</v>
      </c>
      <c r="C218" s="1264"/>
      <c r="D218" s="1264"/>
      <c r="E218" s="1264"/>
      <c r="F218" s="1264"/>
      <c r="G218" s="1268" t="str">
        <f>номер_объекта</f>
        <v>11-27ХХ-МПКПМКИ-12.21</v>
      </c>
      <c r="H218" s="1268"/>
      <c r="I218" s="1268"/>
      <c r="J218" s="1268"/>
      <c r="K218" s="1271" t="str">
        <f ca="1">IF(K5=0," ",K5)</f>
        <v>ТИП7</v>
      </c>
      <c r="L218" s="1272"/>
      <c r="N218" s="1032">
        <f t="shared" ref="N218:N224" si="34">IF(OR($V$4=$AA$10,$V$4=$AA$11),1,0)</f>
        <v>0</v>
      </c>
    </row>
    <row r="219" spans="2:36" ht="15" customHeight="1">
      <c r="B219" s="1265"/>
      <c r="C219" s="1223"/>
      <c r="D219" s="1223"/>
      <c r="E219" s="1223"/>
      <c r="F219" s="1223"/>
      <c r="G219" s="1269"/>
      <c r="H219" s="1269"/>
      <c r="I219" s="1269"/>
      <c r="J219" s="1269"/>
      <c r="K219" s="1273"/>
      <c r="L219" s="1274"/>
      <c r="N219" s="1032">
        <f t="shared" si="34"/>
        <v>0</v>
      </c>
    </row>
    <row r="220" spans="2:36" ht="15" customHeight="1" thickBot="1">
      <c r="B220" s="1266"/>
      <c r="C220" s="1267"/>
      <c r="D220" s="1267"/>
      <c r="E220" s="1267"/>
      <c r="F220" s="1267"/>
      <c r="G220" s="1270"/>
      <c r="H220" s="1270"/>
      <c r="I220" s="1270"/>
      <c r="J220" s="1270"/>
      <c r="K220" s="1275"/>
      <c r="L220" s="1276"/>
      <c r="N220" s="1032">
        <f t="shared" si="34"/>
        <v>0</v>
      </c>
      <c r="P220" s="1"/>
      <c r="Q220" s="1"/>
      <c r="R220" s="1"/>
      <c r="S220" s="1"/>
      <c r="T220" s="1"/>
      <c r="U220" s="1"/>
      <c r="V220" s="1"/>
      <c r="W220" s="1"/>
    </row>
    <row r="221" spans="2:36" ht="15" customHeight="1">
      <c r="B221" s="1260" t="s">
        <v>128</v>
      </c>
      <c r="C221" s="1260" t="s">
        <v>646</v>
      </c>
      <c r="D221" s="1260" t="s">
        <v>173</v>
      </c>
      <c r="E221" s="1277" t="s">
        <v>509</v>
      </c>
      <c r="F221" s="1260" t="s">
        <v>174</v>
      </c>
      <c r="G221" s="1260"/>
      <c r="H221" s="1260"/>
      <c r="I221" s="1260" t="s">
        <v>647</v>
      </c>
      <c r="J221" s="1"/>
      <c r="K221" s="1"/>
      <c r="L221" s="1"/>
      <c r="N221" s="1032">
        <f t="shared" si="34"/>
        <v>0</v>
      </c>
      <c r="P221" s="451" t="s">
        <v>622</v>
      </c>
      <c r="Q221" s="1020"/>
      <c r="R221" s="1020"/>
      <c r="S221" s="1020"/>
      <c r="T221" s="1020"/>
      <c r="U221" s="1020"/>
      <c r="W221" s="486" t="str">
        <f ca="1">HYPERLINK("#"&amp;$AB$5&amp;"!B1","⇑ ")</f>
        <v xml:space="preserve">⇑ </v>
      </c>
      <c r="Y221" s="462" t="s">
        <v>643</v>
      </c>
      <c r="Z221" s="452" t="s">
        <v>633</v>
      </c>
      <c r="AA221" s="453" t="s">
        <v>623</v>
      </c>
      <c r="AB221" s="453" t="s">
        <v>624</v>
      </c>
      <c r="AC221" s="453" t="s">
        <v>625</v>
      </c>
      <c r="AD221" s="454" t="s">
        <v>626</v>
      </c>
      <c r="AE221" s="455" t="s">
        <v>627</v>
      </c>
      <c r="AF221" s="455" t="s">
        <v>628</v>
      </c>
      <c r="AG221" s="455" t="s">
        <v>629</v>
      </c>
      <c r="AH221" s="455" t="s">
        <v>630</v>
      </c>
      <c r="AI221" s="455" t="s">
        <v>631</v>
      </c>
      <c r="AJ221" s="456" t="s">
        <v>632</v>
      </c>
    </row>
    <row r="222" spans="2:36" ht="15" customHeight="1" thickBot="1">
      <c r="B222" s="1261"/>
      <c r="C222" s="1261"/>
      <c r="D222" s="1261"/>
      <c r="E222" s="1278"/>
      <c r="F222" s="1261"/>
      <c r="G222" s="1261"/>
      <c r="H222" s="1261"/>
      <c r="I222" s="1261"/>
      <c r="J222" s="1"/>
      <c r="K222" s="1"/>
      <c r="L222" s="1"/>
      <c r="N222" s="1032">
        <f t="shared" si="34"/>
        <v>0</v>
      </c>
      <c r="Y222" s="439">
        <f>(INDEX(AA222:AJ222,1,MATCH(P224,AA221:AJ221,0))*Q224)</f>
        <v>0</v>
      </c>
      <c r="Z222" s="458" t="s">
        <v>634</v>
      </c>
      <c r="AA222" s="459">
        <v>6</v>
      </c>
      <c r="AB222" s="459">
        <v>8</v>
      </c>
      <c r="AC222" s="459">
        <v>10</v>
      </c>
      <c r="AD222" s="459">
        <v>8</v>
      </c>
      <c r="AE222" s="459">
        <v>10</v>
      </c>
      <c r="AF222" s="459">
        <v>12</v>
      </c>
      <c r="AG222" s="459">
        <v>16</v>
      </c>
      <c r="AH222" s="459">
        <v>20</v>
      </c>
      <c r="AI222" s="459">
        <v>24</v>
      </c>
      <c r="AJ222" s="460">
        <v>26</v>
      </c>
    </row>
    <row r="223" spans="2:36" ht="15" customHeight="1" thickBot="1">
      <c r="B223" s="1261"/>
      <c r="C223" s="1261"/>
      <c r="D223" s="1261"/>
      <c r="E223" s="1278"/>
      <c r="F223" s="1261"/>
      <c r="G223" s="1261"/>
      <c r="H223" s="1261"/>
      <c r="I223" s="1261"/>
      <c r="J223" s="1"/>
      <c r="K223" s="1"/>
      <c r="L223" s="1"/>
      <c r="N223" s="1032">
        <f t="shared" si="34"/>
        <v>0</v>
      </c>
      <c r="P223" s="461" t="s">
        <v>642</v>
      </c>
      <c r="Q223" s="487" t="s">
        <v>633</v>
      </c>
      <c r="Y223" s="266">
        <f>R3</f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 ht="15" customHeight="1" thickBot="1">
      <c r="B224" s="1018">
        <v>1</v>
      </c>
      <c r="C224" s="1018">
        <v>2</v>
      </c>
      <c r="D224" s="1018">
        <v>3</v>
      </c>
      <c r="E224" s="1018">
        <v>4</v>
      </c>
      <c r="F224" s="1261">
        <v>5</v>
      </c>
      <c r="G224" s="1261"/>
      <c r="H224" s="1261"/>
      <c r="I224" s="1018">
        <v>6</v>
      </c>
      <c r="J224" s="1"/>
      <c r="K224" s="1"/>
      <c r="L224" s="1"/>
      <c r="N224" s="1032">
        <f t="shared" si="34"/>
        <v>0</v>
      </c>
      <c r="P224" s="489" t="s">
        <v>623</v>
      </c>
      <c r="Q224" s="488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 ht="15" customHeight="1">
      <c r="B225" s="1037">
        <f>SUBTOTAL(3,$I$225:I225)</f>
        <v>1</v>
      </c>
      <c r="C225" s="1037">
        <f>IF(OR($V$4=$AA$10,$V$4=$AA$11),_xlfn.CEILING.MATH($R$3+$Y$222,10),0)</f>
        <v>0</v>
      </c>
      <c r="D225" s="1013" t="str">
        <f t="shared" ref="D225:D288" si="35">IFERROR(IF(AND($R$4=$Y$7,OR($V$4=$AA$10,$V$4=$AA$11)),INDEX($AH$303:$AI$370,MATCH(C225,$AG$303:$AG$370,0),1),IF(AND($R$4=$Y$8,OR($V$4=$AA$10,$V$4=$AA$11)),INDEX($AK$303:$AL$372,MATCH(C225,$AJ$303:$AJ$372,0),1),IF(OR($V$4&lt;&gt;$AA$10,$V$4&lt;&gt;$AA$11)," "))),"НЕТ ДАННЫХ")</f>
        <v xml:space="preserve"> </v>
      </c>
      <c r="E225" s="1013" t="str">
        <f t="shared" ref="E225:E288" si="36">IFERROR(IF(AND($R$4=$Y$7,OR($V$4=$AA$10,$V$4=$AA$11)),INDEX($AH$303:$AI$370,MATCH(C225,$AG$303:$AG$370,0),2),IF(AND($R$4=$Y$8,OR($V$4=$AA$10,$V$4=$AA$11)),INDEX($AK$303:$AL$372,MATCH(C225,$AJ$303:$AJ$372,0),2),IF(OR($V$4&lt;&gt;$AA$10,$V$4&lt;&gt;$AA$11)," "))),"НЕТ ДАННЫХ")</f>
        <v xml:space="preserve"> </v>
      </c>
      <c r="F225" s="1250" t="str">
        <f>IF(AND(OR($V$4=$Y$12,$V$4=$AA$8,$V$4=$AA$9,$V$4=$AA$10,$V$4=$AA$11),OR($R$4=$Y$7,$R$4=$Y$9)),"8х45",IF(AND($V$4=$AA$7,C225&gt;300),"8х45",IF(AND($V$4=$AA$7,$AA$2=$AA$6),"8х45","не требуется")))</f>
        <v>не требуется</v>
      </c>
      <c r="G225" s="1250"/>
      <c r="H225" s="1250"/>
      <c r="I225" s="1019">
        <f>ROUNDUP(IF(AND(OR($V$4=$AA$10,$V$4=$AA$11),$T$3=$Y$11,$T$4=$Y$11),ПЛ*$Q$226,IF(AND(OR($V$4=$AA$10,$V$4=$AA$11),$T$3=$Y$13,$T$4&lt;&gt;$Y$19),((SUM(S228:S230)-SUM(Q234:Q235,T234:T235,W234:W235)*1.2*0.6)*Q226))),0)</f>
        <v>0</v>
      </c>
      <c r="J225" s="1"/>
      <c r="K225" s="1"/>
      <c r="L225" s="1"/>
      <c r="N225" s="1032">
        <f t="shared" si="3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 ht="15" customHeight="1" thickBot="1">
      <c r="B226" s="1037">
        <f>SUBTOTAL(3,$I$225:I226)</f>
        <v>2</v>
      </c>
      <c r="C226" s="1037">
        <f t="shared" ref="C226:C289" si="37">IF(OR($V$4=$AA$10,$V$4=$AA$11),AF228+_xlfn.CEILING.MATH($Y$222,10),0)</f>
        <v>0</v>
      </c>
      <c r="D226" s="1013" t="str">
        <f t="shared" si="35"/>
        <v xml:space="preserve"> </v>
      </c>
      <c r="E226" s="1013" t="str">
        <f t="shared" si="36"/>
        <v xml:space="preserve"> </v>
      </c>
      <c r="F226" s="1250" t="str">
        <f>IF(AND(OR($V$4=$Y$12,$V$4=$AA$8,$V$4=$AA$9,$V$4=$AA$10,$V$4=$AA$11),OR($R$4=$Y$7,$R$4=$Y$9)),"8х45",IF(AND($V$4=$AA$7,C226&gt;300),"8х45",IF(AND($V$4=$AA$7,$AA$2=$AA$6),"8х45","не требуется")))</f>
        <v>не требуется</v>
      </c>
      <c r="G226" s="1250"/>
      <c r="H226" s="1250"/>
      <c r="I226" s="1013">
        <f>IF(AJ228&gt;0,AJ228,0)</f>
        <v>0</v>
      </c>
      <c r="J226" s="1"/>
      <c r="K226" s="1"/>
      <c r="L226" s="1"/>
      <c r="N226" s="1032">
        <f t="shared" si="30"/>
        <v>0</v>
      </c>
      <c r="P226" s="726" t="s">
        <v>649</v>
      </c>
      <c r="Q226" s="485"/>
      <c r="R226" s="450" t="s">
        <v>637</v>
      </c>
      <c r="Z226" s="384"/>
    </row>
    <row r="227" spans="2:36" ht="15" customHeight="1">
      <c r="B227" s="1037">
        <f>SUBTOTAL(3,$I$225:I227)</f>
        <v>3</v>
      </c>
      <c r="C227" s="1037">
        <f t="shared" si="37"/>
        <v>0</v>
      </c>
      <c r="D227" s="1013" t="str">
        <f t="shared" si="35"/>
        <v xml:space="preserve"> </v>
      </c>
      <c r="E227" s="1013" t="str">
        <f t="shared" si="36"/>
        <v xml:space="preserve"> </v>
      </c>
      <c r="F227" s="1250" t="str">
        <f t="shared" ref="F227:F290" si="38">IF(AND(OR($V$4=$Y$12,$V$4=$AA$8,$V$4=$AA$9,$V$4=$AA$10,$V$4=$AA$11),OR($R$4=$Y$7,$R$4=$Y$9)),"8х45",IF(AND($V$4=$AA$7,C227&gt;300),"8х45",IF(AND($V$4=$AA$7,$AA$2=$AA$6),"8х45","не требуется")))</f>
        <v>не требуется</v>
      </c>
      <c r="G227" s="1250"/>
      <c r="H227" s="1250"/>
      <c r="I227" s="1013">
        <f t="shared" ref="I227:I290" si="39">IF(AJ229&gt;0,AJ229,0)</f>
        <v>0</v>
      </c>
      <c r="J227" s="1"/>
      <c r="K227" s="1"/>
      <c r="L227" s="1"/>
      <c r="N227" s="1032">
        <f t="shared" si="30"/>
        <v>0</v>
      </c>
      <c r="Y227" s="384"/>
      <c r="Z227" s="384"/>
      <c r="AF227" s="471">
        <v>0</v>
      </c>
      <c r="AG227" s="474">
        <f>SUMIF($Y$233:$Y$285,AF227,$Z$233:$Z$285)</f>
        <v>0</v>
      </c>
      <c r="AH227" s="466">
        <f>SUMIF($AA$233:$AA$285,AF227,$AB$233:$AB$285)</f>
        <v>0</v>
      </c>
      <c r="AI227" s="467">
        <f>SUMIF($AC$233:$AC$285,AF227,$AD$233:$AD$285)</f>
        <v>0</v>
      </c>
      <c r="AJ227" s="468">
        <f>AI227+AH227+AG227</f>
        <v>0</v>
      </c>
    </row>
    <row r="228" spans="2:36" ht="15" customHeight="1">
      <c r="B228" s="1037">
        <f>SUBTOTAL(3,$I$225:I228)</f>
        <v>4</v>
      </c>
      <c r="C228" s="1037">
        <f t="shared" si="37"/>
        <v>0</v>
      </c>
      <c r="D228" s="1013" t="str">
        <f t="shared" si="35"/>
        <v xml:space="preserve"> </v>
      </c>
      <c r="E228" s="1013" t="str">
        <f t="shared" si="36"/>
        <v xml:space="preserve"> </v>
      </c>
      <c r="F228" s="1250" t="str">
        <f t="shared" si="38"/>
        <v>не требуется</v>
      </c>
      <c r="G228" s="1250"/>
      <c r="H228" s="1250"/>
      <c r="I228" s="1013">
        <f t="shared" si="39"/>
        <v>0</v>
      </c>
      <c r="J228" s="1"/>
      <c r="K228" s="1"/>
      <c r="L228" s="1"/>
      <c r="N228" s="1032">
        <f t="shared" si="30"/>
        <v>0</v>
      </c>
      <c r="P228" s="464" t="s">
        <v>648</v>
      </c>
      <c r="Q228" s="463"/>
      <c r="R228" s="450" t="s">
        <v>637</v>
      </c>
      <c r="S228" s="463"/>
      <c r="T228" s="450" t="s">
        <v>641</v>
      </c>
      <c r="Z228" s="384"/>
      <c r="AF228" s="472">
        <v>10</v>
      </c>
      <c r="AG228" s="475">
        <f t="shared" ref="AG228:AG291" si="40">SUMIF($Y$233:$Y$285,AF228,$Z$233:$Z$285)</f>
        <v>0</v>
      </c>
      <c r="AH228" s="573">
        <f t="shared" ref="AH228:AH291" si="41">SUMIF($AA$233:$AA$285,AF228,$AB$233:$AB$285)</f>
        <v>0</v>
      </c>
      <c r="AI228" s="457">
        <f t="shared" ref="AI228:AI291" si="42">SUMIF($AC$233:$AC$285,AF228,$AD$233:$AD$285)</f>
        <v>0</v>
      </c>
      <c r="AJ228" s="469">
        <f t="shared" ref="AJ228:AJ291" si="43">AI228+AH228+AG228</f>
        <v>0</v>
      </c>
    </row>
    <row r="229" spans="2:36" ht="15" customHeight="1" thickBot="1">
      <c r="B229" s="1037">
        <f>SUBTOTAL(3,$I$225:I229)</f>
        <v>5</v>
      </c>
      <c r="C229" s="1037">
        <f t="shared" si="37"/>
        <v>0</v>
      </c>
      <c r="D229" s="1013" t="str">
        <f t="shared" si="35"/>
        <v xml:space="preserve"> </v>
      </c>
      <c r="E229" s="1013" t="str">
        <f t="shared" si="36"/>
        <v xml:space="preserve"> </v>
      </c>
      <c r="F229" s="1250" t="str">
        <f t="shared" si="38"/>
        <v>не требуется</v>
      </c>
      <c r="G229" s="1250"/>
      <c r="H229" s="1250"/>
      <c r="I229" s="1013">
        <f t="shared" si="39"/>
        <v>0</v>
      </c>
      <c r="J229" s="1"/>
      <c r="K229" s="1"/>
      <c r="L229" s="1"/>
      <c r="N229" s="1032">
        <f t="shared" si="30"/>
        <v>0</v>
      </c>
      <c r="P229" s="448" t="s">
        <v>644</v>
      </c>
      <c r="Q229" s="463"/>
      <c r="R229" s="450" t="s">
        <v>637</v>
      </c>
      <c r="S229" s="463"/>
      <c r="T229" s="450" t="s">
        <v>641</v>
      </c>
      <c r="U229" s="158"/>
      <c r="V229" s="158"/>
      <c r="W229" s="158"/>
      <c r="X229" s="158"/>
      <c r="Z229" s="465"/>
      <c r="AA229" s="158"/>
      <c r="AB229" s="158"/>
      <c r="AC229" s="158"/>
      <c r="AD229" s="158"/>
      <c r="AE229" s="158"/>
      <c r="AF229" s="472">
        <v>20</v>
      </c>
      <c r="AG229" s="475">
        <f t="shared" si="40"/>
        <v>0</v>
      </c>
      <c r="AH229" s="573">
        <f t="shared" si="41"/>
        <v>0</v>
      </c>
      <c r="AI229" s="457">
        <f t="shared" si="42"/>
        <v>0</v>
      </c>
      <c r="AJ229" s="469">
        <f t="shared" si="43"/>
        <v>0</v>
      </c>
    </row>
    <row r="230" spans="2:36" ht="15" customHeight="1">
      <c r="B230" s="1037">
        <f>SUBTOTAL(3,$I$225:I230)</f>
        <v>6</v>
      </c>
      <c r="C230" s="1037">
        <f t="shared" si="37"/>
        <v>0</v>
      </c>
      <c r="D230" s="1013" t="str">
        <f t="shared" si="35"/>
        <v xml:space="preserve"> </v>
      </c>
      <c r="E230" s="1013" t="str">
        <f t="shared" si="36"/>
        <v xml:space="preserve"> </v>
      </c>
      <c r="F230" s="1250" t="str">
        <f t="shared" si="38"/>
        <v>не требуется</v>
      </c>
      <c r="G230" s="1250"/>
      <c r="H230" s="1250"/>
      <c r="I230" s="1013">
        <f t="shared" si="39"/>
        <v>0</v>
      </c>
      <c r="J230" s="1"/>
      <c r="K230" s="1"/>
      <c r="L230" s="1"/>
      <c r="N230" s="1032">
        <f t="shared" si="30"/>
        <v>0</v>
      </c>
      <c r="P230" s="448" t="s">
        <v>645</v>
      </c>
      <c r="Q230" s="463"/>
      <c r="R230" s="450" t="s">
        <v>637</v>
      </c>
      <c r="S230" s="463"/>
      <c r="T230" s="450" t="s">
        <v>641</v>
      </c>
      <c r="Y230" s="482">
        <f>IFERROR(IF(AND(T3=Y13,T4=Y19),0,IF(AND($T$3=$Y$13,$T$4&lt;&gt;$Y$19),(SUM($Q$242:$Q$294)/(SUM($Q$234:$Q$235)*1.2*0.6)),ROUND(SUM($Q$242:$Q$294)/$S$228,2))),0)</f>
        <v>0</v>
      </c>
      <c r="Z230" s="480">
        <f>IFERROR(ROUND(SUM(Z233:Z285)/S228,2),0)</f>
        <v>0</v>
      </c>
      <c r="AA230" s="480">
        <f>IFERROR(IF(AND($T$3=$Y$13,$T$4=$Y$19),0,IF(AND($T$3=$Y$13,$T$4&lt;&gt;$Y$19),(SUM($T$242:$T$294)/(SUM($T$234:$T$235)*1.2*0.6)),ROUND(SUM($T$242:$T$294)/$S$229,2))),0)</f>
        <v>0</v>
      </c>
      <c r="AB230" s="480">
        <f>IFERROR(ROUND(SUM(AB233:AB285)/S229,2),0)</f>
        <v>0</v>
      </c>
      <c r="AC230" s="480">
        <f>IFERROR(IF(AND($T$3=$Y$13,$T$4=$Y$19),0,IF(AND($T$3=$Y$13,$T$4&lt;&gt;$Y$19),(SUM($W$242:$W$294)/(SUM($W$234:$W$235)*1.2*0.6)),ROUND(SUM($W$242:$W$294)/$S$230,2))),0)</f>
        <v>0</v>
      </c>
      <c r="AD230" s="481">
        <f>IFERROR(ROUND(SUM(AD233:AD285)/S230,2),0)</f>
        <v>0</v>
      </c>
      <c r="AF230" s="472">
        <v>30</v>
      </c>
      <c r="AG230" s="475">
        <f t="shared" si="40"/>
        <v>0</v>
      </c>
      <c r="AH230" s="573">
        <f t="shared" si="41"/>
        <v>0</v>
      </c>
      <c r="AI230" s="457">
        <f t="shared" si="42"/>
        <v>0</v>
      </c>
      <c r="AJ230" s="469">
        <f t="shared" si="43"/>
        <v>0</v>
      </c>
    </row>
    <row r="231" spans="2:36" ht="15" customHeight="1">
      <c r="B231" s="1037">
        <f>SUBTOTAL(3,$I$225:I231)</f>
        <v>7</v>
      </c>
      <c r="C231" s="1037">
        <f t="shared" si="37"/>
        <v>0</v>
      </c>
      <c r="D231" s="1013" t="str">
        <f t="shared" si="35"/>
        <v xml:space="preserve"> </v>
      </c>
      <c r="E231" s="1013" t="str">
        <f t="shared" si="36"/>
        <v xml:space="preserve"> </v>
      </c>
      <c r="F231" s="1250" t="str">
        <f t="shared" si="38"/>
        <v>не требуется</v>
      </c>
      <c r="G231" s="1250"/>
      <c r="H231" s="1250"/>
      <c r="I231" s="1013">
        <f t="shared" si="39"/>
        <v>0</v>
      </c>
      <c r="J231" s="1"/>
      <c r="K231" s="1"/>
      <c r="L231" s="1"/>
      <c r="N231" s="1032">
        <f t="shared" si="30"/>
        <v>0</v>
      </c>
      <c r="Y231" s="1256" t="s">
        <v>638</v>
      </c>
      <c r="Z231" s="1257"/>
      <c r="AA231" s="1258" t="s">
        <v>639</v>
      </c>
      <c r="AB231" s="1257"/>
      <c r="AC231" s="1258" t="s">
        <v>640</v>
      </c>
      <c r="AD231" s="1259"/>
      <c r="AF231" s="472">
        <v>40</v>
      </c>
      <c r="AG231" s="475">
        <f t="shared" si="40"/>
        <v>0</v>
      </c>
      <c r="AH231" s="573">
        <f t="shared" si="41"/>
        <v>0</v>
      </c>
      <c r="AI231" s="457">
        <f t="shared" si="42"/>
        <v>0</v>
      </c>
      <c r="AJ231" s="469">
        <f t="shared" si="43"/>
        <v>0</v>
      </c>
    </row>
    <row r="232" spans="2:36" ht="15" customHeight="1">
      <c r="B232" s="1037">
        <f>SUBTOTAL(3,$I$225:I232)</f>
        <v>8</v>
      </c>
      <c r="C232" s="1037">
        <f t="shared" si="37"/>
        <v>0</v>
      </c>
      <c r="D232" s="1013" t="str">
        <f t="shared" si="35"/>
        <v xml:space="preserve"> </v>
      </c>
      <c r="E232" s="1013" t="str">
        <f t="shared" si="36"/>
        <v xml:space="preserve"> </v>
      </c>
      <c r="F232" s="1250" t="str">
        <f t="shared" si="38"/>
        <v>не требуется</v>
      </c>
      <c r="G232" s="1250"/>
      <c r="H232" s="1250"/>
      <c r="I232" s="1013">
        <f t="shared" si="39"/>
        <v>0</v>
      </c>
      <c r="J232" s="1"/>
      <c r="K232" s="1"/>
      <c r="L232" s="1"/>
      <c r="N232" s="1032">
        <f t="shared" si="30"/>
        <v>0</v>
      </c>
      <c r="P232" s="1255" t="str">
        <f>IF($T$4="нет"," ",$T$4)</f>
        <v xml:space="preserve"> </v>
      </c>
      <c r="Q232" s="1254" t="str">
        <f>IF(T4="нет"," ","Кол-во, шт.")</f>
        <v xml:space="preserve"> </v>
      </c>
      <c r="S232" s="1255" t="str">
        <f>IF($T$4="нет"," ",$T$4)</f>
        <v xml:space="preserve"> </v>
      </c>
      <c r="T232" s="1254" t="str">
        <f>IF(T4="нет"," ","Кол-во, шт.")</f>
        <v xml:space="preserve"> </v>
      </c>
      <c r="V232" s="1255" t="str">
        <f>IF($T$4="нет"," ",$T$4)</f>
        <v xml:space="preserve"> </v>
      </c>
      <c r="W232" s="1254" t="str">
        <f>IF(T4="нет"," ","Кол-во, шт.")</f>
        <v xml:space="preserve"> </v>
      </c>
      <c r="Y232" s="475" t="s">
        <v>635</v>
      </c>
      <c r="Z232" s="573" t="s">
        <v>636</v>
      </c>
      <c r="AA232" s="573" t="s">
        <v>635</v>
      </c>
      <c r="AB232" s="573" t="s">
        <v>636</v>
      </c>
      <c r="AC232" s="573" t="s">
        <v>635</v>
      </c>
      <c r="AD232" s="457" t="s">
        <v>636</v>
      </c>
      <c r="AF232" s="472">
        <v>50</v>
      </c>
      <c r="AG232" s="475">
        <f t="shared" si="40"/>
        <v>0</v>
      </c>
      <c r="AH232" s="573">
        <f t="shared" si="41"/>
        <v>0</v>
      </c>
      <c r="AI232" s="457">
        <f t="shared" si="42"/>
        <v>0</v>
      </c>
      <c r="AJ232" s="469">
        <f t="shared" si="43"/>
        <v>0</v>
      </c>
    </row>
    <row r="233" spans="2:36" ht="15" customHeight="1">
      <c r="B233" s="1037">
        <f>SUBTOTAL(3,$I$225:I233)</f>
        <v>9</v>
      </c>
      <c r="C233" s="1037">
        <f t="shared" si="37"/>
        <v>0</v>
      </c>
      <c r="D233" s="1013" t="str">
        <f t="shared" si="35"/>
        <v xml:space="preserve"> </v>
      </c>
      <c r="E233" s="1013" t="str">
        <f t="shared" si="36"/>
        <v xml:space="preserve"> </v>
      </c>
      <c r="F233" s="1250" t="str">
        <f t="shared" si="38"/>
        <v>не требуется</v>
      </c>
      <c r="G233" s="1250"/>
      <c r="H233" s="1250"/>
      <c r="I233" s="1013">
        <f t="shared" si="39"/>
        <v>0</v>
      </c>
      <c r="J233" s="1"/>
      <c r="K233" s="1"/>
      <c r="L233" s="1"/>
      <c r="N233" s="1032">
        <f t="shared" si="30"/>
        <v>0</v>
      </c>
      <c r="P233" s="1255"/>
      <c r="Q233" s="1254"/>
      <c r="S233" s="1255"/>
      <c r="T233" s="1254"/>
      <c r="V233" s="1255"/>
      <c r="W233" s="1254"/>
      <c r="Y233" s="475">
        <f t="shared" ref="Y233:Y285" si="44">P242</f>
        <v>0</v>
      </c>
      <c r="Z233" s="573">
        <f>IFERROR(ROUNDUP(Q242*$Q$228/$Y$230,0),0)</f>
        <v>0</v>
      </c>
      <c r="AA233" s="573">
        <f t="shared" ref="AA233:AA285" si="45">S242</f>
        <v>0</v>
      </c>
      <c r="AB233" s="573">
        <f>IFERROR(ROUNDUP(T242*$Q$229/$AA$230,0),0)</f>
        <v>0</v>
      </c>
      <c r="AC233" s="573">
        <f t="shared" ref="AC233:AC285" si="46">V242</f>
        <v>0</v>
      </c>
      <c r="AD233" s="457">
        <f>IFERROR(ROUNDUP(W242*$Q$230/$AC$230,0),0)</f>
        <v>0</v>
      </c>
      <c r="AF233" s="472">
        <v>60</v>
      </c>
      <c r="AG233" s="475">
        <f t="shared" si="40"/>
        <v>0</v>
      </c>
      <c r="AH233" s="573">
        <f t="shared" si="41"/>
        <v>0</v>
      </c>
      <c r="AI233" s="457">
        <f t="shared" si="42"/>
        <v>0</v>
      </c>
      <c r="AJ233" s="469">
        <f t="shared" si="43"/>
        <v>0</v>
      </c>
    </row>
    <row r="234" spans="2:36" ht="15" customHeight="1">
      <c r="B234" s="1037">
        <f>SUBTOTAL(3,$I$225:I234)</f>
        <v>10</v>
      </c>
      <c r="C234" s="1037">
        <f t="shared" si="37"/>
        <v>0</v>
      </c>
      <c r="D234" s="1013" t="str">
        <f t="shared" si="35"/>
        <v xml:space="preserve"> </v>
      </c>
      <c r="E234" s="1013" t="str">
        <f t="shared" si="36"/>
        <v xml:space="preserve"> </v>
      </c>
      <c r="F234" s="1250" t="str">
        <f t="shared" si="38"/>
        <v>не требуется</v>
      </c>
      <c r="G234" s="1250"/>
      <c r="H234" s="1250"/>
      <c r="I234" s="1013">
        <f t="shared" si="39"/>
        <v>0</v>
      </c>
      <c r="J234" s="376"/>
      <c r="K234" s="376"/>
      <c r="L234" s="376"/>
      <c r="N234" s="1032">
        <f t="shared" si="30"/>
        <v>0</v>
      </c>
      <c r="P234" s="1017" t="str">
        <f>IF($T$4="нет"," ",IF($T$4="КВ 4.2%","Плиты А",IF($T$4="XPS 8.3%","Плиты М","Плиты J")))</f>
        <v xml:space="preserve"> </v>
      </c>
      <c r="Q234" s="448"/>
      <c r="S234" s="1017" t="str">
        <f>IF($T$4="нет"," ",IF($T$4="КВ 4.2%","Плиты А",IF($T$4="XPS 8.3%","Плиты М","Плиты J")))</f>
        <v xml:space="preserve"> </v>
      </c>
      <c r="T234" s="448"/>
      <c r="V234" s="1017" t="str">
        <f>IF($T$4="нет"," ",IF($T$4="КВ 4.2%","Плиты А",IF($T$4="XPS 8.3%","Плиты М","Плиты J")))</f>
        <v xml:space="preserve"> </v>
      </c>
      <c r="W234" s="448"/>
      <c r="Y234" s="475">
        <f t="shared" si="44"/>
        <v>0</v>
      </c>
      <c r="Z234" s="573">
        <f t="shared" ref="Z234:Z285" si="47">IFERROR(ROUNDUP(Q243*$Q$228/$Y$230,0),0)</f>
        <v>0</v>
      </c>
      <c r="AA234" s="573">
        <f t="shared" si="45"/>
        <v>0</v>
      </c>
      <c r="AB234" s="573">
        <f t="shared" ref="AB234:AB285" si="48">IFERROR(ROUNDUP(T243*$Q$229/$AA$230,0),0)</f>
        <v>0</v>
      </c>
      <c r="AC234" s="573">
        <f t="shared" si="46"/>
        <v>0</v>
      </c>
      <c r="AD234" s="457">
        <f t="shared" ref="AD234:AD285" si="49">IFERROR(ROUNDUP(W243*$Q$230/$AC$230,0),0)</f>
        <v>0</v>
      </c>
      <c r="AF234" s="472">
        <v>70</v>
      </c>
      <c r="AG234" s="475">
        <f t="shared" si="40"/>
        <v>0</v>
      </c>
      <c r="AH234" s="573">
        <f t="shared" si="41"/>
        <v>0</v>
      </c>
      <c r="AI234" s="457">
        <f t="shared" si="42"/>
        <v>0</v>
      </c>
      <c r="AJ234" s="469">
        <f t="shared" si="43"/>
        <v>0</v>
      </c>
    </row>
    <row r="235" spans="2:36" ht="15" customHeight="1">
      <c r="B235" s="1037">
        <f>SUBTOTAL(3,$I$225:I235)</f>
        <v>11</v>
      </c>
      <c r="C235" s="1037">
        <f t="shared" si="37"/>
        <v>0</v>
      </c>
      <c r="D235" s="1013" t="str">
        <f t="shared" si="35"/>
        <v xml:space="preserve"> </v>
      </c>
      <c r="E235" s="1013" t="str">
        <f t="shared" si="36"/>
        <v xml:space="preserve"> </v>
      </c>
      <c r="F235" s="1250" t="str">
        <f t="shared" si="38"/>
        <v>не требуется</v>
      </c>
      <c r="G235" s="1250"/>
      <c r="H235" s="1250"/>
      <c r="I235" s="1013">
        <f t="shared" si="39"/>
        <v>0</v>
      </c>
      <c r="J235" s="376"/>
      <c r="K235" s="376"/>
      <c r="L235" s="376"/>
      <c r="N235" s="1032">
        <f t="shared" si="30"/>
        <v>0</v>
      </c>
      <c r="P235" s="1017" t="str">
        <f>IF($T$4="нет"," ",IF($T$4="КВ 4.2%","Плиты Б",IF($T$4="XPS 8.3%","Плита 50",IF($T$4=$Y$23,"Плиты К","Добор 40"))))</f>
        <v xml:space="preserve"> </v>
      </c>
      <c r="Q235" s="448"/>
      <c r="S235" s="1017" t="str">
        <f>IF($T$4="нет"," ",IF($T$4="КВ 4.2%","Плиты Б",IF($T$4="XPS 8.3%","Плита 50",IF($T$4=$Y$23,"Плиты К","Добор 40"))))</f>
        <v xml:space="preserve"> </v>
      </c>
      <c r="T235" s="448"/>
      <c r="V235" s="1017" t="str">
        <f>IF($T$4="нет"," ",IF($T$4="КВ 4.2%","Плиты Б",IF($T$4="XPS 8.3%","Плита 50",IF($T$4=$Y$23,"Плиты К","Добор 40"))))</f>
        <v xml:space="preserve"> </v>
      </c>
      <c r="W235" s="448"/>
      <c r="Y235" s="475">
        <f t="shared" si="44"/>
        <v>0</v>
      </c>
      <c r="Z235" s="573">
        <f t="shared" si="47"/>
        <v>0</v>
      </c>
      <c r="AA235" s="573">
        <f t="shared" si="45"/>
        <v>0</v>
      </c>
      <c r="AB235" s="573">
        <f t="shared" si="48"/>
        <v>0</v>
      </c>
      <c r="AC235" s="573">
        <f t="shared" si="46"/>
        <v>0</v>
      </c>
      <c r="AD235" s="457">
        <f t="shared" si="49"/>
        <v>0</v>
      </c>
      <c r="AF235" s="472">
        <v>80</v>
      </c>
      <c r="AG235" s="475">
        <f t="shared" si="40"/>
        <v>0</v>
      </c>
      <c r="AH235" s="573">
        <f t="shared" si="41"/>
        <v>0</v>
      </c>
      <c r="AI235" s="457">
        <f t="shared" si="42"/>
        <v>0</v>
      </c>
      <c r="AJ235" s="469">
        <f t="shared" si="43"/>
        <v>0</v>
      </c>
    </row>
    <row r="236" spans="2:36" ht="15" customHeight="1">
      <c r="B236" s="1037">
        <f>SUBTOTAL(3,$I$225:I236)</f>
        <v>12</v>
      </c>
      <c r="C236" s="1037">
        <f t="shared" si="37"/>
        <v>0</v>
      </c>
      <c r="D236" s="1013" t="str">
        <f t="shared" si="35"/>
        <v xml:space="preserve"> </v>
      </c>
      <c r="E236" s="1013" t="str">
        <f t="shared" si="36"/>
        <v xml:space="preserve"> </v>
      </c>
      <c r="F236" s="1250" t="str">
        <f t="shared" si="38"/>
        <v>не требуется</v>
      </c>
      <c r="G236" s="1250"/>
      <c r="H236" s="1250"/>
      <c r="I236" s="1013">
        <f t="shared" si="39"/>
        <v>0</v>
      </c>
      <c r="J236" s="376"/>
      <c r="K236" s="376"/>
      <c r="L236" s="376"/>
      <c r="N236" s="1032">
        <f t="shared" si="30"/>
        <v>0</v>
      </c>
      <c r="P236" s="1017" t="str">
        <f>IF($T$4="нет"," ",IF($T$4="КВ 4.2%","Плиты C",IF($T$4="XPS 8.3%"," ",IF($T$4="PIR 3.3%"," ","Плита 40"))))</f>
        <v xml:space="preserve"> </v>
      </c>
      <c r="Q236" s="448"/>
      <c r="S236" s="1017" t="str">
        <f>IF($T$4="нет"," ",IF($T$4="КВ 4.2%","Плиты C",IF($T$4="XPS 8.3%"," ",IF($T$4="PIR 3.3%"," ","Плита 40"))))</f>
        <v xml:space="preserve"> </v>
      </c>
      <c r="T236" s="448"/>
      <c r="V236" s="1017" t="str">
        <f>IF($T$4="нет"," ",IF($T$4="КВ 4.2%","Плиты C",IF($T$4="XPS 8.3%"," ",IF($T$4="PIR 3.3%"," ","Плита 40"))))</f>
        <v xml:space="preserve"> </v>
      </c>
      <c r="W236" s="448"/>
      <c r="Y236" s="475">
        <f t="shared" si="44"/>
        <v>0</v>
      </c>
      <c r="Z236" s="573">
        <f t="shared" si="47"/>
        <v>0</v>
      </c>
      <c r="AA236" s="573">
        <f t="shared" si="45"/>
        <v>0</v>
      </c>
      <c r="AB236" s="573">
        <f t="shared" si="48"/>
        <v>0</v>
      </c>
      <c r="AC236" s="573">
        <f t="shared" si="46"/>
        <v>0</v>
      </c>
      <c r="AD236" s="457">
        <f t="shared" si="49"/>
        <v>0</v>
      </c>
      <c r="AE236" s="1"/>
      <c r="AF236" s="472">
        <v>90</v>
      </c>
      <c r="AG236" s="475">
        <f t="shared" si="40"/>
        <v>0</v>
      </c>
      <c r="AH236" s="573">
        <f t="shared" si="41"/>
        <v>0</v>
      </c>
      <c r="AI236" s="457">
        <f t="shared" si="42"/>
        <v>0</v>
      </c>
      <c r="AJ236" s="469">
        <f t="shared" si="43"/>
        <v>0</v>
      </c>
    </row>
    <row r="237" spans="2:36" ht="15" customHeight="1">
      <c r="B237" s="1037">
        <f>SUBTOTAL(3,$I$225:I237)</f>
        <v>13</v>
      </c>
      <c r="C237" s="1037">
        <f t="shared" si="37"/>
        <v>0</v>
      </c>
      <c r="D237" s="1013" t="str">
        <f t="shared" si="35"/>
        <v xml:space="preserve"> </v>
      </c>
      <c r="E237" s="1013" t="str">
        <f t="shared" si="36"/>
        <v xml:space="preserve"> </v>
      </c>
      <c r="F237" s="1250" t="str">
        <f t="shared" si="38"/>
        <v>не требуется</v>
      </c>
      <c r="G237" s="1250"/>
      <c r="H237" s="1250"/>
      <c r="I237" s="1013">
        <f t="shared" si="39"/>
        <v>0</v>
      </c>
      <c r="J237" s="376"/>
      <c r="K237" s="376"/>
      <c r="L237" s="376"/>
      <c r="N237" s="1032">
        <f t="shared" si="30"/>
        <v>0</v>
      </c>
      <c r="P237" s="1017" t="str">
        <f>IF($T$4="КВ 4.2%","Плиты А1","")</f>
        <v/>
      </c>
      <c r="Q237" s="484"/>
      <c r="S237" s="1017" t="str">
        <f>IF($T$4="КВ 4.2%","Плиты А1","")</f>
        <v/>
      </c>
      <c r="T237" s="484"/>
      <c r="V237" s="1017" t="str">
        <f>IF($T$4="КВ 4.2%","Плиты А1","")</f>
        <v/>
      </c>
      <c r="W237" s="484"/>
      <c r="Y237" s="475">
        <f t="shared" si="44"/>
        <v>0</v>
      </c>
      <c r="Z237" s="573">
        <f t="shared" si="47"/>
        <v>0</v>
      </c>
      <c r="AA237" s="573">
        <f t="shared" si="45"/>
        <v>0</v>
      </c>
      <c r="AB237" s="573">
        <f t="shared" si="48"/>
        <v>0</v>
      </c>
      <c r="AC237" s="573">
        <f t="shared" si="46"/>
        <v>0</v>
      </c>
      <c r="AD237" s="457">
        <f t="shared" si="49"/>
        <v>0</v>
      </c>
      <c r="AE237" s="1"/>
      <c r="AF237" s="472">
        <v>100</v>
      </c>
      <c r="AG237" s="475">
        <f t="shared" si="40"/>
        <v>0</v>
      </c>
      <c r="AH237" s="573">
        <f t="shared" si="41"/>
        <v>0</v>
      </c>
      <c r="AI237" s="457">
        <f t="shared" si="42"/>
        <v>0</v>
      </c>
      <c r="AJ237" s="469">
        <f t="shared" si="43"/>
        <v>0</v>
      </c>
    </row>
    <row r="238" spans="2:36" ht="15" customHeight="1">
      <c r="B238" s="1037">
        <f>SUBTOTAL(3,$I$225:I238)</f>
        <v>14</v>
      </c>
      <c r="C238" s="1037">
        <f t="shared" si="37"/>
        <v>0</v>
      </c>
      <c r="D238" s="1013" t="str">
        <f t="shared" si="35"/>
        <v xml:space="preserve"> </v>
      </c>
      <c r="E238" s="1013" t="str">
        <f t="shared" si="36"/>
        <v xml:space="preserve"> </v>
      </c>
      <c r="F238" s="1250" t="str">
        <f t="shared" si="38"/>
        <v>не требуется</v>
      </c>
      <c r="G238" s="1250"/>
      <c r="H238" s="1250"/>
      <c r="I238" s="1013">
        <f t="shared" si="39"/>
        <v>0</v>
      </c>
      <c r="J238" s="376"/>
      <c r="K238" s="376"/>
      <c r="L238" s="376"/>
      <c r="N238" s="1032">
        <f t="shared" si="30"/>
        <v>0</v>
      </c>
      <c r="Y238" s="475">
        <f t="shared" si="44"/>
        <v>0</v>
      </c>
      <c r="Z238" s="573">
        <f t="shared" si="47"/>
        <v>0</v>
      </c>
      <c r="AA238" s="573">
        <f t="shared" si="45"/>
        <v>0</v>
      </c>
      <c r="AB238" s="573">
        <f t="shared" si="48"/>
        <v>0</v>
      </c>
      <c r="AC238" s="573">
        <f t="shared" si="46"/>
        <v>0</v>
      </c>
      <c r="AD238" s="457">
        <f t="shared" si="49"/>
        <v>0</v>
      </c>
      <c r="AE238" s="1"/>
      <c r="AF238" s="472">
        <v>110</v>
      </c>
      <c r="AG238" s="475">
        <f t="shared" si="40"/>
        <v>0</v>
      </c>
      <c r="AH238" s="573">
        <f t="shared" si="41"/>
        <v>0</v>
      </c>
      <c r="AI238" s="457">
        <f t="shared" si="42"/>
        <v>0</v>
      </c>
      <c r="AJ238" s="469">
        <f t="shared" si="43"/>
        <v>0</v>
      </c>
    </row>
    <row r="239" spans="2:36" ht="15" customHeight="1">
      <c r="B239" s="1037">
        <f>SUBTOTAL(3,$I$225:I239)</f>
        <v>15</v>
      </c>
      <c r="C239" s="1037">
        <f t="shared" si="37"/>
        <v>0</v>
      </c>
      <c r="D239" s="1013" t="str">
        <f t="shared" si="35"/>
        <v xml:space="preserve"> </v>
      </c>
      <c r="E239" s="1013" t="str">
        <f t="shared" si="36"/>
        <v xml:space="preserve"> </v>
      </c>
      <c r="F239" s="1250" t="str">
        <f t="shared" si="38"/>
        <v>не требуется</v>
      </c>
      <c r="G239" s="1250"/>
      <c r="H239" s="1250"/>
      <c r="I239" s="1013">
        <f t="shared" si="39"/>
        <v>0</v>
      </c>
      <c r="J239" s="376"/>
      <c r="K239" s="376"/>
      <c r="L239" s="376"/>
      <c r="N239" s="1032">
        <f t="shared" si="30"/>
        <v>0</v>
      </c>
      <c r="Q239" s="169"/>
      <c r="T239" s="169"/>
      <c r="Y239" s="475">
        <f t="shared" si="44"/>
        <v>0</v>
      </c>
      <c r="Z239" s="573">
        <f t="shared" si="47"/>
        <v>0</v>
      </c>
      <c r="AA239" s="573">
        <f t="shared" si="45"/>
        <v>0</v>
      </c>
      <c r="AB239" s="573">
        <f t="shared" si="48"/>
        <v>0</v>
      </c>
      <c r="AC239" s="573">
        <f t="shared" si="46"/>
        <v>0</v>
      </c>
      <c r="AD239" s="457">
        <f t="shared" si="49"/>
        <v>0</v>
      </c>
      <c r="AE239" s="1"/>
      <c r="AF239" s="472">
        <v>120</v>
      </c>
      <c r="AG239" s="475">
        <f t="shared" si="40"/>
        <v>0</v>
      </c>
      <c r="AH239" s="573">
        <f t="shared" si="41"/>
        <v>0</v>
      </c>
      <c r="AI239" s="457">
        <f t="shared" si="42"/>
        <v>0</v>
      </c>
      <c r="AJ239" s="469">
        <f t="shared" si="43"/>
        <v>0</v>
      </c>
    </row>
    <row r="240" spans="2:36" ht="15" customHeight="1">
      <c r="B240" s="1037">
        <f>SUBTOTAL(3,$I$225:I240)</f>
        <v>16</v>
      </c>
      <c r="C240" s="1037">
        <f t="shared" si="37"/>
        <v>0</v>
      </c>
      <c r="D240" s="1013" t="str">
        <f t="shared" si="35"/>
        <v xml:space="preserve"> </v>
      </c>
      <c r="E240" s="1013" t="str">
        <f t="shared" si="36"/>
        <v xml:space="preserve"> </v>
      </c>
      <c r="F240" s="1250" t="str">
        <f t="shared" si="38"/>
        <v>не требуется</v>
      </c>
      <c r="G240" s="1250"/>
      <c r="H240" s="1250"/>
      <c r="I240" s="1013">
        <f t="shared" si="39"/>
        <v>0</v>
      </c>
      <c r="J240" s="376"/>
      <c r="K240" s="376"/>
      <c r="L240" s="376"/>
      <c r="N240" s="1032">
        <f t="shared" si="30"/>
        <v>0</v>
      </c>
      <c r="P240" s="478" t="s">
        <v>638</v>
      </c>
      <c r="Q240" s="479"/>
      <c r="S240" s="478" t="s">
        <v>639</v>
      </c>
      <c r="T240" s="479"/>
      <c r="V240" s="478" t="s">
        <v>640</v>
      </c>
      <c r="W240" s="479"/>
      <c r="Y240" s="475">
        <f t="shared" si="44"/>
        <v>0</v>
      </c>
      <c r="Z240" s="573">
        <f t="shared" si="47"/>
        <v>0</v>
      </c>
      <c r="AA240" s="573">
        <f t="shared" si="45"/>
        <v>0</v>
      </c>
      <c r="AB240" s="573">
        <f t="shared" si="48"/>
        <v>0</v>
      </c>
      <c r="AC240" s="573">
        <f t="shared" si="46"/>
        <v>0</v>
      </c>
      <c r="AD240" s="457">
        <f t="shared" si="49"/>
        <v>0</v>
      </c>
      <c r="AE240" s="1"/>
      <c r="AF240" s="472">
        <v>130</v>
      </c>
      <c r="AG240" s="475">
        <f t="shared" si="40"/>
        <v>0</v>
      </c>
      <c r="AH240" s="573">
        <f t="shared" si="41"/>
        <v>0</v>
      </c>
      <c r="AI240" s="457">
        <f t="shared" si="42"/>
        <v>0</v>
      </c>
      <c r="AJ240" s="469">
        <f t="shared" si="43"/>
        <v>0</v>
      </c>
    </row>
    <row r="241" spans="2:36" ht="15" customHeight="1">
      <c r="B241" s="1037">
        <f>SUBTOTAL(3,$I$225:I241)</f>
        <v>17</v>
      </c>
      <c r="C241" s="1037">
        <f t="shared" si="37"/>
        <v>0</v>
      </c>
      <c r="D241" s="1013" t="str">
        <f t="shared" si="35"/>
        <v xml:space="preserve"> </v>
      </c>
      <c r="E241" s="1013" t="str">
        <f t="shared" si="36"/>
        <v xml:space="preserve"> </v>
      </c>
      <c r="F241" s="1250" t="str">
        <f t="shared" si="38"/>
        <v>не требуется</v>
      </c>
      <c r="G241" s="1250"/>
      <c r="H241" s="1250"/>
      <c r="I241" s="1013">
        <f t="shared" si="39"/>
        <v>0</v>
      </c>
      <c r="J241" s="376"/>
      <c r="K241" s="376"/>
      <c r="L241" s="376"/>
      <c r="N241" s="1032">
        <f t="shared" si="30"/>
        <v>0</v>
      </c>
      <c r="P241" s="573" t="s">
        <v>635</v>
      </c>
      <c r="Q241" s="573" t="s">
        <v>636</v>
      </c>
      <c r="S241" s="573" t="s">
        <v>635</v>
      </c>
      <c r="T241" s="573" t="s">
        <v>636</v>
      </c>
      <c r="V241" s="573" t="s">
        <v>635</v>
      </c>
      <c r="W241" s="573" t="s">
        <v>636</v>
      </c>
      <c r="Y241" s="475">
        <f t="shared" si="44"/>
        <v>0</v>
      </c>
      <c r="Z241" s="573">
        <f t="shared" si="47"/>
        <v>0</v>
      </c>
      <c r="AA241" s="573">
        <f t="shared" si="45"/>
        <v>0</v>
      </c>
      <c r="AB241" s="573">
        <f t="shared" si="48"/>
        <v>0</v>
      </c>
      <c r="AC241" s="573">
        <f t="shared" si="46"/>
        <v>0</v>
      </c>
      <c r="AD241" s="457">
        <f t="shared" si="49"/>
        <v>0</v>
      </c>
      <c r="AE241" s="1"/>
      <c r="AF241" s="472">
        <v>140</v>
      </c>
      <c r="AG241" s="475">
        <f t="shared" si="40"/>
        <v>0</v>
      </c>
      <c r="AH241" s="573">
        <f t="shared" si="41"/>
        <v>0</v>
      </c>
      <c r="AI241" s="457">
        <f t="shared" si="42"/>
        <v>0</v>
      </c>
      <c r="AJ241" s="469">
        <f t="shared" si="43"/>
        <v>0</v>
      </c>
    </row>
    <row r="242" spans="2:36" ht="15" customHeight="1">
      <c r="B242" s="1037">
        <f>SUBTOTAL(3,$I$225:I242)</f>
        <v>18</v>
      </c>
      <c r="C242" s="1037">
        <f t="shared" si="37"/>
        <v>0</v>
      </c>
      <c r="D242" s="1013" t="str">
        <f t="shared" si="35"/>
        <v xml:space="preserve"> </v>
      </c>
      <c r="E242" s="1013" t="str">
        <f t="shared" si="36"/>
        <v xml:space="preserve"> </v>
      </c>
      <c r="F242" s="1250" t="str">
        <f t="shared" si="38"/>
        <v>не требуется</v>
      </c>
      <c r="G242" s="1250"/>
      <c r="H242" s="1250"/>
      <c r="I242" s="1013">
        <f t="shared" si="39"/>
        <v>0</v>
      </c>
      <c r="J242" s="376"/>
      <c r="K242" s="376"/>
      <c r="L242" s="376"/>
      <c r="N242" s="1032">
        <f t="shared" si="30"/>
        <v>0</v>
      </c>
      <c r="P242" s="573"/>
      <c r="Q242" s="573"/>
      <c r="S242" s="573"/>
      <c r="T242" s="573"/>
      <c r="V242" s="573"/>
      <c r="W242" s="573"/>
      <c r="Y242" s="475">
        <f t="shared" si="44"/>
        <v>0</v>
      </c>
      <c r="Z242" s="573">
        <f t="shared" si="47"/>
        <v>0</v>
      </c>
      <c r="AA242" s="573">
        <f t="shared" si="45"/>
        <v>0</v>
      </c>
      <c r="AB242" s="573">
        <f t="shared" si="48"/>
        <v>0</v>
      </c>
      <c r="AC242" s="573">
        <f t="shared" si="46"/>
        <v>0</v>
      </c>
      <c r="AD242" s="457">
        <f t="shared" si="49"/>
        <v>0</v>
      </c>
      <c r="AE242" s="1"/>
      <c r="AF242" s="472">
        <v>150</v>
      </c>
      <c r="AG242" s="475">
        <f t="shared" si="40"/>
        <v>0</v>
      </c>
      <c r="AH242" s="573">
        <f t="shared" si="41"/>
        <v>0</v>
      </c>
      <c r="AI242" s="457">
        <f t="shared" si="42"/>
        <v>0</v>
      </c>
      <c r="AJ242" s="469">
        <f t="shared" si="43"/>
        <v>0</v>
      </c>
    </row>
    <row r="243" spans="2:36" ht="15" customHeight="1">
      <c r="B243" s="1037">
        <f>SUBTOTAL(3,$I$225:I243)</f>
        <v>19</v>
      </c>
      <c r="C243" s="1037">
        <f t="shared" si="37"/>
        <v>0</v>
      </c>
      <c r="D243" s="1013" t="str">
        <f t="shared" si="35"/>
        <v xml:space="preserve"> </v>
      </c>
      <c r="E243" s="1013" t="str">
        <f t="shared" si="36"/>
        <v xml:space="preserve"> </v>
      </c>
      <c r="F243" s="1250" t="str">
        <f t="shared" si="38"/>
        <v>не требуется</v>
      </c>
      <c r="G243" s="1250"/>
      <c r="H243" s="1250"/>
      <c r="I243" s="1013">
        <f t="shared" si="39"/>
        <v>0</v>
      </c>
      <c r="J243" s="376"/>
      <c r="K243" s="376"/>
      <c r="L243" s="376"/>
      <c r="N243" s="1032">
        <f t="shared" si="30"/>
        <v>0</v>
      </c>
      <c r="P243" s="524"/>
      <c r="Q243" s="524"/>
      <c r="S243" s="524"/>
      <c r="T243" s="524"/>
      <c r="V243" s="524"/>
      <c r="W243" s="524"/>
      <c r="Y243" s="475">
        <f t="shared" si="44"/>
        <v>0</v>
      </c>
      <c r="Z243" s="573">
        <f t="shared" si="47"/>
        <v>0</v>
      </c>
      <c r="AA243" s="573">
        <f t="shared" si="45"/>
        <v>0</v>
      </c>
      <c r="AB243" s="573">
        <f t="shared" si="48"/>
        <v>0</v>
      </c>
      <c r="AC243" s="573">
        <f t="shared" si="46"/>
        <v>0</v>
      </c>
      <c r="AD243" s="457">
        <f t="shared" si="49"/>
        <v>0</v>
      </c>
      <c r="AE243" s="1"/>
      <c r="AF243" s="472">
        <v>160</v>
      </c>
      <c r="AG243" s="475">
        <f t="shared" si="40"/>
        <v>0</v>
      </c>
      <c r="AH243" s="573">
        <f t="shared" si="41"/>
        <v>0</v>
      </c>
      <c r="AI243" s="457">
        <f t="shared" si="42"/>
        <v>0</v>
      </c>
      <c r="AJ243" s="469">
        <f t="shared" si="43"/>
        <v>0</v>
      </c>
    </row>
    <row r="244" spans="2:36" ht="15" customHeight="1">
      <c r="B244" s="1037">
        <f>SUBTOTAL(3,$I$225:I244)</f>
        <v>20</v>
      </c>
      <c r="C244" s="1037">
        <f t="shared" si="37"/>
        <v>0</v>
      </c>
      <c r="D244" s="1013" t="str">
        <f t="shared" si="35"/>
        <v xml:space="preserve"> </v>
      </c>
      <c r="E244" s="1013" t="str">
        <f t="shared" si="36"/>
        <v xml:space="preserve"> </v>
      </c>
      <c r="F244" s="1250" t="str">
        <f t="shared" si="38"/>
        <v>не требуется</v>
      </c>
      <c r="G244" s="1250"/>
      <c r="H244" s="1250"/>
      <c r="I244" s="1013">
        <f t="shared" si="39"/>
        <v>0</v>
      </c>
      <c r="J244" s="376"/>
      <c r="K244" s="376"/>
      <c r="L244" s="376"/>
      <c r="N244" s="1032">
        <f t="shared" si="30"/>
        <v>0</v>
      </c>
      <c r="P244" s="573"/>
      <c r="Q244" s="573"/>
      <c r="S244" s="573"/>
      <c r="T244" s="573"/>
      <c r="V244" s="573"/>
      <c r="W244" s="573"/>
      <c r="Y244" s="475">
        <f t="shared" si="44"/>
        <v>0</v>
      </c>
      <c r="Z244" s="573">
        <f t="shared" si="47"/>
        <v>0</v>
      </c>
      <c r="AA244" s="573">
        <f t="shared" si="45"/>
        <v>0</v>
      </c>
      <c r="AB244" s="573">
        <f t="shared" si="48"/>
        <v>0</v>
      </c>
      <c r="AC244" s="573">
        <f t="shared" si="46"/>
        <v>0</v>
      </c>
      <c r="AD244" s="457">
        <f t="shared" si="49"/>
        <v>0</v>
      </c>
      <c r="AE244" s="1"/>
      <c r="AF244" s="472">
        <v>170</v>
      </c>
      <c r="AG244" s="475">
        <f t="shared" si="40"/>
        <v>0</v>
      </c>
      <c r="AH244" s="573">
        <f t="shared" si="41"/>
        <v>0</v>
      </c>
      <c r="AI244" s="457">
        <f t="shared" si="42"/>
        <v>0</v>
      </c>
      <c r="AJ244" s="469">
        <f t="shared" si="43"/>
        <v>0</v>
      </c>
    </row>
    <row r="245" spans="2:36" ht="15" customHeight="1">
      <c r="B245" s="1037">
        <f>SUBTOTAL(3,$I$225:I245)</f>
        <v>21</v>
      </c>
      <c r="C245" s="1037">
        <f t="shared" si="37"/>
        <v>0</v>
      </c>
      <c r="D245" s="1013" t="str">
        <f t="shared" si="35"/>
        <v xml:space="preserve"> </v>
      </c>
      <c r="E245" s="1013" t="str">
        <f t="shared" si="36"/>
        <v xml:space="preserve"> </v>
      </c>
      <c r="F245" s="1250" t="str">
        <f t="shared" si="38"/>
        <v>не требуется</v>
      </c>
      <c r="G245" s="1250"/>
      <c r="H245" s="1250"/>
      <c r="I245" s="1013">
        <f t="shared" si="39"/>
        <v>0</v>
      </c>
      <c r="J245" s="376"/>
      <c r="K245" s="376"/>
      <c r="L245" s="376"/>
      <c r="N245" s="1032">
        <f t="shared" si="30"/>
        <v>0</v>
      </c>
      <c r="P245" s="524"/>
      <c r="Q245" s="573"/>
      <c r="S245" s="573"/>
      <c r="T245" s="573"/>
      <c r="V245" s="524"/>
      <c r="W245" s="573"/>
      <c r="Y245" s="475">
        <f t="shared" si="44"/>
        <v>0</v>
      </c>
      <c r="Z245" s="573">
        <f t="shared" si="47"/>
        <v>0</v>
      </c>
      <c r="AA245" s="573">
        <f t="shared" si="45"/>
        <v>0</v>
      </c>
      <c r="AB245" s="573">
        <f t="shared" si="48"/>
        <v>0</v>
      </c>
      <c r="AC245" s="573">
        <f t="shared" si="46"/>
        <v>0</v>
      </c>
      <c r="AD245" s="457">
        <f t="shared" si="49"/>
        <v>0</v>
      </c>
      <c r="AE245" s="1"/>
      <c r="AF245" s="472">
        <v>180</v>
      </c>
      <c r="AG245" s="475">
        <f t="shared" si="40"/>
        <v>0</v>
      </c>
      <c r="AH245" s="573">
        <f t="shared" si="41"/>
        <v>0</v>
      </c>
      <c r="AI245" s="457">
        <f t="shared" si="42"/>
        <v>0</v>
      </c>
      <c r="AJ245" s="469">
        <f t="shared" si="43"/>
        <v>0</v>
      </c>
    </row>
    <row r="246" spans="2:36" ht="15" customHeight="1">
      <c r="B246" s="1037">
        <f>SUBTOTAL(3,$I$225:I246)</f>
        <v>22</v>
      </c>
      <c r="C246" s="1037">
        <f t="shared" si="37"/>
        <v>0</v>
      </c>
      <c r="D246" s="1013" t="str">
        <f t="shared" si="35"/>
        <v xml:space="preserve"> </v>
      </c>
      <c r="E246" s="1013" t="str">
        <f t="shared" si="36"/>
        <v xml:space="preserve"> </v>
      </c>
      <c r="F246" s="1250" t="str">
        <f t="shared" si="38"/>
        <v>не требуется</v>
      </c>
      <c r="G246" s="1250"/>
      <c r="H246" s="1250"/>
      <c r="I246" s="1013">
        <f t="shared" si="39"/>
        <v>0</v>
      </c>
      <c r="J246" s="376"/>
      <c r="K246" s="376"/>
      <c r="L246" s="376"/>
      <c r="N246" s="1032">
        <f t="shared" si="30"/>
        <v>0</v>
      </c>
      <c r="P246" s="573"/>
      <c r="Q246" s="573"/>
      <c r="S246" s="573"/>
      <c r="T246" s="573"/>
      <c r="V246" s="573"/>
      <c r="W246" s="573"/>
      <c r="Y246" s="475">
        <f t="shared" si="44"/>
        <v>0</v>
      </c>
      <c r="Z246" s="573">
        <f t="shared" si="47"/>
        <v>0</v>
      </c>
      <c r="AA246" s="573">
        <f t="shared" si="45"/>
        <v>0</v>
      </c>
      <c r="AB246" s="573">
        <f t="shared" si="48"/>
        <v>0</v>
      </c>
      <c r="AC246" s="573">
        <f t="shared" si="46"/>
        <v>0</v>
      </c>
      <c r="AD246" s="457">
        <f t="shared" si="49"/>
        <v>0</v>
      </c>
      <c r="AE246" s="1"/>
      <c r="AF246" s="472">
        <v>190</v>
      </c>
      <c r="AG246" s="475">
        <f t="shared" si="40"/>
        <v>0</v>
      </c>
      <c r="AH246" s="573">
        <f t="shared" si="41"/>
        <v>0</v>
      </c>
      <c r="AI246" s="457">
        <f t="shared" si="42"/>
        <v>0</v>
      </c>
      <c r="AJ246" s="469">
        <f t="shared" si="43"/>
        <v>0</v>
      </c>
    </row>
    <row r="247" spans="2:36" ht="15" customHeight="1">
      <c r="B247" s="1037">
        <f>SUBTOTAL(3,$I$225:I247)</f>
        <v>23</v>
      </c>
      <c r="C247" s="1037">
        <f t="shared" si="37"/>
        <v>0</v>
      </c>
      <c r="D247" s="1013" t="str">
        <f t="shared" si="35"/>
        <v xml:space="preserve"> </v>
      </c>
      <c r="E247" s="1013" t="str">
        <f t="shared" si="36"/>
        <v xml:space="preserve"> </v>
      </c>
      <c r="F247" s="1250" t="str">
        <f t="shared" si="38"/>
        <v>не требуется</v>
      </c>
      <c r="G247" s="1250"/>
      <c r="H247" s="1250"/>
      <c r="I247" s="1013">
        <f t="shared" si="39"/>
        <v>0</v>
      </c>
      <c r="J247" s="376"/>
      <c r="K247" s="376"/>
      <c r="L247" s="376"/>
      <c r="N247" s="1032">
        <f t="shared" si="30"/>
        <v>0</v>
      </c>
      <c r="P247" s="524"/>
      <c r="Q247" s="573"/>
      <c r="S247" s="573"/>
      <c r="T247" s="573"/>
      <c r="V247" s="524"/>
      <c r="W247" s="573"/>
      <c r="Y247" s="475">
        <f t="shared" si="44"/>
        <v>0</v>
      </c>
      <c r="Z247" s="573">
        <f t="shared" si="47"/>
        <v>0</v>
      </c>
      <c r="AA247" s="573">
        <f t="shared" si="45"/>
        <v>0</v>
      </c>
      <c r="AB247" s="573">
        <f t="shared" si="48"/>
        <v>0</v>
      </c>
      <c r="AC247" s="573">
        <f t="shared" si="46"/>
        <v>0</v>
      </c>
      <c r="AD247" s="457">
        <f t="shared" si="49"/>
        <v>0</v>
      </c>
      <c r="AE247" s="1"/>
      <c r="AF247" s="472">
        <v>200</v>
      </c>
      <c r="AG247" s="475">
        <f t="shared" si="40"/>
        <v>0</v>
      </c>
      <c r="AH247" s="573">
        <f t="shared" si="41"/>
        <v>0</v>
      </c>
      <c r="AI247" s="457">
        <f t="shared" si="42"/>
        <v>0</v>
      </c>
      <c r="AJ247" s="469">
        <f t="shared" si="43"/>
        <v>0</v>
      </c>
    </row>
    <row r="248" spans="2:36" ht="15" customHeight="1">
      <c r="B248" s="1037">
        <f>SUBTOTAL(3,$I$225:I248)</f>
        <v>24</v>
      </c>
      <c r="C248" s="1037">
        <f t="shared" si="37"/>
        <v>0</v>
      </c>
      <c r="D248" s="1013" t="str">
        <f t="shared" si="35"/>
        <v xml:space="preserve"> </v>
      </c>
      <c r="E248" s="1013" t="str">
        <f t="shared" si="36"/>
        <v xml:space="preserve"> </v>
      </c>
      <c r="F248" s="1250" t="str">
        <f t="shared" si="38"/>
        <v>не требуется</v>
      </c>
      <c r="G248" s="1250"/>
      <c r="H248" s="1250"/>
      <c r="I248" s="1013">
        <f t="shared" si="39"/>
        <v>0</v>
      </c>
      <c r="J248" s="376"/>
      <c r="K248" s="376"/>
      <c r="L248" s="376"/>
      <c r="N248" s="1032">
        <f t="shared" si="30"/>
        <v>0</v>
      </c>
      <c r="P248" s="573"/>
      <c r="Q248" s="573"/>
      <c r="S248" s="573"/>
      <c r="T248" s="573"/>
      <c r="V248" s="573"/>
      <c r="W248" s="573"/>
      <c r="Y248" s="475">
        <f t="shared" si="44"/>
        <v>0</v>
      </c>
      <c r="Z248" s="573">
        <f t="shared" si="47"/>
        <v>0</v>
      </c>
      <c r="AA248" s="573">
        <f t="shared" si="45"/>
        <v>0</v>
      </c>
      <c r="AB248" s="573">
        <f t="shared" si="48"/>
        <v>0</v>
      </c>
      <c r="AC248" s="573">
        <f t="shared" si="46"/>
        <v>0</v>
      </c>
      <c r="AD248" s="457">
        <f t="shared" si="49"/>
        <v>0</v>
      </c>
      <c r="AE248" s="1"/>
      <c r="AF248" s="472">
        <v>210</v>
      </c>
      <c r="AG248" s="475">
        <f t="shared" si="40"/>
        <v>0</v>
      </c>
      <c r="AH248" s="573">
        <f t="shared" si="41"/>
        <v>0</v>
      </c>
      <c r="AI248" s="457">
        <f t="shared" si="42"/>
        <v>0</v>
      </c>
      <c r="AJ248" s="469">
        <f t="shared" si="43"/>
        <v>0</v>
      </c>
    </row>
    <row r="249" spans="2:36" ht="15" customHeight="1">
      <c r="B249" s="1037">
        <f>SUBTOTAL(3,$I$225:I249)</f>
        <v>25</v>
      </c>
      <c r="C249" s="1037">
        <f t="shared" si="37"/>
        <v>0</v>
      </c>
      <c r="D249" s="1013" t="str">
        <f t="shared" si="35"/>
        <v xml:space="preserve"> </v>
      </c>
      <c r="E249" s="1013" t="str">
        <f t="shared" si="36"/>
        <v xml:space="preserve"> </v>
      </c>
      <c r="F249" s="1250" t="str">
        <f t="shared" si="38"/>
        <v>не требуется</v>
      </c>
      <c r="G249" s="1250"/>
      <c r="H249" s="1250"/>
      <c r="I249" s="1013">
        <f t="shared" si="39"/>
        <v>0</v>
      </c>
      <c r="J249" s="376"/>
      <c r="K249" s="376"/>
      <c r="L249" s="376"/>
      <c r="N249" s="1032">
        <f t="shared" si="30"/>
        <v>0</v>
      </c>
      <c r="P249" s="524"/>
      <c r="Q249" s="573"/>
      <c r="S249" s="573"/>
      <c r="T249" s="573"/>
      <c r="V249" s="524"/>
      <c r="W249" s="573"/>
      <c r="Y249" s="475">
        <f t="shared" si="44"/>
        <v>0</v>
      </c>
      <c r="Z249" s="573">
        <f t="shared" si="47"/>
        <v>0</v>
      </c>
      <c r="AA249" s="573">
        <f t="shared" si="45"/>
        <v>0</v>
      </c>
      <c r="AB249" s="573">
        <f t="shared" si="48"/>
        <v>0</v>
      </c>
      <c r="AC249" s="573">
        <f t="shared" si="46"/>
        <v>0</v>
      </c>
      <c r="AD249" s="457">
        <f t="shared" si="49"/>
        <v>0</v>
      </c>
      <c r="AE249" s="1"/>
      <c r="AF249" s="472">
        <v>220</v>
      </c>
      <c r="AG249" s="475">
        <f t="shared" si="40"/>
        <v>0</v>
      </c>
      <c r="AH249" s="573">
        <f t="shared" si="41"/>
        <v>0</v>
      </c>
      <c r="AI249" s="457">
        <f t="shared" si="42"/>
        <v>0</v>
      </c>
      <c r="AJ249" s="469">
        <f t="shared" si="43"/>
        <v>0</v>
      </c>
    </row>
    <row r="250" spans="2:36" ht="15" customHeight="1">
      <c r="B250" s="1037">
        <f>SUBTOTAL(3,$I$225:I250)</f>
        <v>26</v>
      </c>
      <c r="C250" s="1037">
        <f t="shared" si="37"/>
        <v>0</v>
      </c>
      <c r="D250" s="1013" t="str">
        <f t="shared" si="35"/>
        <v xml:space="preserve"> </v>
      </c>
      <c r="E250" s="1013" t="str">
        <f t="shared" si="36"/>
        <v xml:space="preserve"> </v>
      </c>
      <c r="F250" s="1250" t="str">
        <f t="shared" si="38"/>
        <v>не требуется</v>
      </c>
      <c r="G250" s="1250"/>
      <c r="H250" s="1250"/>
      <c r="I250" s="1013">
        <f t="shared" si="39"/>
        <v>0</v>
      </c>
      <c r="J250" s="376"/>
      <c r="K250" s="376"/>
      <c r="L250" s="376"/>
      <c r="N250" s="1032">
        <f t="shared" si="30"/>
        <v>0</v>
      </c>
      <c r="P250" s="573"/>
      <c r="Q250" s="573"/>
      <c r="S250" s="573"/>
      <c r="T250" s="573"/>
      <c r="V250" s="573"/>
      <c r="W250" s="573"/>
      <c r="Y250" s="475">
        <f t="shared" si="44"/>
        <v>0</v>
      </c>
      <c r="Z250" s="573">
        <f t="shared" si="47"/>
        <v>0</v>
      </c>
      <c r="AA250" s="573">
        <f t="shared" si="45"/>
        <v>0</v>
      </c>
      <c r="AB250" s="573">
        <f t="shared" si="48"/>
        <v>0</v>
      </c>
      <c r="AC250" s="573">
        <f t="shared" si="46"/>
        <v>0</v>
      </c>
      <c r="AD250" s="457">
        <f t="shared" si="49"/>
        <v>0</v>
      </c>
      <c r="AE250" s="1"/>
      <c r="AF250" s="472">
        <v>230</v>
      </c>
      <c r="AG250" s="475">
        <f t="shared" si="40"/>
        <v>0</v>
      </c>
      <c r="AH250" s="573">
        <f t="shared" si="41"/>
        <v>0</v>
      </c>
      <c r="AI250" s="457">
        <f t="shared" si="42"/>
        <v>0</v>
      </c>
      <c r="AJ250" s="469">
        <f t="shared" si="43"/>
        <v>0</v>
      </c>
    </row>
    <row r="251" spans="2:36" ht="15" customHeight="1">
      <c r="B251" s="1037">
        <f>SUBTOTAL(3,$I$225:I251)</f>
        <v>27</v>
      </c>
      <c r="C251" s="1037">
        <f t="shared" si="37"/>
        <v>0</v>
      </c>
      <c r="D251" s="1013" t="str">
        <f t="shared" si="35"/>
        <v xml:space="preserve"> </v>
      </c>
      <c r="E251" s="1013" t="str">
        <f t="shared" si="36"/>
        <v xml:space="preserve"> </v>
      </c>
      <c r="F251" s="1250" t="str">
        <f t="shared" si="38"/>
        <v>не требуется</v>
      </c>
      <c r="G251" s="1250"/>
      <c r="H251" s="1250"/>
      <c r="I251" s="1013">
        <f t="shared" si="39"/>
        <v>0</v>
      </c>
      <c r="J251" s="376"/>
      <c r="K251" s="376"/>
      <c r="L251" s="376"/>
      <c r="N251" s="1032">
        <f t="shared" si="30"/>
        <v>0</v>
      </c>
      <c r="P251" s="573"/>
      <c r="Q251" s="573"/>
      <c r="S251" s="573"/>
      <c r="T251" s="573"/>
      <c r="V251" s="524"/>
      <c r="W251" s="573"/>
      <c r="Y251" s="475">
        <f t="shared" si="44"/>
        <v>0</v>
      </c>
      <c r="Z251" s="573">
        <f t="shared" si="47"/>
        <v>0</v>
      </c>
      <c r="AA251" s="573">
        <f t="shared" si="45"/>
        <v>0</v>
      </c>
      <c r="AB251" s="573">
        <f t="shared" si="48"/>
        <v>0</v>
      </c>
      <c r="AC251" s="573">
        <f t="shared" si="46"/>
        <v>0</v>
      </c>
      <c r="AD251" s="457">
        <f t="shared" si="49"/>
        <v>0</v>
      </c>
      <c r="AE251" s="1"/>
      <c r="AF251" s="472">
        <v>240</v>
      </c>
      <c r="AG251" s="475">
        <f t="shared" si="40"/>
        <v>0</v>
      </c>
      <c r="AH251" s="573">
        <f t="shared" si="41"/>
        <v>0</v>
      </c>
      <c r="AI251" s="457">
        <f t="shared" si="42"/>
        <v>0</v>
      </c>
      <c r="AJ251" s="469">
        <f t="shared" si="43"/>
        <v>0</v>
      </c>
    </row>
    <row r="252" spans="2:36" ht="15" customHeight="1">
      <c r="B252" s="1037">
        <f>SUBTOTAL(3,$I$225:I252)</f>
        <v>28</v>
      </c>
      <c r="C252" s="1037">
        <f t="shared" si="37"/>
        <v>0</v>
      </c>
      <c r="D252" s="1013" t="str">
        <f t="shared" si="35"/>
        <v xml:space="preserve"> </v>
      </c>
      <c r="E252" s="1013" t="str">
        <f t="shared" si="36"/>
        <v xml:space="preserve"> </v>
      </c>
      <c r="F252" s="1250" t="str">
        <f t="shared" si="38"/>
        <v>не требуется</v>
      </c>
      <c r="G252" s="1250"/>
      <c r="H252" s="1250"/>
      <c r="I252" s="1013">
        <f t="shared" si="39"/>
        <v>0</v>
      </c>
      <c r="J252" s="376"/>
      <c r="K252" s="376"/>
      <c r="L252" s="376"/>
      <c r="N252" s="1032">
        <f t="shared" si="30"/>
        <v>0</v>
      </c>
      <c r="P252" s="573"/>
      <c r="Q252" s="573"/>
      <c r="S252" s="573"/>
      <c r="T252" s="573"/>
      <c r="V252" s="573"/>
      <c r="W252" s="573"/>
      <c r="Y252" s="475">
        <f t="shared" si="44"/>
        <v>0</v>
      </c>
      <c r="Z252" s="573">
        <f t="shared" si="47"/>
        <v>0</v>
      </c>
      <c r="AA252" s="573">
        <f t="shared" si="45"/>
        <v>0</v>
      </c>
      <c r="AB252" s="573">
        <f t="shared" si="48"/>
        <v>0</v>
      </c>
      <c r="AC252" s="573">
        <f t="shared" si="46"/>
        <v>0</v>
      </c>
      <c r="AD252" s="457">
        <f t="shared" si="49"/>
        <v>0</v>
      </c>
      <c r="AE252" s="1"/>
      <c r="AF252" s="472">
        <v>250</v>
      </c>
      <c r="AG252" s="475">
        <f t="shared" si="40"/>
        <v>0</v>
      </c>
      <c r="AH252" s="573">
        <f t="shared" si="41"/>
        <v>0</v>
      </c>
      <c r="AI252" s="457">
        <f t="shared" si="42"/>
        <v>0</v>
      </c>
      <c r="AJ252" s="469">
        <f t="shared" si="43"/>
        <v>0</v>
      </c>
    </row>
    <row r="253" spans="2:36" ht="15" customHeight="1">
      <c r="B253" s="1037">
        <f>SUBTOTAL(3,$I$225:I253)</f>
        <v>29</v>
      </c>
      <c r="C253" s="1037">
        <f t="shared" si="37"/>
        <v>0</v>
      </c>
      <c r="D253" s="1013" t="str">
        <f t="shared" si="35"/>
        <v xml:space="preserve"> </v>
      </c>
      <c r="E253" s="1013" t="str">
        <f t="shared" si="36"/>
        <v xml:space="preserve"> </v>
      </c>
      <c r="F253" s="1250" t="str">
        <f t="shared" si="38"/>
        <v>не требуется</v>
      </c>
      <c r="G253" s="1250"/>
      <c r="H253" s="1250"/>
      <c r="I253" s="1013">
        <f t="shared" si="39"/>
        <v>0</v>
      </c>
      <c r="J253" s="376"/>
      <c r="K253" s="376"/>
      <c r="L253" s="376"/>
      <c r="N253" s="1032">
        <f t="shared" si="30"/>
        <v>0</v>
      </c>
      <c r="P253" s="573"/>
      <c r="Q253" s="573"/>
      <c r="S253" s="573"/>
      <c r="T253" s="573"/>
      <c r="V253" s="524"/>
      <c r="W253" s="573"/>
      <c r="Y253" s="475">
        <f t="shared" si="44"/>
        <v>0</v>
      </c>
      <c r="Z253" s="573">
        <f t="shared" si="47"/>
        <v>0</v>
      </c>
      <c r="AA253" s="573">
        <f t="shared" si="45"/>
        <v>0</v>
      </c>
      <c r="AB253" s="573">
        <f t="shared" si="48"/>
        <v>0</v>
      </c>
      <c r="AC253" s="573">
        <f t="shared" si="46"/>
        <v>0</v>
      </c>
      <c r="AD253" s="457">
        <f t="shared" si="49"/>
        <v>0</v>
      </c>
      <c r="AE253" s="1"/>
      <c r="AF253" s="472">
        <v>260</v>
      </c>
      <c r="AG253" s="475">
        <f t="shared" si="40"/>
        <v>0</v>
      </c>
      <c r="AH253" s="573">
        <f>SUMIF($AA$233:$AA$285,AF253,$AB$233:$AB$285)</f>
        <v>0</v>
      </c>
      <c r="AI253" s="457">
        <f t="shared" si="42"/>
        <v>0</v>
      </c>
      <c r="AJ253" s="469">
        <f t="shared" si="43"/>
        <v>0</v>
      </c>
    </row>
    <row r="254" spans="2:36" ht="15" customHeight="1">
      <c r="B254" s="1037">
        <f>SUBTOTAL(3,$I$225:I254)</f>
        <v>30</v>
      </c>
      <c r="C254" s="1037">
        <f t="shared" si="37"/>
        <v>0</v>
      </c>
      <c r="D254" s="1013" t="str">
        <f t="shared" si="35"/>
        <v xml:space="preserve"> </v>
      </c>
      <c r="E254" s="1013" t="str">
        <f t="shared" si="36"/>
        <v xml:space="preserve"> </v>
      </c>
      <c r="F254" s="1250" t="str">
        <f t="shared" si="38"/>
        <v>не требуется</v>
      </c>
      <c r="G254" s="1250"/>
      <c r="H254" s="1250"/>
      <c r="I254" s="1013">
        <f t="shared" si="39"/>
        <v>0</v>
      </c>
      <c r="J254" s="376"/>
      <c r="K254" s="376"/>
      <c r="L254" s="376"/>
      <c r="N254" s="1032">
        <f t="shared" si="30"/>
        <v>0</v>
      </c>
      <c r="P254" s="573"/>
      <c r="Q254" s="573"/>
      <c r="S254" s="573"/>
      <c r="T254" s="573"/>
      <c r="V254" s="573"/>
      <c r="W254" s="573"/>
      <c r="Y254" s="475">
        <f t="shared" si="44"/>
        <v>0</v>
      </c>
      <c r="Z254" s="573">
        <f t="shared" si="47"/>
        <v>0</v>
      </c>
      <c r="AA254" s="573">
        <f t="shared" si="45"/>
        <v>0</v>
      </c>
      <c r="AB254" s="573">
        <f t="shared" si="48"/>
        <v>0</v>
      </c>
      <c r="AC254" s="573">
        <f t="shared" si="46"/>
        <v>0</v>
      </c>
      <c r="AD254" s="457">
        <f t="shared" si="49"/>
        <v>0</v>
      </c>
      <c r="AE254" s="1"/>
      <c r="AF254" s="472">
        <v>270</v>
      </c>
      <c r="AG254" s="475">
        <f t="shared" si="40"/>
        <v>0</v>
      </c>
      <c r="AH254" s="573">
        <f t="shared" si="41"/>
        <v>0</v>
      </c>
      <c r="AI254" s="457">
        <f t="shared" si="42"/>
        <v>0</v>
      </c>
      <c r="AJ254" s="469">
        <f t="shared" si="43"/>
        <v>0</v>
      </c>
    </row>
    <row r="255" spans="2:36" ht="15" customHeight="1">
      <c r="B255" s="1037">
        <f>SUBTOTAL(3,$I$225:I255)</f>
        <v>31</v>
      </c>
      <c r="C255" s="1037">
        <f t="shared" si="37"/>
        <v>0</v>
      </c>
      <c r="D255" s="1013" t="str">
        <f t="shared" si="35"/>
        <v xml:space="preserve"> </v>
      </c>
      <c r="E255" s="1013" t="str">
        <f t="shared" si="36"/>
        <v xml:space="preserve"> </v>
      </c>
      <c r="F255" s="1250" t="str">
        <f t="shared" si="38"/>
        <v>не требуется</v>
      </c>
      <c r="G255" s="1250"/>
      <c r="H255" s="1250"/>
      <c r="I255" s="1013">
        <f t="shared" si="39"/>
        <v>0</v>
      </c>
      <c r="J255" s="376"/>
      <c r="K255" s="376"/>
      <c r="L255" s="376"/>
      <c r="N255" s="1032">
        <f t="shared" si="30"/>
        <v>0</v>
      </c>
      <c r="P255" s="573"/>
      <c r="Q255" s="573"/>
      <c r="S255" s="573"/>
      <c r="T255" s="573"/>
      <c r="V255" s="573"/>
      <c r="W255" s="573"/>
      <c r="Y255" s="475">
        <f t="shared" si="44"/>
        <v>0</v>
      </c>
      <c r="Z255" s="573">
        <f t="shared" si="47"/>
        <v>0</v>
      </c>
      <c r="AA255" s="573">
        <f t="shared" si="45"/>
        <v>0</v>
      </c>
      <c r="AB255" s="573">
        <f t="shared" si="48"/>
        <v>0</v>
      </c>
      <c r="AC255" s="573">
        <f t="shared" si="46"/>
        <v>0</v>
      </c>
      <c r="AD255" s="457">
        <f t="shared" si="49"/>
        <v>0</v>
      </c>
      <c r="AE255" s="1"/>
      <c r="AF255" s="472">
        <v>280</v>
      </c>
      <c r="AG255" s="475">
        <f t="shared" si="40"/>
        <v>0</v>
      </c>
      <c r="AH255" s="573">
        <f t="shared" si="41"/>
        <v>0</v>
      </c>
      <c r="AI255" s="457">
        <f t="shared" si="42"/>
        <v>0</v>
      </c>
      <c r="AJ255" s="469">
        <f t="shared" si="43"/>
        <v>0</v>
      </c>
    </row>
    <row r="256" spans="2:36" ht="15" customHeight="1">
      <c r="B256" s="1037">
        <f>SUBTOTAL(3,$I$225:I256)</f>
        <v>32</v>
      </c>
      <c r="C256" s="1037">
        <f t="shared" si="37"/>
        <v>0</v>
      </c>
      <c r="D256" s="1013" t="str">
        <f t="shared" si="35"/>
        <v xml:space="preserve"> </v>
      </c>
      <c r="E256" s="1013" t="str">
        <f t="shared" si="36"/>
        <v xml:space="preserve"> </v>
      </c>
      <c r="F256" s="1250" t="str">
        <f t="shared" si="38"/>
        <v>не требуется</v>
      </c>
      <c r="G256" s="1250"/>
      <c r="H256" s="1250"/>
      <c r="I256" s="1013">
        <f t="shared" si="39"/>
        <v>0</v>
      </c>
      <c r="J256" s="376"/>
      <c r="K256" s="376"/>
      <c r="L256" s="376"/>
      <c r="N256" s="1032">
        <f t="shared" si="30"/>
        <v>0</v>
      </c>
      <c r="P256" s="573"/>
      <c r="Q256" s="573"/>
      <c r="S256" s="573"/>
      <c r="T256" s="573"/>
      <c r="V256" s="573"/>
      <c r="W256" s="573"/>
      <c r="Y256" s="475">
        <f t="shared" si="44"/>
        <v>0</v>
      </c>
      <c r="Z256" s="573">
        <f t="shared" si="47"/>
        <v>0</v>
      </c>
      <c r="AA256" s="573">
        <f t="shared" si="45"/>
        <v>0</v>
      </c>
      <c r="AB256" s="573">
        <f t="shared" si="48"/>
        <v>0</v>
      </c>
      <c r="AC256" s="573">
        <f t="shared" si="46"/>
        <v>0</v>
      </c>
      <c r="AD256" s="457">
        <f t="shared" si="49"/>
        <v>0</v>
      </c>
      <c r="AE256" s="1"/>
      <c r="AF256" s="472">
        <v>290</v>
      </c>
      <c r="AG256" s="475">
        <f t="shared" si="40"/>
        <v>0</v>
      </c>
      <c r="AH256" s="573">
        <f t="shared" si="41"/>
        <v>0</v>
      </c>
      <c r="AI256" s="457">
        <f t="shared" si="42"/>
        <v>0</v>
      </c>
      <c r="AJ256" s="469">
        <f t="shared" si="43"/>
        <v>0</v>
      </c>
    </row>
    <row r="257" spans="2:36" ht="15" customHeight="1">
      <c r="B257" s="1037">
        <f>SUBTOTAL(3,$I$225:I257)</f>
        <v>33</v>
      </c>
      <c r="C257" s="1037">
        <f t="shared" si="37"/>
        <v>0</v>
      </c>
      <c r="D257" s="1013" t="str">
        <f t="shared" si="35"/>
        <v xml:space="preserve"> </v>
      </c>
      <c r="E257" s="1013" t="str">
        <f t="shared" si="36"/>
        <v xml:space="preserve"> </v>
      </c>
      <c r="F257" s="1250" t="str">
        <f t="shared" si="38"/>
        <v>не требуется</v>
      </c>
      <c r="G257" s="1250"/>
      <c r="H257" s="1250"/>
      <c r="I257" s="1013">
        <f t="shared" si="39"/>
        <v>0</v>
      </c>
      <c r="J257" s="376"/>
      <c r="K257" s="376"/>
      <c r="L257" s="376"/>
      <c r="N257" s="1032">
        <f t="shared" si="30"/>
        <v>0</v>
      </c>
      <c r="P257" s="573"/>
      <c r="Q257" s="573"/>
      <c r="S257" s="573"/>
      <c r="T257" s="573"/>
      <c r="V257" s="573"/>
      <c r="W257" s="573"/>
      <c r="Y257" s="475">
        <f t="shared" si="44"/>
        <v>0</v>
      </c>
      <c r="Z257" s="573">
        <f t="shared" si="47"/>
        <v>0</v>
      </c>
      <c r="AA257" s="573">
        <f t="shared" si="45"/>
        <v>0</v>
      </c>
      <c r="AB257" s="573">
        <f t="shared" si="48"/>
        <v>0</v>
      </c>
      <c r="AC257" s="573">
        <f t="shared" si="46"/>
        <v>0</v>
      </c>
      <c r="AD257" s="457">
        <f t="shared" si="49"/>
        <v>0</v>
      </c>
      <c r="AE257" s="1"/>
      <c r="AF257" s="472">
        <v>300</v>
      </c>
      <c r="AG257" s="475">
        <f t="shared" si="40"/>
        <v>0</v>
      </c>
      <c r="AH257" s="573">
        <f t="shared" si="41"/>
        <v>0</v>
      </c>
      <c r="AI257" s="457">
        <f t="shared" si="42"/>
        <v>0</v>
      </c>
      <c r="AJ257" s="469">
        <f t="shared" si="43"/>
        <v>0</v>
      </c>
    </row>
    <row r="258" spans="2:36" ht="15" customHeight="1">
      <c r="B258" s="1037">
        <f>SUBTOTAL(3,$I$225:I258)</f>
        <v>34</v>
      </c>
      <c r="C258" s="1037">
        <f t="shared" si="37"/>
        <v>0</v>
      </c>
      <c r="D258" s="1013" t="str">
        <f t="shared" si="35"/>
        <v xml:space="preserve"> </v>
      </c>
      <c r="E258" s="1013" t="str">
        <f t="shared" si="36"/>
        <v xml:space="preserve"> </v>
      </c>
      <c r="F258" s="1250" t="str">
        <f t="shared" si="38"/>
        <v>не требуется</v>
      </c>
      <c r="G258" s="1250"/>
      <c r="H258" s="1250"/>
      <c r="I258" s="1013">
        <f t="shared" si="39"/>
        <v>0</v>
      </c>
      <c r="J258" s="376"/>
      <c r="K258" s="376"/>
      <c r="L258" s="376"/>
      <c r="N258" s="1032">
        <f t="shared" si="30"/>
        <v>0</v>
      </c>
      <c r="P258" s="573"/>
      <c r="Q258" s="573"/>
      <c r="S258" s="573"/>
      <c r="T258" s="573"/>
      <c r="V258" s="573"/>
      <c r="W258" s="573"/>
      <c r="Y258" s="475">
        <f t="shared" si="44"/>
        <v>0</v>
      </c>
      <c r="Z258" s="573">
        <f t="shared" si="47"/>
        <v>0</v>
      </c>
      <c r="AA258" s="573">
        <f t="shared" si="45"/>
        <v>0</v>
      </c>
      <c r="AB258" s="573">
        <f t="shared" si="48"/>
        <v>0</v>
      </c>
      <c r="AC258" s="573">
        <f t="shared" si="46"/>
        <v>0</v>
      </c>
      <c r="AD258" s="457">
        <f t="shared" si="49"/>
        <v>0</v>
      </c>
      <c r="AE258" s="1"/>
      <c r="AF258" s="472">
        <v>310</v>
      </c>
      <c r="AG258" s="475">
        <f t="shared" si="40"/>
        <v>0</v>
      </c>
      <c r="AH258" s="573">
        <f t="shared" si="41"/>
        <v>0</v>
      </c>
      <c r="AI258" s="457">
        <f t="shared" si="42"/>
        <v>0</v>
      </c>
      <c r="AJ258" s="469">
        <f t="shared" si="43"/>
        <v>0</v>
      </c>
    </row>
    <row r="259" spans="2:36" ht="15" customHeight="1">
      <c r="B259" s="1037">
        <f>SUBTOTAL(3,$I$225:I259)</f>
        <v>35</v>
      </c>
      <c r="C259" s="1037">
        <f t="shared" si="37"/>
        <v>0</v>
      </c>
      <c r="D259" s="1013" t="str">
        <f t="shared" si="35"/>
        <v xml:space="preserve"> </v>
      </c>
      <c r="E259" s="1013" t="str">
        <f t="shared" si="36"/>
        <v xml:space="preserve"> </v>
      </c>
      <c r="F259" s="1250" t="str">
        <f t="shared" si="38"/>
        <v>не требуется</v>
      </c>
      <c r="G259" s="1250"/>
      <c r="H259" s="1250"/>
      <c r="I259" s="1013">
        <f t="shared" si="39"/>
        <v>0</v>
      </c>
      <c r="J259" s="376"/>
      <c r="K259" s="376"/>
      <c r="L259" s="376"/>
      <c r="N259" s="1032">
        <f t="shared" si="30"/>
        <v>0</v>
      </c>
      <c r="P259" s="573"/>
      <c r="Q259" s="573"/>
      <c r="S259" s="573"/>
      <c r="T259" s="573"/>
      <c r="V259" s="573"/>
      <c r="W259" s="573"/>
      <c r="Y259" s="475">
        <f t="shared" si="44"/>
        <v>0</v>
      </c>
      <c r="Z259" s="573">
        <f t="shared" si="47"/>
        <v>0</v>
      </c>
      <c r="AA259" s="573">
        <f t="shared" si="45"/>
        <v>0</v>
      </c>
      <c r="AB259" s="573">
        <f t="shared" si="48"/>
        <v>0</v>
      </c>
      <c r="AC259" s="573">
        <f t="shared" si="46"/>
        <v>0</v>
      </c>
      <c r="AD259" s="457">
        <f t="shared" si="49"/>
        <v>0</v>
      </c>
      <c r="AE259" s="1"/>
      <c r="AF259" s="472">
        <v>320</v>
      </c>
      <c r="AG259" s="475">
        <f t="shared" si="40"/>
        <v>0</v>
      </c>
      <c r="AH259" s="573">
        <f t="shared" si="41"/>
        <v>0</v>
      </c>
      <c r="AI259" s="457">
        <f t="shared" si="42"/>
        <v>0</v>
      </c>
      <c r="AJ259" s="469">
        <f t="shared" si="43"/>
        <v>0</v>
      </c>
    </row>
    <row r="260" spans="2:36" ht="15" customHeight="1">
      <c r="B260" s="1037">
        <f>SUBTOTAL(3,$I$225:I260)</f>
        <v>36</v>
      </c>
      <c r="C260" s="1037">
        <f t="shared" si="37"/>
        <v>0</v>
      </c>
      <c r="D260" s="1013" t="str">
        <f t="shared" si="35"/>
        <v xml:space="preserve"> </v>
      </c>
      <c r="E260" s="1013" t="str">
        <f t="shared" si="36"/>
        <v xml:space="preserve"> </v>
      </c>
      <c r="F260" s="1250" t="str">
        <f t="shared" si="38"/>
        <v>не требуется</v>
      </c>
      <c r="G260" s="1250"/>
      <c r="H260" s="1250"/>
      <c r="I260" s="1013">
        <f t="shared" si="39"/>
        <v>0</v>
      </c>
      <c r="J260" s="376"/>
      <c r="K260" s="376"/>
      <c r="L260" s="376"/>
      <c r="N260" s="1032">
        <f t="shared" si="30"/>
        <v>0</v>
      </c>
      <c r="P260" s="573"/>
      <c r="Q260" s="573"/>
      <c r="S260" s="573"/>
      <c r="T260" s="573"/>
      <c r="V260" s="573"/>
      <c r="W260" s="573"/>
      <c r="Y260" s="475">
        <f t="shared" si="44"/>
        <v>0</v>
      </c>
      <c r="Z260" s="573">
        <f t="shared" si="47"/>
        <v>0</v>
      </c>
      <c r="AA260" s="573">
        <f t="shared" si="45"/>
        <v>0</v>
      </c>
      <c r="AB260" s="573">
        <f t="shared" si="48"/>
        <v>0</v>
      </c>
      <c r="AC260" s="573">
        <f t="shared" si="46"/>
        <v>0</v>
      </c>
      <c r="AD260" s="457">
        <f t="shared" si="49"/>
        <v>0</v>
      </c>
      <c r="AE260" s="1"/>
      <c r="AF260" s="472">
        <v>330</v>
      </c>
      <c r="AG260" s="475">
        <f t="shared" si="40"/>
        <v>0</v>
      </c>
      <c r="AH260" s="573">
        <f t="shared" si="41"/>
        <v>0</v>
      </c>
      <c r="AI260" s="457">
        <f t="shared" si="42"/>
        <v>0</v>
      </c>
      <c r="AJ260" s="469">
        <f t="shared" si="43"/>
        <v>0</v>
      </c>
    </row>
    <row r="261" spans="2:36" ht="15" customHeight="1">
      <c r="B261" s="1037">
        <f>SUBTOTAL(3,$I$225:I261)</f>
        <v>37</v>
      </c>
      <c r="C261" s="1037">
        <f t="shared" si="37"/>
        <v>0</v>
      </c>
      <c r="D261" s="1013" t="str">
        <f t="shared" si="35"/>
        <v xml:space="preserve"> </v>
      </c>
      <c r="E261" s="1013" t="str">
        <f t="shared" si="36"/>
        <v xml:space="preserve"> </v>
      </c>
      <c r="F261" s="1250" t="str">
        <f t="shared" si="38"/>
        <v>не требуется</v>
      </c>
      <c r="G261" s="1250"/>
      <c r="H261" s="1250"/>
      <c r="I261" s="1013">
        <f t="shared" si="39"/>
        <v>0</v>
      </c>
      <c r="J261" s="376"/>
      <c r="K261" s="376"/>
      <c r="L261" s="376"/>
      <c r="N261" s="1032">
        <f t="shared" si="30"/>
        <v>0</v>
      </c>
      <c r="P261" s="573"/>
      <c r="Q261" s="573"/>
      <c r="S261" s="573"/>
      <c r="T261" s="573"/>
      <c r="V261" s="573"/>
      <c r="W261" s="573"/>
      <c r="Y261" s="475">
        <f t="shared" si="44"/>
        <v>0</v>
      </c>
      <c r="Z261" s="573">
        <f t="shared" si="47"/>
        <v>0</v>
      </c>
      <c r="AA261" s="573">
        <f t="shared" si="45"/>
        <v>0</v>
      </c>
      <c r="AB261" s="573">
        <f t="shared" si="48"/>
        <v>0</v>
      </c>
      <c r="AC261" s="573">
        <f t="shared" si="46"/>
        <v>0</v>
      </c>
      <c r="AD261" s="457">
        <f t="shared" si="49"/>
        <v>0</v>
      </c>
      <c r="AE261" s="1"/>
      <c r="AF261" s="472">
        <v>340</v>
      </c>
      <c r="AG261" s="475">
        <f t="shared" si="40"/>
        <v>0</v>
      </c>
      <c r="AH261" s="573">
        <f t="shared" si="41"/>
        <v>0</v>
      </c>
      <c r="AI261" s="457">
        <f t="shared" si="42"/>
        <v>0</v>
      </c>
      <c r="AJ261" s="469">
        <f t="shared" si="43"/>
        <v>0</v>
      </c>
    </row>
    <row r="262" spans="2:36" ht="15" customHeight="1">
      <c r="B262" s="1037">
        <f>SUBTOTAL(3,$I$225:I262)</f>
        <v>38</v>
      </c>
      <c r="C262" s="1037">
        <f t="shared" si="37"/>
        <v>0</v>
      </c>
      <c r="D262" s="1013" t="str">
        <f t="shared" si="35"/>
        <v xml:space="preserve"> </v>
      </c>
      <c r="E262" s="1013" t="str">
        <f t="shared" si="36"/>
        <v xml:space="preserve"> </v>
      </c>
      <c r="F262" s="1250" t="str">
        <f t="shared" si="38"/>
        <v>не требуется</v>
      </c>
      <c r="G262" s="1250"/>
      <c r="H262" s="1250"/>
      <c r="I262" s="1013">
        <f t="shared" si="39"/>
        <v>0</v>
      </c>
      <c r="J262" s="376"/>
      <c r="K262" s="376"/>
      <c r="L262" s="376"/>
      <c r="N262" s="1032">
        <f t="shared" si="30"/>
        <v>0</v>
      </c>
      <c r="P262" s="573"/>
      <c r="Q262" s="573"/>
      <c r="S262" s="573"/>
      <c r="T262" s="573"/>
      <c r="V262" s="573"/>
      <c r="W262" s="573"/>
      <c r="Y262" s="475">
        <f t="shared" si="44"/>
        <v>0</v>
      </c>
      <c r="Z262" s="573">
        <f t="shared" si="47"/>
        <v>0</v>
      </c>
      <c r="AA262" s="573">
        <f t="shared" si="45"/>
        <v>0</v>
      </c>
      <c r="AB262" s="573">
        <f t="shared" si="48"/>
        <v>0</v>
      </c>
      <c r="AC262" s="573">
        <f t="shared" si="46"/>
        <v>0</v>
      </c>
      <c r="AD262" s="457">
        <f t="shared" si="49"/>
        <v>0</v>
      </c>
      <c r="AE262" s="1"/>
      <c r="AF262" s="472">
        <v>350</v>
      </c>
      <c r="AG262" s="475">
        <f t="shared" si="40"/>
        <v>0</v>
      </c>
      <c r="AH262" s="573">
        <f t="shared" si="41"/>
        <v>0</v>
      </c>
      <c r="AI262" s="457">
        <f t="shared" si="42"/>
        <v>0</v>
      </c>
      <c r="AJ262" s="469">
        <f t="shared" si="43"/>
        <v>0</v>
      </c>
    </row>
    <row r="263" spans="2:36" ht="15" customHeight="1">
      <c r="B263" s="1037">
        <f>SUBTOTAL(3,$I$225:I263)</f>
        <v>39</v>
      </c>
      <c r="C263" s="1037">
        <f t="shared" si="37"/>
        <v>0</v>
      </c>
      <c r="D263" s="1013" t="str">
        <f t="shared" si="35"/>
        <v xml:space="preserve"> </v>
      </c>
      <c r="E263" s="1013" t="str">
        <f t="shared" si="36"/>
        <v xml:space="preserve"> </v>
      </c>
      <c r="F263" s="1250" t="str">
        <f t="shared" si="38"/>
        <v>не требуется</v>
      </c>
      <c r="G263" s="1250"/>
      <c r="H263" s="1250"/>
      <c r="I263" s="1013">
        <f t="shared" si="39"/>
        <v>0</v>
      </c>
      <c r="J263" s="376"/>
      <c r="K263" s="376"/>
      <c r="L263" s="376"/>
      <c r="N263" s="1032">
        <f t="shared" si="30"/>
        <v>0</v>
      </c>
      <c r="P263" s="573"/>
      <c r="Q263" s="573"/>
      <c r="S263" s="573"/>
      <c r="T263" s="573"/>
      <c r="V263" s="573"/>
      <c r="W263" s="573"/>
      <c r="Y263" s="475">
        <f t="shared" si="44"/>
        <v>0</v>
      </c>
      <c r="Z263" s="573">
        <f t="shared" si="47"/>
        <v>0</v>
      </c>
      <c r="AA263" s="573">
        <f t="shared" si="45"/>
        <v>0</v>
      </c>
      <c r="AB263" s="573">
        <f t="shared" si="48"/>
        <v>0</v>
      </c>
      <c r="AC263" s="573">
        <f t="shared" si="46"/>
        <v>0</v>
      </c>
      <c r="AD263" s="457">
        <f t="shared" si="49"/>
        <v>0</v>
      </c>
      <c r="AE263" s="1"/>
      <c r="AF263" s="472">
        <v>360</v>
      </c>
      <c r="AG263" s="475">
        <f t="shared" si="40"/>
        <v>0</v>
      </c>
      <c r="AH263" s="573">
        <f t="shared" si="41"/>
        <v>0</v>
      </c>
      <c r="AI263" s="457">
        <f t="shared" si="42"/>
        <v>0</v>
      </c>
      <c r="AJ263" s="469">
        <f t="shared" si="43"/>
        <v>0</v>
      </c>
    </row>
    <row r="264" spans="2:36" ht="15" customHeight="1">
      <c r="B264" s="1037">
        <f>SUBTOTAL(3,$I$225:I264)</f>
        <v>40</v>
      </c>
      <c r="C264" s="1037">
        <f t="shared" si="37"/>
        <v>0</v>
      </c>
      <c r="D264" s="1013" t="str">
        <f t="shared" si="35"/>
        <v xml:space="preserve"> </v>
      </c>
      <c r="E264" s="1013" t="str">
        <f t="shared" si="36"/>
        <v xml:space="preserve"> </v>
      </c>
      <c r="F264" s="1250" t="str">
        <f t="shared" si="38"/>
        <v>не требуется</v>
      </c>
      <c r="G264" s="1250"/>
      <c r="H264" s="1250"/>
      <c r="I264" s="1013">
        <f t="shared" si="39"/>
        <v>0</v>
      </c>
      <c r="J264" s="376"/>
      <c r="K264" s="376"/>
      <c r="L264" s="376"/>
      <c r="N264" s="1032">
        <f t="shared" si="30"/>
        <v>0</v>
      </c>
      <c r="P264" s="573"/>
      <c r="Q264" s="573"/>
      <c r="S264" s="573"/>
      <c r="T264" s="573"/>
      <c r="V264" s="573"/>
      <c r="W264" s="573"/>
      <c r="Y264" s="475">
        <f t="shared" si="44"/>
        <v>0</v>
      </c>
      <c r="Z264" s="573">
        <f t="shared" si="47"/>
        <v>0</v>
      </c>
      <c r="AA264" s="573">
        <f t="shared" si="45"/>
        <v>0</v>
      </c>
      <c r="AB264" s="573">
        <f t="shared" si="48"/>
        <v>0</v>
      </c>
      <c r="AC264" s="573">
        <f t="shared" si="46"/>
        <v>0</v>
      </c>
      <c r="AD264" s="457">
        <f t="shared" si="49"/>
        <v>0</v>
      </c>
      <c r="AE264" s="1"/>
      <c r="AF264" s="472">
        <v>370</v>
      </c>
      <c r="AG264" s="475">
        <f t="shared" si="40"/>
        <v>0</v>
      </c>
      <c r="AH264" s="573">
        <f t="shared" si="41"/>
        <v>0</v>
      </c>
      <c r="AI264" s="457">
        <f t="shared" si="42"/>
        <v>0</v>
      </c>
      <c r="AJ264" s="469">
        <f t="shared" si="43"/>
        <v>0</v>
      </c>
    </row>
    <row r="265" spans="2:36" ht="15" customHeight="1">
      <c r="B265" s="1037">
        <f>SUBTOTAL(3,$I$225:I265)</f>
        <v>41</v>
      </c>
      <c r="C265" s="1037">
        <f t="shared" si="37"/>
        <v>0</v>
      </c>
      <c r="D265" s="1013" t="str">
        <f t="shared" si="35"/>
        <v xml:space="preserve"> </v>
      </c>
      <c r="E265" s="1013" t="str">
        <f t="shared" si="36"/>
        <v xml:space="preserve"> </v>
      </c>
      <c r="F265" s="1250" t="str">
        <f t="shared" si="38"/>
        <v>не требуется</v>
      </c>
      <c r="G265" s="1250"/>
      <c r="H265" s="1250"/>
      <c r="I265" s="1013">
        <f t="shared" si="39"/>
        <v>0</v>
      </c>
      <c r="J265" s="376"/>
      <c r="K265" s="376"/>
      <c r="L265" s="376"/>
      <c r="N265" s="1032">
        <f t="shared" si="30"/>
        <v>0</v>
      </c>
      <c r="P265" s="573"/>
      <c r="Q265" s="573"/>
      <c r="S265" s="573"/>
      <c r="T265" s="573"/>
      <c r="V265" s="573"/>
      <c r="W265" s="573"/>
      <c r="Y265" s="475">
        <f t="shared" si="44"/>
        <v>0</v>
      </c>
      <c r="Z265" s="573">
        <f t="shared" si="47"/>
        <v>0</v>
      </c>
      <c r="AA265" s="573">
        <f t="shared" si="45"/>
        <v>0</v>
      </c>
      <c r="AB265" s="573">
        <f t="shared" si="48"/>
        <v>0</v>
      </c>
      <c r="AC265" s="573">
        <f t="shared" si="46"/>
        <v>0</v>
      </c>
      <c r="AD265" s="457">
        <f t="shared" si="49"/>
        <v>0</v>
      </c>
      <c r="AE265" s="1"/>
      <c r="AF265" s="472">
        <v>380</v>
      </c>
      <c r="AG265" s="475">
        <f t="shared" si="40"/>
        <v>0</v>
      </c>
      <c r="AH265" s="573">
        <f t="shared" si="41"/>
        <v>0</v>
      </c>
      <c r="AI265" s="457">
        <f t="shared" si="42"/>
        <v>0</v>
      </c>
      <c r="AJ265" s="469">
        <f t="shared" si="43"/>
        <v>0</v>
      </c>
    </row>
    <row r="266" spans="2:36" ht="15" customHeight="1">
      <c r="B266" s="1037">
        <f>SUBTOTAL(3,$I$225:I266)</f>
        <v>42</v>
      </c>
      <c r="C266" s="1037">
        <f t="shared" si="37"/>
        <v>0</v>
      </c>
      <c r="D266" s="1013" t="str">
        <f t="shared" si="35"/>
        <v xml:space="preserve"> </v>
      </c>
      <c r="E266" s="1013" t="str">
        <f t="shared" si="36"/>
        <v xml:space="preserve"> </v>
      </c>
      <c r="F266" s="1250" t="str">
        <f t="shared" si="38"/>
        <v>не требуется</v>
      </c>
      <c r="G266" s="1250"/>
      <c r="H266" s="1250"/>
      <c r="I266" s="1013">
        <f t="shared" si="39"/>
        <v>0</v>
      </c>
      <c r="J266" s="376"/>
      <c r="K266" s="376"/>
      <c r="L266" s="376"/>
      <c r="N266" s="1032">
        <f t="shared" si="30"/>
        <v>0</v>
      </c>
      <c r="P266" s="573"/>
      <c r="Q266" s="573"/>
      <c r="S266" s="573"/>
      <c r="T266" s="573"/>
      <c r="V266" s="573"/>
      <c r="W266" s="573"/>
      <c r="Y266" s="475">
        <f t="shared" si="44"/>
        <v>0</v>
      </c>
      <c r="Z266" s="573">
        <f t="shared" si="47"/>
        <v>0</v>
      </c>
      <c r="AA266" s="573">
        <f t="shared" si="45"/>
        <v>0</v>
      </c>
      <c r="AB266" s="573">
        <f t="shared" si="48"/>
        <v>0</v>
      </c>
      <c r="AC266" s="573">
        <f t="shared" si="46"/>
        <v>0</v>
      </c>
      <c r="AD266" s="457">
        <f t="shared" si="49"/>
        <v>0</v>
      </c>
      <c r="AE266" s="1"/>
      <c r="AF266" s="472">
        <v>390</v>
      </c>
      <c r="AG266" s="475">
        <f t="shared" si="40"/>
        <v>0</v>
      </c>
      <c r="AH266" s="573">
        <f t="shared" si="41"/>
        <v>0</v>
      </c>
      <c r="AI266" s="457">
        <f t="shared" si="42"/>
        <v>0</v>
      </c>
      <c r="AJ266" s="469">
        <f t="shared" si="43"/>
        <v>0</v>
      </c>
    </row>
    <row r="267" spans="2:36" ht="15" customHeight="1">
      <c r="B267" s="1037">
        <f>SUBTOTAL(3,$I$225:I267)</f>
        <v>43</v>
      </c>
      <c r="C267" s="1037">
        <f t="shared" si="37"/>
        <v>0</v>
      </c>
      <c r="D267" s="1013" t="str">
        <f t="shared" si="35"/>
        <v xml:space="preserve"> </v>
      </c>
      <c r="E267" s="1013" t="str">
        <f t="shared" si="36"/>
        <v xml:space="preserve"> </v>
      </c>
      <c r="F267" s="1250" t="str">
        <f t="shared" si="38"/>
        <v>не требуется</v>
      </c>
      <c r="G267" s="1250"/>
      <c r="H267" s="1250"/>
      <c r="I267" s="1013">
        <f t="shared" si="39"/>
        <v>0</v>
      </c>
      <c r="J267" s="376"/>
      <c r="K267" s="376"/>
      <c r="L267" s="376"/>
      <c r="N267" s="1032">
        <f t="shared" si="30"/>
        <v>0</v>
      </c>
      <c r="P267" s="573"/>
      <c r="Q267" s="573"/>
      <c r="S267" s="573"/>
      <c r="T267" s="573"/>
      <c r="V267" s="573"/>
      <c r="W267" s="573"/>
      <c r="Y267" s="475">
        <f t="shared" si="44"/>
        <v>0</v>
      </c>
      <c r="Z267" s="573">
        <f t="shared" si="47"/>
        <v>0</v>
      </c>
      <c r="AA267" s="573">
        <f t="shared" si="45"/>
        <v>0</v>
      </c>
      <c r="AB267" s="573">
        <f t="shared" si="48"/>
        <v>0</v>
      </c>
      <c r="AC267" s="573">
        <f t="shared" si="46"/>
        <v>0</v>
      </c>
      <c r="AD267" s="457">
        <f t="shared" si="49"/>
        <v>0</v>
      </c>
      <c r="AE267" s="1"/>
      <c r="AF267" s="472">
        <v>400</v>
      </c>
      <c r="AG267" s="475">
        <f t="shared" si="40"/>
        <v>0</v>
      </c>
      <c r="AH267" s="573">
        <f t="shared" si="41"/>
        <v>0</v>
      </c>
      <c r="AI267" s="457">
        <f t="shared" si="42"/>
        <v>0</v>
      </c>
      <c r="AJ267" s="469">
        <f t="shared" si="43"/>
        <v>0</v>
      </c>
    </row>
    <row r="268" spans="2:36" ht="15" customHeight="1">
      <c r="B268" s="1037">
        <f>SUBTOTAL(3,$I$225:I268)</f>
        <v>44</v>
      </c>
      <c r="C268" s="1037">
        <f t="shared" si="37"/>
        <v>0</v>
      </c>
      <c r="D268" s="1013" t="str">
        <f t="shared" si="35"/>
        <v xml:space="preserve"> </v>
      </c>
      <c r="E268" s="1013" t="str">
        <f t="shared" si="36"/>
        <v xml:space="preserve"> </v>
      </c>
      <c r="F268" s="1250" t="str">
        <f t="shared" si="38"/>
        <v>не требуется</v>
      </c>
      <c r="G268" s="1250"/>
      <c r="H268" s="1250"/>
      <c r="I268" s="1013">
        <f t="shared" si="39"/>
        <v>0</v>
      </c>
      <c r="J268" s="376"/>
      <c r="K268" s="376"/>
      <c r="L268" s="376"/>
      <c r="N268" s="1032">
        <f t="shared" ref="N268:N295" si="50">IF(I268&gt;0,1,0)</f>
        <v>0</v>
      </c>
      <c r="P268" s="573"/>
      <c r="Q268" s="573"/>
      <c r="S268" s="573"/>
      <c r="T268" s="573"/>
      <c r="V268" s="573"/>
      <c r="W268" s="573"/>
      <c r="Y268" s="475">
        <f t="shared" si="44"/>
        <v>0</v>
      </c>
      <c r="Z268" s="573">
        <f t="shared" si="47"/>
        <v>0</v>
      </c>
      <c r="AA268" s="573">
        <f t="shared" si="45"/>
        <v>0</v>
      </c>
      <c r="AB268" s="573">
        <f t="shared" si="48"/>
        <v>0</v>
      </c>
      <c r="AC268" s="573">
        <f t="shared" si="46"/>
        <v>0</v>
      </c>
      <c r="AD268" s="457">
        <f t="shared" si="49"/>
        <v>0</v>
      </c>
      <c r="AE268" s="1"/>
      <c r="AF268" s="472">
        <v>410</v>
      </c>
      <c r="AG268" s="475">
        <f t="shared" si="40"/>
        <v>0</v>
      </c>
      <c r="AH268" s="573">
        <f t="shared" si="41"/>
        <v>0</v>
      </c>
      <c r="AI268" s="457">
        <f t="shared" si="42"/>
        <v>0</v>
      </c>
      <c r="AJ268" s="469">
        <f t="shared" si="43"/>
        <v>0</v>
      </c>
    </row>
    <row r="269" spans="2:36" ht="15" customHeight="1">
      <c r="B269" s="1037">
        <f>SUBTOTAL(3,$I$225:I269)</f>
        <v>45</v>
      </c>
      <c r="C269" s="1037">
        <f t="shared" si="37"/>
        <v>0</v>
      </c>
      <c r="D269" s="1013" t="str">
        <f t="shared" si="35"/>
        <v xml:space="preserve"> </v>
      </c>
      <c r="E269" s="1013" t="str">
        <f t="shared" si="36"/>
        <v xml:space="preserve"> </v>
      </c>
      <c r="F269" s="1250" t="str">
        <f t="shared" si="38"/>
        <v>не требуется</v>
      </c>
      <c r="G269" s="1250"/>
      <c r="H269" s="1250"/>
      <c r="I269" s="1013">
        <f t="shared" si="39"/>
        <v>0</v>
      </c>
      <c r="J269" s="376"/>
      <c r="K269" s="376"/>
      <c r="L269" s="376"/>
      <c r="N269" s="1032">
        <f t="shared" si="50"/>
        <v>0</v>
      </c>
      <c r="P269" s="573"/>
      <c r="Q269" s="573"/>
      <c r="S269" s="573"/>
      <c r="T269" s="573"/>
      <c r="V269" s="573"/>
      <c r="W269" s="573"/>
      <c r="Y269" s="475">
        <f t="shared" si="44"/>
        <v>0</v>
      </c>
      <c r="Z269" s="573">
        <f t="shared" si="47"/>
        <v>0</v>
      </c>
      <c r="AA269" s="573">
        <f t="shared" si="45"/>
        <v>0</v>
      </c>
      <c r="AB269" s="573">
        <f t="shared" si="48"/>
        <v>0</v>
      </c>
      <c r="AC269" s="573">
        <f t="shared" si="46"/>
        <v>0</v>
      </c>
      <c r="AD269" s="457">
        <f t="shared" si="49"/>
        <v>0</v>
      </c>
      <c r="AF269" s="472">
        <v>420</v>
      </c>
      <c r="AG269" s="475">
        <f t="shared" si="40"/>
        <v>0</v>
      </c>
      <c r="AH269" s="573">
        <f t="shared" si="41"/>
        <v>0</v>
      </c>
      <c r="AI269" s="457">
        <f t="shared" si="42"/>
        <v>0</v>
      </c>
      <c r="AJ269" s="469">
        <f t="shared" si="43"/>
        <v>0</v>
      </c>
    </row>
    <row r="270" spans="2:36" ht="15" customHeight="1">
      <c r="B270" s="1037">
        <f>SUBTOTAL(3,$I$225:I270)</f>
        <v>46</v>
      </c>
      <c r="C270" s="1037">
        <f t="shared" si="37"/>
        <v>0</v>
      </c>
      <c r="D270" s="1013" t="str">
        <f t="shared" si="35"/>
        <v xml:space="preserve"> </v>
      </c>
      <c r="E270" s="1013" t="str">
        <f t="shared" si="36"/>
        <v xml:space="preserve"> </v>
      </c>
      <c r="F270" s="1250" t="str">
        <f t="shared" si="38"/>
        <v>не требуется</v>
      </c>
      <c r="G270" s="1250"/>
      <c r="H270" s="1250"/>
      <c r="I270" s="1013">
        <f t="shared" si="39"/>
        <v>0</v>
      </c>
      <c r="J270" s="376"/>
      <c r="K270" s="376"/>
      <c r="L270" s="376"/>
      <c r="N270" s="1032">
        <f t="shared" si="50"/>
        <v>0</v>
      </c>
      <c r="P270" s="573"/>
      <c r="Q270" s="573"/>
      <c r="S270" s="573"/>
      <c r="T270" s="573"/>
      <c r="V270" s="573"/>
      <c r="W270" s="573"/>
      <c r="Y270" s="475">
        <f t="shared" si="44"/>
        <v>0</v>
      </c>
      <c r="Z270" s="573">
        <f t="shared" si="47"/>
        <v>0</v>
      </c>
      <c r="AA270" s="573">
        <f t="shared" si="45"/>
        <v>0</v>
      </c>
      <c r="AB270" s="573">
        <f t="shared" si="48"/>
        <v>0</v>
      </c>
      <c r="AC270" s="573">
        <f t="shared" si="46"/>
        <v>0</v>
      </c>
      <c r="AD270" s="457">
        <f t="shared" si="49"/>
        <v>0</v>
      </c>
      <c r="AF270" s="472">
        <v>430</v>
      </c>
      <c r="AG270" s="475">
        <f t="shared" si="40"/>
        <v>0</v>
      </c>
      <c r="AH270" s="573">
        <f t="shared" si="41"/>
        <v>0</v>
      </c>
      <c r="AI270" s="457">
        <f t="shared" si="42"/>
        <v>0</v>
      </c>
      <c r="AJ270" s="469">
        <f t="shared" si="43"/>
        <v>0</v>
      </c>
    </row>
    <row r="271" spans="2:36" ht="15" customHeight="1">
      <c r="B271" s="1037">
        <f>SUBTOTAL(3,$I$225:I271)</f>
        <v>47</v>
      </c>
      <c r="C271" s="1037">
        <f t="shared" si="37"/>
        <v>0</v>
      </c>
      <c r="D271" s="1013" t="str">
        <f t="shared" si="35"/>
        <v xml:space="preserve"> </v>
      </c>
      <c r="E271" s="1013" t="str">
        <f t="shared" si="36"/>
        <v xml:space="preserve"> </v>
      </c>
      <c r="F271" s="1250" t="str">
        <f t="shared" si="38"/>
        <v>не требуется</v>
      </c>
      <c r="G271" s="1250"/>
      <c r="H271" s="1250"/>
      <c r="I271" s="1013">
        <f t="shared" si="39"/>
        <v>0</v>
      </c>
      <c r="J271" s="376"/>
      <c r="K271" s="376"/>
      <c r="L271" s="376"/>
      <c r="N271" s="1032">
        <f t="shared" si="50"/>
        <v>0</v>
      </c>
      <c r="P271" s="573"/>
      <c r="Q271" s="573"/>
      <c r="S271" s="573"/>
      <c r="T271" s="573"/>
      <c r="V271" s="573"/>
      <c r="W271" s="573"/>
      <c r="Y271" s="475">
        <f t="shared" si="44"/>
        <v>0</v>
      </c>
      <c r="Z271" s="573">
        <f t="shared" si="47"/>
        <v>0</v>
      </c>
      <c r="AA271" s="573">
        <f t="shared" si="45"/>
        <v>0</v>
      </c>
      <c r="AB271" s="573">
        <f t="shared" si="48"/>
        <v>0</v>
      </c>
      <c r="AC271" s="573">
        <f t="shared" si="46"/>
        <v>0</v>
      </c>
      <c r="AD271" s="457">
        <f t="shared" si="49"/>
        <v>0</v>
      </c>
      <c r="AF271" s="472">
        <v>440</v>
      </c>
      <c r="AG271" s="475">
        <f t="shared" si="40"/>
        <v>0</v>
      </c>
      <c r="AH271" s="573">
        <f t="shared" si="41"/>
        <v>0</v>
      </c>
      <c r="AI271" s="457">
        <f t="shared" si="42"/>
        <v>0</v>
      </c>
      <c r="AJ271" s="469">
        <f t="shared" si="43"/>
        <v>0</v>
      </c>
    </row>
    <row r="272" spans="2:36" ht="15" customHeight="1">
      <c r="B272" s="1037">
        <f>SUBTOTAL(3,$I$225:I272)</f>
        <v>48</v>
      </c>
      <c r="C272" s="1037">
        <f t="shared" si="37"/>
        <v>0</v>
      </c>
      <c r="D272" s="1013" t="str">
        <f t="shared" si="35"/>
        <v xml:space="preserve"> </v>
      </c>
      <c r="E272" s="1013" t="str">
        <f t="shared" si="36"/>
        <v xml:space="preserve"> </v>
      </c>
      <c r="F272" s="1250" t="str">
        <f t="shared" si="38"/>
        <v>не требуется</v>
      </c>
      <c r="G272" s="1250"/>
      <c r="H272" s="1250"/>
      <c r="I272" s="1013">
        <f t="shared" si="39"/>
        <v>0</v>
      </c>
      <c r="J272" s="376"/>
      <c r="K272" s="376"/>
      <c r="L272" s="376"/>
      <c r="N272" s="1032">
        <f t="shared" si="50"/>
        <v>0</v>
      </c>
      <c r="P272" s="573"/>
      <c r="Q272" s="573"/>
      <c r="S272" s="573"/>
      <c r="T272" s="573"/>
      <c r="V272" s="573"/>
      <c r="W272" s="573"/>
      <c r="Y272" s="475">
        <f t="shared" si="44"/>
        <v>0</v>
      </c>
      <c r="Z272" s="573">
        <f t="shared" si="47"/>
        <v>0</v>
      </c>
      <c r="AA272" s="573">
        <f t="shared" si="45"/>
        <v>0</v>
      </c>
      <c r="AB272" s="573">
        <f t="shared" si="48"/>
        <v>0</v>
      </c>
      <c r="AC272" s="573">
        <f t="shared" si="46"/>
        <v>0</v>
      </c>
      <c r="AD272" s="457">
        <f t="shared" si="49"/>
        <v>0</v>
      </c>
      <c r="AF272" s="472">
        <v>450</v>
      </c>
      <c r="AG272" s="475">
        <f t="shared" si="40"/>
        <v>0</v>
      </c>
      <c r="AH272" s="573">
        <f t="shared" si="41"/>
        <v>0</v>
      </c>
      <c r="AI272" s="457">
        <f t="shared" si="42"/>
        <v>0</v>
      </c>
      <c r="AJ272" s="469">
        <f t="shared" si="43"/>
        <v>0</v>
      </c>
    </row>
    <row r="273" spans="2:36" ht="15" customHeight="1">
      <c r="B273" s="1037">
        <f>SUBTOTAL(3,$I$225:I273)</f>
        <v>49</v>
      </c>
      <c r="C273" s="1037">
        <f t="shared" si="37"/>
        <v>0</v>
      </c>
      <c r="D273" s="1013" t="str">
        <f t="shared" si="35"/>
        <v xml:space="preserve"> </v>
      </c>
      <c r="E273" s="1013" t="str">
        <f t="shared" si="36"/>
        <v xml:space="preserve"> </v>
      </c>
      <c r="F273" s="1250" t="str">
        <f t="shared" si="38"/>
        <v>не требуется</v>
      </c>
      <c r="G273" s="1250"/>
      <c r="H273" s="1250"/>
      <c r="I273" s="1013">
        <f t="shared" si="39"/>
        <v>0</v>
      </c>
      <c r="J273" s="376"/>
      <c r="K273" s="376"/>
      <c r="L273" s="376"/>
      <c r="N273" s="1032">
        <f t="shared" si="50"/>
        <v>0</v>
      </c>
      <c r="P273" s="573"/>
      <c r="Q273" s="573"/>
      <c r="S273" s="573"/>
      <c r="T273" s="573"/>
      <c r="V273" s="573"/>
      <c r="W273" s="573"/>
      <c r="Y273" s="475">
        <f t="shared" si="44"/>
        <v>0</v>
      </c>
      <c r="Z273" s="573">
        <f t="shared" si="47"/>
        <v>0</v>
      </c>
      <c r="AA273" s="573">
        <f t="shared" si="45"/>
        <v>0</v>
      </c>
      <c r="AB273" s="573">
        <f t="shared" si="48"/>
        <v>0</v>
      </c>
      <c r="AC273" s="573">
        <f t="shared" si="46"/>
        <v>0</v>
      </c>
      <c r="AD273" s="457">
        <f t="shared" si="49"/>
        <v>0</v>
      </c>
      <c r="AF273" s="472">
        <v>460</v>
      </c>
      <c r="AG273" s="475">
        <f t="shared" si="40"/>
        <v>0</v>
      </c>
      <c r="AH273" s="573">
        <f t="shared" si="41"/>
        <v>0</v>
      </c>
      <c r="AI273" s="457">
        <f t="shared" si="42"/>
        <v>0</v>
      </c>
      <c r="AJ273" s="469">
        <f t="shared" si="43"/>
        <v>0</v>
      </c>
    </row>
    <row r="274" spans="2:36" ht="15" customHeight="1">
      <c r="B274" s="1037">
        <f>SUBTOTAL(3,$I$225:I274)</f>
        <v>50</v>
      </c>
      <c r="C274" s="1037">
        <f t="shared" si="37"/>
        <v>0</v>
      </c>
      <c r="D274" s="1013" t="str">
        <f t="shared" si="35"/>
        <v xml:space="preserve"> </v>
      </c>
      <c r="E274" s="1013" t="str">
        <f t="shared" si="36"/>
        <v xml:space="preserve"> </v>
      </c>
      <c r="F274" s="1250" t="str">
        <f t="shared" si="38"/>
        <v>не требуется</v>
      </c>
      <c r="G274" s="1250"/>
      <c r="H274" s="1250"/>
      <c r="I274" s="1013">
        <f t="shared" si="39"/>
        <v>0</v>
      </c>
      <c r="J274" s="376"/>
      <c r="K274" s="376"/>
      <c r="L274" s="376"/>
      <c r="N274" s="1032">
        <f t="shared" si="50"/>
        <v>0</v>
      </c>
      <c r="P274" s="573"/>
      <c r="Q274" s="573"/>
      <c r="S274" s="573"/>
      <c r="T274" s="573"/>
      <c r="V274" s="573"/>
      <c r="W274" s="573"/>
      <c r="Y274" s="475">
        <f t="shared" si="44"/>
        <v>0</v>
      </c>
      <c r="Z274" s="573">
        <f t="shared" si="47"/>
        <v>0</v>
      </c>
      <c r="AA274" s="573">
        <f t="shared" si="45"/>
        <v>0</v>
      </c>
      <c r="AB274" s="573">
        <f t="shared" si="48"/>
        <v>0</v>
      </c>
      <c r="AC274" s="573">
        <f t="shared" si="46"/>
        <v>0</v>
      </c>
      <c r="AD274" s="457">
        <f t="shared" si="49"/>
        <v>0</v>
      </c>
      <c r="AF274" s="472">
        <v>470</v>
      </c>
      <c r="AG274" s="475">
        <f t="shared" si="40"/>
        <v>0</v>
      </c>
      <c r="AH274" s="573">
        <f t="shared" si="41"/>
        <v>0</v>
      </c>
      <c r="AI274" s="457">
        <f t="shared" si="42"/>
        <v>0</v>
      </c>
      <c r="AJ274" s="469">
        <f t="shared" si="43"/>
        <v>0</v>
      </c>
    </row>
    <row r="275" spans="2:36" ht="15" customHeight="1">
      <c r="B275" s="1037">
        <f>SUBTOTAL(3,$I$225:I275)</f>
        <v>51</v>
      </c>
      <c r="C275" s="1037">
        <f t="shared" si="37"/>
        <v>0</v>
      </c>
      <c r="D275" s="1013" t="str">
        <f t="shared" si="35"/>
        <v xml:space="preserve"> </v>
      </c>
      <c r="E275" s="1013" t="str">
        <f t="shared" si="36"/>
        <v xml:space="preserve"> </v>
      </c>
      <c r="F275" s="1250" t="str">
        <f t="shared" si="38"/>
        <v>не требуется</v>
      </c>
      <c r="G275" s="1250"/>
      <c r="H275" s="1250"/>
      <c r="I275" s="1013">
        <f t="shared" si="39"/>
        <v>0</v>
      </c>
      <c r="J275" s="376"/>
      <c r="K275" s="376"/>
      <c r="L275" s="376"/>
      <c r="N275" s="1032">
        <f t="shared" si="50"/>
        <v>0</v>
      </c>
      <c r="P275" s="573"/>
      <c r="Q275" s="573"/>
      <c r="S275" s="573"/>
      <c r="T275" s="573"/>
      <c r="V275" s="573"/>
      <c r="W275" s="573"/>
      <c r="Y275" s="475">
        <f t="shared" si="44"/>
        <v>0</v>
      </c>
      <c r="Z275" s="573">
        <f t="shared" si="47"/>
        <v>0</v>
      </c>
      <c r="AA275" s="573">
        <f t="shared" si="45"/>
        <v>0</v>
      </c>
      <c r="AB275" s="573">
        <f t="shared" si="48"/>
        <v>0</v>
      </c>
      <c r="AC275" s="573">
        <f t="shared" si="46"/>
        <v>0</v>
      </c>
      <c r="AD275" s="457">
        <f t="shared" si="49"/>
        <v>0</v>
      </c>
      <c r="AF275" s="472">
        <v>480</v>
      </c>
      <c r="AG275" s="475">
        <f t="shared" si="40"/>
        <v>0</v>
      </c>
      <c r="AH275" s="573">
        <f t="shared" si="41"/>
        <v>0</v>
      </c>
      <c r="AI275" s="457">
        <f t="shared" si="42"/>
        <v>0</v>
      </c>
      <c r="AJ275" s="469">
        <f t="shared" si="43"/>
        <v>0</v>
      </c>
    </row>
    <row r="276" spans="2:36" ht="15" customHeight="1">
      <c r="B276" s="1037">
        <f>SUBTOTAL(3,$I$225:I276)</f>
        <v>52</v>
      </c>
      <c r="C276" s="1037">
        <f t="shared" si="37"/>
        <v>0</v>
      </c>
      <c r="D276" s="1013" t="str">
        <f t="shared" si="35"/>
        <v xml:space="preserve"> </v>
      </c>
      <c r="E276" s="1013" t="str">
        <f t="shared" si="36"/>
        <v xml:space="preserve"> </v>
      </c>
      <c r="F276" s="1250" t="str">
        <f t="shared" si="38"/>
        <v>не требуется</v>
      </c>
      <c r="G276" s="1250"/>
      <c r="H276" s="1250"/>
      <c r="I276" s="1013">
        <f t="shared" si="39"/>
        <v>0</v>
      </c>
      <c r="J276" s="376"/>
      <c r="K276" s="376"/>
      <c r="L276" s="376"/>
      <c r="N276" s="1032">
        <f t="shared" si="50"/>
        <v>0</v>
      </c>
      <c r="P276" s="573"/>
      <c r="Q276" s="573"/>
      <c r="S276" s="573"/>
      <c r="T276" s="573"/>
      <c r="V276" s="573"/>
      <c r="W276" s="573"/>
      <c r="Y276" s="475">
        <f t="shared" si="44"/>
        <v>0</v>
      </c>
      <c r="Z276" s="573">
        <f t="shared" si="47"/>
        <v>0</v>
      </c>
      <c r="AA276" s="573">
        <f t="shared" si="45"/>
        <v>0</v>
      </c>
      <c r="AB276" s="573">
        <f t="shared" si="48"/>
        <v>0</v>
      </c>
      <c r="AC276" s="573">
        <f t="shared" si="46"/>
        <v>0</v>
      </c>
      <c r="AD276" s="457">
        <f t="shared" si="49"/>
        <v>0</v>
      </c>
      <c r="AF276" s="472">
        <v>490</v>
      </c>
      <c r="AG276" s="475">
        <f t="shared" si="40"/>
        <v>0</v>
      </c>
      <c r="AH276" s="573">
        <f t="shared" si="41"/>
        <v>0</v>
      </c>
      <c r="AI276" s="457">
        <f t="shared" si="42"/>
        <v>0</v>
      </c>
      <c r="AJ276" s="469">
        <f t="shared" si="43"/>
        <v>0</v>
      </c>
    </row>
    <row r="277" spans="2:36" ht="15" customHeight="1">
      <c r="B277" s="1037">
        <f>SUBTOTAL(3,$I$225:I277)</f>
        <v>53</v>
      </c>
      <c r="C277" s="1037">
        <f t="shared" si="37"/>
        <v>0</v>
      </c>
      <c r="D277" s="1013" t="str">
        <f t="shared" si="35"/>
        <v xml:space="preserve"> </v>
      </c>
      <c r="E277" s="1013" t="str">
        <f t="shared" si="36"/>
        <v xml:space="preserve"> </v>
      </c>
      <c r="F277" s="1250" t="str">
        <f t="shared" si="38"/>
        <v>не требуется</v>
      </c>
      <c r="G277" s="1250"/>
      <c r="H277" s="1250"/>
      <c r="I277" s="1013">
        <f t="shared" si="39"/>
        <v>0</v>
      </c>
      <c r="J277" s="376"/>
      <c r="K277" s="376"/>
      <c r="L277" s="376"/>
      <c r="N277" s="1032">
        <f t="shared" si="50"/>
        <v>0</v>
      </c>
      <c r="P277" s="573"/>
      <c r="Q277" s="573"/>
      <c r="S277" s="573"/>
      <c r="T277" s="573"/>
      <c r="V277" s="573"/>
      <c r="W277" s="573"/>
      <c r="Y277" s="475">
        <f t="shared" si="44"/>
        <v>0</v>
      </c>
      <c r="Z277" s="573">
        <f t="shared" si="47"/>
        <v>0</v>
      </c>
      <c r="AA277" s="573">
        <f t="shared" si="45"/>
        <v>0</v>
      </c>
      <c r="AB277" s="573">
        <f t="shared" si="48"/>
        <v>0</v>
      </c>
      <c r="AC277" s="573">
        <f t="shared" si="46"/>
        <v>0</v>
      </c>
      <c r="AD277" s="457">
        <f t="shared" si="49"/>
        <v>0</v>
      </c>
      <c r="AF277" s="472">
        <v>500</v>
      </c>
      <c r="AG277" s="475">
        <f t="shared" si="40"/>
        <v>0</v>
      </c>
      <c r="AH277" s="573">
        <f t="shared" si="41"/>
        <v>0</v>
      </c>
      <c r="AI277" s="457">
        <f t="shared" si="42"/>
        <v>0</v>
      </c>
      <c r="AJ277" s="469">
        <f t="shared" si="43"/>
        <v>0</v>
      </c>
    </row>
    <row r="278" spans="2:36" ht="15" customHeight="1">
      <c r="B278" s="1037">
        <f>SUBTOTAL(3,$I$225:I278)</f>
        <v>54</v>
      </c>
      <c r="C278" s="1037">
        <f t="shared" si="37"/>
        <v>0</v>
      </c>
      <c r="D278" s="1013" t="str">
        <f t="shared" si="35"/>
        <v xml:space="preserve"> </v>
      </c>
      <c r="E278" s="1013" t="str">
        <f t="shared" si="36"/>
        <v xml:space="preserve"> </v>
      </c>
      <c r="F278" s="1250" t="str">
        <f t="shared" si="38"/>
        <v>не требуется</v>
      </c>
      <c r="G278" s="1250"/>
      <c r="H278" s="1250"/>
      <c r="I278" s="1013">
        <f t="shared" si="39"/>
        <v>0</v>
      </c>
      <c r="J278" s="376"/>
      <c r="K278" s="376"/>
      <c r="L278" s="376"/>
      <c r="N278" s="1032">
        <f t="shared" si="50"/>
        <v>0</v>
      </c>
      <c r="P278" s="573"/>
      <c r="Q278" s="573"/>
      <c r="R278" s="1"/>
      <c r="S278" s="573"/>
      <c r="T278" s="573"/>
      <c r="V278" s="573"/>
      <c r="W278" s="573"/>
      <c r="Y278" s="475">
        <f t="shared" si="44"/>
        <v>0</v>
      </c>
      <c r="Z278" s="573">
        <f t="shared" si="47"/>
        <v>0</v>
      </c>
      <c r="AA278" s="573">
        <f t="shared" si="45"/>
        <v>0</v>
      </c>
      <c r="AB278" s="573">
        <f t="shared" si="48"/>
        <v>0</v>
      </c>
      <c r="AC278" s="573">
        <f t="shared" si="46"/>
        <v>0</v>
      </c>
      <c r="AD278" s="457">
        <f t="shared" si="49"/>
        <v>0</v>
      </c>
      <c r="AF278" s="472">
        <v>510</v>
      </c>
      <c r="AG278" s="475">
        <f t="shared" si="40"/>
        <v>0</v>
      </c>
      <c r="AH278" s="573">
        <f t="shared" si="41"/>
        <v>0</v>
      </c>
      <c r="AI278" s="457">
        <f t="shared" si="42"/>
        <v>0</v>
      </c>
      <c r="AJ278" s="469">
        <f t="shared" si="43"/>
        <v>0</v>
      </c>
    </row>
    <row r="279" spans="2:36" ht="15" customHeight="1">
      <c r="B279" s="1037">
        <f>SUBTOTAL(3,$I$225:I279)</f>
        <v>55</v>
      </c>
      <c r="C279" s="1037">
        <f t="shared" si="37"/>
        <v>0</v>
      </c>
      <c r="D279" s="1013" t="str">
        <f t="shared" si="35"/>
        <v xml:space="preserve"> </v>
      </c>
      <c r="E279" s="1013" t="str">
        <f t="shared" si="36"/>
        <v xml:space="preserve"> </v>
      </c>
      <c r="F279" s="1250" t="str">
        <f t="shared" si="38"/>
        <v>не требуется</v>
      </c>
      <c r="G279" s="1250"/>
      <c r="H279" s="1250"/>
      <c r="I279" s="1013">
        <f t="shared" si="39"/>
        <v>0</v>
      </c>
      <c r="J279" s="376"/>
      <c r="K279" s="376"/>
      <c r="L279" s="376"/>
      <c r="N279" s="1032">
        <f t="shared" si="50"/>
        <v>0</v>
      </c>
      <c r="P279" s="573"/>
      <c r="Q279" s="573"/>
      <c r="R279" s="1"/>
      <c r="S279" s="573"/>
      <c r="T279" s="573"/>
      <c r="V279" s="573"/>
      <c r="W279" s="573"/>
      <c r="Y279" s="475">
        <f t="shared" si="44"/>
        <v>0</v>
      </c>
      <c r="Z279" s="573">
        <f t="shared" si="47"/>
        <v>0</v>
      </c>
      <c r="AA279" s="573">
        <f t="shared" si="45"/>
        <v>0</v>
      </c>
      <c r="AB279" s="573">
        <f t="shared" si="48"/>
        <v>0</v>
      </c>
      <c r="AC279" s="573">
        <f t="shared" si="46"/>
        <v>0</v>
      </c>
      <c r="AD279" s="457">
        <f t="shared" si="49"/>
        <v>0</v>
      </c>
      <c r="AF279" s="472">
        <v>520</v>
      </c>
      <c r="AG279" s="475">
        <f t="shared" si="40"/>
        <v>0</v>
      </c>
      <c r="AH279" s="573">
        <f t="shared" si="41"/>
        <v>0</v>
      </c>
      <c r="AI279" s="457">
        <f t="shared" si="42"/>
        <v>0</v>
      </c>
      <c r="AJ279" s="469">
        <f t="shared" si="43"/>
        <v>0</v>
      </c>
    </row>
    <row r="280" spans="2:36" ht="15" customHeight="1">
      <c r="B280" s="1037">
        <f>SUBTOTAL(3,$I$225:I280)</f>
        <v>56</v>
      </c>
      <c r="C280" s="1037">
        <f t="shared" si="37"/>
        <v>0</v>
      </c>
      <c r="D280" s="1013" t="str">
        <f t="shared" si="35"/>
        <v xml:space="preserve"> </v>
      </c>
      <c r="E280" s="1013" t="str">
        <f t="shared" si="36"/>
        <v xml:space="preserve"> </v>
      </c>
      <c r="F280" s="1250" t="str">
        <f t="shared" si="38"/>
        <v>не требуется</v>
      </c>
      <c r="G280" s="1250"/>
      <c r="H280" s="1250"/>
      <c r="I280" s="1013">
        <f t="shared" si="39"/>
        <v>0</v>
      </c>
      <c r="J280" s="376"/>
      <c r="K280" s="376"/>
      <c r="L280" s="376"/>
      <c r="N280" s="1032">
        <f t="shared" si="50"/>
        <v>0</v>
      </c>
      <c r="P280" s="573"/>
      <c r="Q280" s="573"/>
      <c r="R280" s="1"/>
      <c r="S280" s="573"/>
      <c r="T280" s="573"/>
      <c r="V280" s="573"/>
      <c r="W280" s="573"/>
      <c r="Y280" s="475">
        <f t="shared" si="44"/>
        <v>0</v>
      </c>
      <c r="Z280" s="573">
        <f t="shared" si="47"/>
        <v>0</v>
      </c>
      <c r="AA280" s="573">
        <f t="shared" si="45"/>
        <v>0</v>
      </c>
      <c r="AB280" s="573">
        <f t="shared" si="48"/>
        <v>0</v>
      </c>
      <c r="AC280" s="573">
        <f t="shared" si="46"/>
        <v>0</v>
      </c>
      <c r="AD280" s="457">
        <f t="shared" si="49"/>
        <v>0</v>
      </c>
      <c r="AF280" s="472">
        <v>530</v>
      </c>
      <c r="AG280" s="475">
        <f t="shared" si="40"/>
        <v>0</v>
      </c>
      <c r="AH280" s="573">
        <f t="shared" si="41"/>
        <v>0</v>
      </c>
      <c r="AI280" s="457">
        <f t="shared" si="42"/>
        <v>0</v>
      </c>
      <c r="AJ280" s="469">
        <f t="shared" si="43"/>
        <v>0</v>
      </c>
    </row>
    <row r="281" spans="2:36" ht="15" customHeight="1">
      <c r="B281" s="1037">
        <f>SUBTOTAL(3,$I$225:I281)</f>
        <v>57</v>
      </c>
      <c r="C281" s="1037">
        <f t="shared" si="37"/>
        <v>0</v>
      </c>
      <c r="D281" s="1013" t="str">
        <f t="shared" si="35"/>
        <v xml:space="preserve"> </v>
      </c>
      <c r="E281" s="1013" t="str">
        <f t="shared" si="36"/>
        <v xml:space="preserve"> </v>
      </c>
      <c r="F281" s="1250" t="str">
        <f t="shared" si="38"/>
        <v>не требуется</v>
      </c>
      <c r="G281" s="1250"/>
      <c r="H281" s="1250"/>
      <c r="I281" s="1013">
        <f t="shared" si="39"/>
        <v>0</v>
      </c>
      <c r="J281" s="376"/>
      <c r="K281" s="376"/>
      <c r="L281" s="376"/>
      <c r="N281" s="1032">
        <f t="shared" si="50"/>
        <v>0</v>
      </c>
      <c r="P281" s="573"/>
      <c r="Q281" s="573"/>
      <c r="R281" s="1"/>
      <c r="S281" s="573"/>
      <c r="T281" s="573"/>
      <c r="V281" s="573"/>
      <c r="W281" s="573"/>
      <c r="Y281" s="475">
        <f t="shared" si="44"/>
        <v>0</v>
      </c>
      <c r="Z281" s="573">
        <f t="shared" si="47"/>
        <v>0</v>
      </c>
      <c r="AA281" s="573">
        <f t="shared" si="45"/>
        <v>0</v>
      </c>
      <c r="AB281" s="573">
        <f t="shared" si="48"/>
        <v>0</v>
      </c>
      <c r="AC281" s="573">
        <f t="shared" si="46"/>
        <v>0</v>
      </c>
      <c r="AD281" s="457">
        <f t="shared" si="49"/>
        <v>0</v>
      </c>
      <c r="AF281" s="472">
        <v>540</v>
      </c>
      <c r="AG281" s="475">
        <f t="shared" si="40"/>
        <v>0</v>
      </c>
      <c r="AH281" s="573">
        <f t="shared" si="41"/>
        <v>0</v>
      </c>
      <c r="AI281" s="457">
        <f t="shared" si="42"/>
        <v>0</v>
      </c>
      <c r="AJ281" s="469">
        <f t="shared" si="43"/>
        <v>0</v>
      </c>
    </row>
    <row r="282" spans="2:36" ht="15" customHeight="1">
      <c r="B282" s="1037">
        <f>SUBTOTAL(3,$I$225:I282)</f>
        <v>58</v>
      </c>
      <c r="C282" s="1037">
        <f t="shared" si="37"/>
        <v>0</v>
      </c>
      <c r="D282" s="1013" t="str">
        <f t="shared" si="35"/>
        <v xml:space="preserve"> </v>
      </c>
      <c r="E282" s="1013" t="str">
        <f t="shared" si="36"/>
        <v xml:space="preserve"> </v>
      </c>
      <c r="F282" s="1250" t="str">
        <f t="shared" si="38"/>
        <v>не требуется</v>
      </c>
      <c r="G282" s="1250"/>
      <c r="H282" s="1250"/>
      <c r="I282" s="1013">
        <f t="shared" si="39"/>
        <v>0</v>
      </c>
      <c r="J282" s="376"/>
      <c r="K282" s="376"/>
      <c r="L282" s="376"/>
      <c r="N282" s="1032">
        <f t="shared" si="50"/>
        <v>0</v>
      </c>
      <c r="P282" s="573"/>
      <c r="Q282" s="573"/>
      <c r="R282" s="1"/>
      <c r="S282" s="573"/>
      <c r="T282" s="573"/>
      <c r="V282" s="573"/>
      <c r="W282" s="573"/>
      <c r="Y282" s="475">
        <f t="shared" si="44"/>
        <v>0</v>
      </c>
      <c r="Z282" s="573">
        <f t="shared" si="47"/>
        <v>0</v>
      </c>
      <c r="AA282" s="573">
        <f t="shared" si="45"/>
        <v>0</v>
      </c>
      <c r="AB282" s="573">
        <f t="shared" si="48"/>
        <v>0</v>
      </c>
      <c r="AC282" s="573">
        <f t="shared" si="46"/>
        <v>0</v>
      </c>
      <c r="AD282" s="457">
        <f t="shared" si="49"/>
        <v>0</v>
      </c>
      <c r="AF282" s="472">
        <v>550</v>
      </c>
      <c r="AG282" s="475">
        <f t="shared" si="40"/>
        <v>0</v>
      </c>
      <c r="AH282" s="573">
        <f t="shared" si="41"/>
        <v>0</v>
      </c>
      <c r="AI282" s="457">
        <f t="shared" si="42"/>
        <v>0</v>
      </c>
      <c r="AJ282" s="469">
        <f t="shared" si="43"/>
        <v>0</v>
      </c>
    </row>
    <row r="283" spans="2:36" ht="15" customHeight="1">
      <c r="B283" s="1037">
        <f>SUBTOTAL(3,$I$225:I283)</f>
        <v>59</v>
      </c>
      <c r="C283" s="1037">
        <f t="shared" si="37"/>
        <v>0</v>
      </c>
      <c r="D283" s="1013" t="str">
        <f t="shared" si="35"/>
        <v xml:space="preserve"> </v>
      </c>
      <c r="E283" s="1013" t="str">
        <f t="shared" si="36"/>
        <v xml:space="preserve"> </v>
      </c>
      <c r="F283" s="1250" t="str">
        <f t="shared" si="38"/>
        <v>не требуется</v>
      </c>
      <c r="G283" s="1250"/>
      <c r="H283" s="1250"/>
      <c r="I283" s="1013">
        <f t="shared" si="39"/>
        <v>0</v>
      </c>
      <c r="J283" s="376"/>
      <c r="K283" s="376"/>
      <c r="L283" s="376"/>
      <c r="N283" s="1032">
        <f t="shared" si="50"/>
        <v>0</v>
      </c>
      <c r="P283" s="573"/>
      <c r="Q283" s="573"/>
      <c r="R283" s="1"/>
      <c r="S283" s="573"/>
      <c r="T283" s="573"/>
      <c r="V283" s="573"/>
      <c r="W283" s="573"/>
      <c r="Y283" s="475">
        <f t="shared" si="44"/>
        <v>0</v>
      </c>
      <c r="Z283" s="573">
        <f t="shared" si="47"/>
        <v>0</v>
      </c>
      <c r="AA283" s="573">
        <f t="shared" si="45"/>
        <v>0</v>
      </c>
      <c r="AB283" s="573">
        <f t="shared" si="48"/>
        <v>0</v>
      </c>
      <c r="AC283" s="573">
        <f t="shared" si="46"/>
        <v>0</v>
      </c>
      <c r="AD283" s="457">
        <f t="shared" si="49"/>
        <v>0</v>
      </c>
      <c r="AF283" s="472">
        <v>560</v>
      </c>
      <c r="AG283" s="475">
        <f t="shared" si="40"/>
        <v>0</v>
      </c>
      <c r="AH283" s="573">
        <f t="shared" si="41"/>
        <v>0</v>
      </c>
      <c r="AI283" s="457">
        <f t="shared" si="42"/>
        <v>0</v>
      </c>
      <c r="AJ283" s="469">
        <f t="shared" si="43"/>
        <v>0</v>
      </c>
    </row>
    <row r="284" spans="2:36" ht="15" customHeight="1">
      <c r="B284" s="1037">
        <f>SUBTOTAL(3,$I$225:I284)</f>
        <v>60</v>
      </c>
      <c r="C284" s="1037">
        <f t="shared" si="37"/>
        <v>0</v>
      </c>
      <c r="D284" s="1013" t="str">
        <f t="shared" si="35"/>
        <v xml:space="preserve"> </v>
      </c>
      <c r="E284" s="1013" t="str">
        <f t="shared" si="36"/>
        <v xml:space="preserve"> </v>
      </c>
      <c r="F284" s="1250" t="str">
        <f t="shared" si="38"/>
        <v>не требуется</v>
      </c>
      <c r="G284" s="1250"/>
      <c r="H284" s="1250"/>
      <c r="I284" s="1013">
        <f t="shared" si="39"/>
        <v>0</v>
      </c>
      <c r="J284" s="376"/>
      <c r="K284" s="376"/>
      <c r="L284" s="376"/>
      <c r="N284" s="1032">
        <f t="shared" si="50"/>
        <v>0</v>
      </c>
      <c r="P284" s="573"/>
      <c r="Q284" s="573"/>
      <c r="R284" s="1"/>
      <c r="S284" s="573"/>
      <c r="T284" s="573"/>
      <c r="V284" s="573"/>
      <c r="W284" s="573"/>
      <c r="Y284" s="475">
        <f t="shared" si="44"/>
        <v>0</v>
      </c>
      <c r="Z284" s="573">
        <f t="shared" si="47"/>
        <v>0</v>
      </c>
      <c r="AA284" s="573">
        <f t="shared" si="45"/>
        <v>0</v>
      </c>
      <c r="AB284" s="573">
        <f t="shared" si="48"/>
        <v>0</v>
      </c>
      <c r="AC284" s="573">
        <f t="shared" si="46"/>
        <v>0</v>
      </c>
      <c r="AD284" s="457">
        <f t="shared" si="49"/>
        <v>0</v>
      </c>
      <c r="AF284" s="472">
        <v>570</v>
      </c>
      <c r="AG284" s="475">
        <f t="shared" si="40"/>
        <v>0</v>
      </c>
      <c r="AH284" s="573">
        <f t="shared" si="41"/>
        <v>0</v>
      </c>
      <c r="AI284" s="457">
        <f t="shared" si="42"/>
        <v>0</v>
      </c>
      <c r="AJ284" s="469">
        <f t="shared" si="43"/>
        <v>0</v>
      </c>
    </row>
    <row r="285" spans="2:36" ht="15" customHeight="1">
      <c r="B285" s="1037">
        <f>SUBTOTAL(3,$I$225:I285)</f>
        <v>61</v>
      </c>
      <c r="C285" s="1037">
        <f t="shared" si="37"/>
        <v>0</v>
      </c>
      <c r="D285" s="1013" t="str">
        <f t="shared" si="35"/>
        <v xml:space="preserve"> </v>
      </c>
      <c r="E285" s="1013" t="str">
        <f t="shared" si="36"/>
        <v xml:space="preserve"> </v>
      </c>
      <c r="F285" s="1250" t="str">
        <f t="shared" si="38"/>
        <v>не требуется</v>
      </c>
      <c r="G285" s="1250"/>
      <c r="H285" s="1250"/>
      <c r="I285" s="1013">
        <f t="shared" si="39"/>
        <v>0</v>
      </c>
      <c r="J285" s="376"/>
      <c r="K285" s="376"/>
      <c r="L285" s="376"/>
      <c r="N285" s="1032">
        <f t="shared" si="50"/>
        <v>0</v>
      </c>
      <c r="P285" s="573"/>
      <c r="Q285" s="573"/>
      <c r="R285" s="1"/>
      <c r="S285" s="573"/>
      <c r="T285" s="573"/>
      <c r="V285" s="573"/>
      <c r="W285" s="573"/>
      <c r="Y285" s="475">
        <f t="shared" si="44"/>
        <v>0</v>
      </c>
      <c r="Z285" s="573">
        <f t="shared" si="47"/>
        <v>0</v>
      </c>
      <c r="AA285" s="573">
        <f t="shared" si="45"/>
        <v>0</v>
      </c>
      <c r="AB285" s="573">
        <f t="shared" si="48"/>
        <v>0</v>
      </c>
      <c r="AC285" s="573">
        <f t="shared" si="46"/>
        <v>0</v>
      </c>
      <c r="AD285" s="457">
        <f t="shared" si="49"/>
        <v>0</v>
      </c>
      <c r="AF285" s="472">
        <v>580</v>
      </c>
      <c r="AG285" s="475">
        <f t="shared" si="40"/>
        <v>0</v>
      </c>
      <c r="AH285" s="573">
        <f t="shared" si="41"/>
        <v>0</v>
      </c>
      <c r="AI285" s="457">
        <f t="shared" si="42"/>
        <v>0</v>
      </c>
      <c r="AJ285" s="469">
        <f t="shared" si="43"/>
        <v>0</v>
      </c>
    </row>
    <row r="286" spans="2:36" ht="15" customHeight="1">
      <c r="B286" s="1037">
        <f>SUBTOTAL(3,$I$225:I286)</f>
        <v>62</v>
      </c>
      <c r="C286" s="1037">
        <f t="shared" si="37"/>
        <v>0</v>
      </c>
      <c r="D286" s="1013" t="str">
        <f t="shared" si="35"/>
        <v xml:space="preserve"> </v>
      </c>
      <c r="E286" s="1013" t="str">
        <f t="shared" si="36"/>
        <v xml:space="preserve"> </v>
      </c>
      <c r="F286" s="1250" t="str">
        <f t="shared" si="38"/>
        <v>не требуется</v>
      </c>
      <c r="G286" s="1250"/>
      <c r="H286" s="1250"/>
      <c r="I286" s="1013">
        <f t="shared" si="39"/>
        <v>0</v>
      </c>
      <c r="J286" s="376"/>
      <c r="K286" s="376"/>
      <c r="L286" s="376"/>
      <c r="N286" s="1032">
        <f t="shared" si="50"/>
        <v>0</v>
      </c>
      <c r="P286" s="573"/>
      <c r="Q286" s="573"/>
      <c r="R286" s="1"/>
      <c r="S286" s="573"/>
      <c r="T286" s="573"/>
      <c r="V286" s="573"/>
      <c r="W286" s="573"/>
      <c r="Y286" s="205"/>
      <c r="Z286" s="1024">
        <f>SUM(Z233:Z285)</f>
        <v>0</v>
      </c>
      <c r="AA286" s="1024"/>
      <c r="AB286" s="1024">
        <f>SUM(AB233:AB285)</f>
        <v>0</v>
      </c>
      <c r="AC286" s="1024"/>
      <c r="AD286" s="206">
        <f>SUM(AD233:AD285)</f>
        <v>0</v>
      </c>
      <c r="AF286" s="472">
        <v>590</v>
      </c>
      <c r="AG286" s="475">
        <f t="shared" si="40"/>
        <v>0</v>
      </c>
      <c r="AH286" s="573">
        <f t="shared" si="41"/>
        <v>0</v>
      </c>
      <c r="AI286" s="457">
        <f t="shared" si="42"/>
        <v>0</v>
      </c>
      <c r="AJ286" s="469">
        <f t="shared" si="43"/>
        <v>0</v>
      </c>
    </row>
    <row r="287" spans="2:36" ht="15" customHeight="1" thickBot="1">
      <c r="B287" s="1037">
        <f>SUBTOTAL(3,$I$225:I287)</f>
        <v>63</v>
      </c>
      <c r="C287" s="1037">
        <f t="shared" si="37"/>
        <v>0</v>
      </c>
      <c r="D287" s="1013" t="str">
        <f t="shared" si="35"/>
        <v xml:space="preserve"> </v>
      </c>
      <c r="E287" s="1013" t="str">
        <f t="shared" si="36"/>
        <v xml:space="preserve"> </v>
      </c>
      <c r="F287" s="1250" t="str">
        <f t="shared" si="38"/>
        <v>не требуется</v>
      </c>
      <c r="G287" s="1250"/>
      <c r="H287" s="1250"/>
      <c r="I287" s="1013">
        <f t="shared" si="39"/>
        <v>0</v>
      </c>
      <c r="J287" s="376"/>
      <c r="K287" s="376"/>
      <c r="L287" s="376"/>
      <c r="N287" s="1032">
        <f t="shared" si="50"/>
        <v>0</v>
      </c>
      <c r="P287" s="573"/>
      <c r="Q287" s="573"/>
      <c r="R287" s="1"/>
      <c r="S287" s="573"/>
      <c r="T287" s="573"/>
      <c r="V287" s="573"/>
      <c r="W287" s="573"/>
      <c r="Y287" s="273"/>
      <c r="Z287" s="274"/>
      <c r="AA287" s="274"/>
      <c r="AB287" s="274"/>
      <c r="AC287" s="274"/>
      <c r="AD287" s="207">
        <f>SUM(Z286:AD286)</f>
        <v>0</v>
      </c>
      <c r="AF287" s="472">
        <v>600</v>
      </c>
      <c r="AG287" s="475">
        <f t="shared" si="40"/>
        <v>0</v>
      </c>
      <c r="AH287" s="573">
        <f t="shared" si="41"/>
        <v>0</v>
      </c>
      <c r="AI287" s="457">
        <f t="shared" si="42"/>
        <v>0</v>
      </c>
      <c r="AJ287" s="469">
        <f t="shared" si="43"/>
        <v>0</v>
      </c>
    </row>
    <row r="288" spans="2:36" ht="15" customHeight="1">
      <c r="B288" s="1037">
        <f>SUBTOTAL(3,$I$225:I288)</f>
        <v>64</v>
      </c>
      <c r="C288" s="1037">
        <f t="shared" si="37"/>
        <v>0</v>
      </c>
      <c r="D288" s="1013" t="str">
        <f t="shared" si="35"/>
        <v xml:space="preserve"> </v>
      </c>
      <c r="E288" s="1013" t="str">
        <f t="shared" si="36"/>
        <v xml:space="preserve"> </v>
      </c>
      <c r="F288" s="1250" t="str">
        <f t="shared" si="38"/>
        <v>не требуется</v>
      </c>
      <c r="G288" s="1250"/>
      <c r="H288" s="1250"/>
      <c r="I288" s="1013">
        <f t="shared" si="39"/>
        <v>0</v>
      </c>
      <c r="J288" s="376"/>
      <c r="K288" s="376"/>
      <c r="L288" s="376"/>
      <c r="N288" s="1032">
        <f t="shared" si="50"/>
        <v>0</v>
      </c>
      <c r="P288" s="573"/>
      <c r="Q288" s="573"/>
      <c r="R288" s="1"/>
      <c r="S288" s="573"/>
      <c r="T288" s="573"/>
      <c r="V288" s="573"/>
      <c r="W288" s="573"/>
      <c r="AF288" s="472">
        <v>610</v>
      </c>
      <c r="AG288" s="475">
        <f t="shared" si="40"/>
        <v>0</v>
      </c>
      <c r="AH288" s="573">
        <f t="shared" si="41"/>
        <v>0</v>
      </c>
      <c r="AI288" s="457">
        <f t="shared" si="42"/>
        <v>0</v>
      </c>
      <c r="AJ288" s="469">
        <f t="shared" si="43"/>
        <v>0</v>
      </c>
    </row>
    <row r="289" spans="1:60" ht="15" customHeight="1">
      <c r="B289" s="1037">
        <f>SUBTOTAL(3,$I$225:I289)</f>
        <v>65</v>
      </c>
      <c r="C289" s="1037">
        <f t="shared" si="37"/>
        <v>0</v>
      </c>
      <c r="D289" s="1013" t="str">
        <f t="shared" ref="D289:D295" si="51">IFERROR(IF(AND($R$4=$Y$7,OR($V$4=$AA$10,$V$4=$AA$11)),INDEX($AH$303:$AI$370,MATCH(C289,$AG$303:$AG$370,0),1),IF(AND($R$4=$Y$8,OR($V$4=$AA$10,$V$4=$AA$11)),INDEX($AK$303:$AL$372,MATCH(C289,$AJ$303:$AJ$372,0),1),IF(OR($V$4&lt;&gt;$AA$10,$V$4&lt;&gt;$AA$11)," "))),"НЕТ ДАННЫХ")</f>
        <v xml:space="preserve"> </v>
      </c>
      <c r="E289" s="1013" t="str">
        <f t="shared" ref="E289:E295" si="52">IFERROR(IF(AND($R$4=$Y$7,OR($V$4=$AA$10,$V$4=$AA$11)),INDEX($AH$303:$AI$370,MATCH(C289,$AG$303:$AG$370,0),2),IF(AND($R$4=$Y$8,OR($V$4=$AA$10,$V$4=$AA$11)),INDEX($AK$303:$AL$372,MATCH(C289,$AJ$303:$AJ$372,0),2),IF(OR($V$4&lt;&gt;$AA$10,$V$4&lt;&gt;$AA$11)," "))),"НЕТ ДАННЫХ")</f>
        <v xml:space="preserve"> </v>
      </c>
      <c r="F289" s="1250" t="str">
        <f t="shared" si="38"/>
        <v>не требуется</v>
      </c>
      <c r="G289" s="1250"/>
      <c r="H289" s="1250"/>
      <c r="I289" s="1013">
        <f t="shared" si="39"/>
        <v>0</v>
      </c>
      <c r="J289" s="376"/>
      <c r="K289" s="376"/>
      <c r="L289" s="376"/>
      <c r="N289" s="1032">
        <f t="shared" si="50"/>
        <v>0</v>
      </c>
      <c r="P289" s="573"/>
      <c r="Q289" s="573"/>
      <c r="R289" s="1"/>
      <c r="S289" s="573"/>
      <c r="T289" s="573"/>
      <c r="V289" s="573"/>
      <c r="W289" s="573"/>
      <c r="AF289" s="472">
        <v>620</v>
      </c>
      <c r="AG289" s="475">
        <f t="shared" si="40"/>
        <v>0</v>
      </c>
      <c r="AH289" s="573">
        <f t="shared" si="41"/>
        <v>0</v>
      </c>
      <c r="AI289" s="457">
        <f t="shared" si="42"/>
        <v>0</v>
      </c>
      <c r="AJ289" s="469">
        <f t="shared" si="43"/>
        <v>0</v>
      </c>
    </row>
    <row r="290" spans="1:60" ht="15" customHeight="1">
      <c r="B290" s="1037">
        <f>SUBTOTAL(3,$I$225:I290)</f>
        <v>66</v>
      </c>
      <c r="C290" s="1037">
        <f t="shared" ref="C290:C295" si="53">IF(OR($V$4=$AA$10,$V$4=$AA$11),AF292+_xlfn.CEILING.MATH($Y$222,10),0)</f>
        <v>0</v>
      </c>
      <c r="D290" s="1013" t="str">
        <f t="shared" si="51"/>
        <v xml:space="preserve"> </v>
      </c>
      <c r="E290" s="1013" t="str">
        <f t="shared" si="52"/>
        <v xml:space="preserve"> </v>
      </c>
      <c r="F290" s="1250" t="str">
        <f t="shared" si="38"/>
        <v>не требуется</v>
      </c>
      <c r="G290" s="1250"/>
      <c r="H290" s="1250"/>
      <c r="I290" s="1013">
        <f t="shared" si="39"/>
        <v>0</v>
      </c>
      <c r="J290" s="376"/>
      <c r="K290" s="376"/>
      <c r="L290" s="376"/>
      <c r="N290" s="1032">
        <f t="shared" si="50"/>
        <v>0</v>
      </c>
      <c r="P290" s="573"/>
      <c r="Q290" s="573"/>
      <c r="R290" s="1"/>
      <c r="S290" s="573"/>
      <c r="T290" s="573"/>
      <c r="V290" s="573"/>
      <c r="W290" s="573"/>
      <c r="AF290" s="472">
        <v>630</v>
      </c>
      <c r="AG290" s="475">
        <f t="shared" si="40"/>
        <v>0</v>
      </c>
      <c r="AH290" s="573">
        <f t="shared" si="41"/>
        <v>0</v>
      </c>
      <c r="AI290" s="457">
        <f t="shared" si="42"/>
        <v>0</v>
      </c>
      <c r="AJ290" s="469">
        <f t="shared" si="43"/>
        <v>0</v>
      </c>
    </row>
    <row r="291" spans="1:60" ht="15" customHeight="1">
      <c r="B291" s="1037">
        <f>SUBTOTAL(3,$I$225:I291)</f>
        <v>67</v>
      </c>
      <c r="C291" s="1037">
        <f t="shared" si="53"/>
        <v>0</v>
      </c>
      <c r="D291" s="1013" t="str">
        <f t="shared" si="51"/>
        <v xml:space="preserve"> </v>
      </c>
      <c r="E291" s="1013" t="str">
        <f t="shared" si="52"/>
        <v xml:space="preserve"> </v>
      </c>
      <c r="F291" s="1250" t="str">
        <f t="shared" ref="F291:F295" si="54">IF(AND(OR($V$4=$Y$12,$V$4=$AA$8,$V$4=$AA$9,$V$4=$AA$10,$V$4=$AA$11),OR($R$4=$Y$7,$R$4=$Y$9)),"8х45",IF(AND($V$4=$AA$7,C291&gt;300),"8х45",IF(AND($V$4=$AA$7,$AA$2=$AA$6),"8х45","не требуется")))</f>
        <v>не требуется</v>
      </c>
      <c r="G291" s="1250"/>
      <c r="H291" s="1250"/>
      <c r="I291" s="1013">
        <f>IF(AJ293&gt;0,AJ293,0)</f>
        <v>0</v>
      </c>
      <c r="J291" s="376"/>
      <c r="K291" s="376"/>
      <c r="L291" s="376"/>
      <c r="N291" s="1032">
        <f t="shared" si="50"/>
        <v>0</v>
      </c>
      <c r="P291" s="573"/>
      <c r="Q291" s="573"/>
      <c r="R291" s="1"/>
      <c r="S291" s="573"/>
      <c r="T291" s="573"/>
      <c r="V291" s="573"/>
      <c r="W291" s="573"/>
      <c r="AF291" s="472">
        <v>640</v>
      </c>
      <c r="AG291" s="475">
        <f t="shared" si="40"/>
        <v>0</v>
      </c>
      <c r="AH291" s="573">
        <f t="shared" si="41"/>
        <v>0</v>
      </c>
      <c r="AI291" s="457">
        <f t="shared" si="42"/>
        <v>0</v>
      </c>
      <c r="AJ291" s="469">
        <f t="shared" si="43"/>
        <v>0</v>
      </c>
    </row>
    <row r="292" spans="1:60" ht="15" customHeight="1">
      <c r="B292" s="1037">
        <f>SUBTOTAL(3,$I$225:I292)</f>
        <v>68</v>
      </c>
      <c r="C292" s="1037">
        <f t="shared" si="53"/>
        <v>0</v>
      </c>
      <c r="D292" s="1013" t="str">
        <f t="shared" si="51"/>
        <v xml:space="preserve"> </v>
      </c>
      <c r="E292" s="1013" t="str">
        <f t="shared" si="52"/>
        <v xml:space="preserve"> </v>
      </c>
      <c r="F292" s="1250" t="str">
        <f t="shared" si="54"/>
        <v>не требуется</v>
      </c>
      <c r="G292" s="1250"/>
      <c r="H292" s="1250"/>
      <c r="I292" s="1013">
        <f>IF(AJ294&gt;0,AJ294,0)</f>
        <v>0</v>
      </c>
      <c r="J292" s="376"/>
      <c r="K292" s="376"/>
      <c r="L292" s="376"/>
      <c r="N292" s="1032">
        <f t="shared" si="50"/>
        <v>0</v>
      </c>
      <c r="P292" s="573"/>
      <c r="Q292" s="573"/>
      <c r="R292" s="1"/>
      <c r="S292" s="573"/>
      <c r="T292" s="573"/>
      <c r="V292" s="573"/>
      <c r="W292" s="573"/>
      <c r="AF292" s="472">
        <v>650</v>
      </c>
      <c r="AG292" s="475">
        <f t="shared" ref="AG292:AG297" si="55">SUMIF($Y$233:$Y$285,AF292,$Z$233:$Z$285)</f>
        <v>0</v>
      </c>
      <c r="AH292" s="573">
        <f t="shared" ref="AH292:AH297" si="56">SUMIF($AA$233:$AA$285,AF292,$AB$233:$AB$285)</f>
        <v>0</v>
      </c>
      <c r="AI292" s="457">
        <f t="shared" ref="AI292:AI297" si="57">SUMIF($AC$233:$AC$285,AF292,$AD$233:$AD$285)</f>
        <v>0</v>
      </c>
      <c r="AJ292" s="469">
        <f t="shared" ref="AJ292:AJ297" si="58">AI292+AH292+AG292</f>
        <v>0</v>
      </c>
    </row>
    <row r="293" spans="1:60" ht="15" customHeight="1">
      <c r="B293" s="1037">
        <f>SUBTOTAL(3,$I$225:I293)</f>
        <v>69</v>
      </c>
      <c r="C293" s="1037">
        <f t="shared" si="53"/>
        <v>0</v>
      </c>
      <c r="D293" s="1013" t="str">
        <f t="shared" si="51"/>
        <v xml:space="preserve"> </v>
      </c>
      <c r="E293" s="1013" t="str">
        <f t="shared" si="52"/>
        <v xml:space="preserve"> </v>
      </c>
      <c r="F293" s="1250" t="str">
        <f t="shared" si="54"/>
        <v>не требуется</v>
      </c>
      <c r="G293" s="1250"/>
      <c r="H293" s="1250"/>
      <c r="I293" s="1013">
        <f>IF(AJ295&gt;0,AJ295,0)</f>
        <v>0</v>
      </c>
      <c r="J293" s="376"/>
      <c r="K293" s="376"/>
      <c r="L293" s="376"/>
      <c r="N293" s="1032">
        <f t="shared" si="50"/>
        <v>0</v>
      </c>
      <c r="P293" s="573"/>
      <c r="Q293" s="573"/>
      <c r="R293" s="1"/>
      <c r="S293" s="573"/>
      <c r="T293" s="573"/>
      <c r="V293" s="573"/>
      <c r="W293" s="573"/>
      <c r="AF293" s="472">
        <v>660</v>
      </c>
      <c r="AG293" s="475">
        <f t="shared" si="55"/>
        <v>0</v>
      </c>
      <c r="AH293" s="573">
        <f t="shared" si="56"/>
        <v>0</v>
      </c>
      <c r="AI293" s="457">
        <f t="shared" si="57"/>
        <v>0</v>
      </c>
      <c r="AJ293" s="469">
        <f t="shared" si="58"/>
        <v>0</v>
      </c>
    </row>
    <row r="294" spans="1:60" ht="15" customHeight="1">
      <c r="B294" s="1037">
        <f>SUBTOTAL(3,$I$225:I294)</f>
        <v>70</v>
      </c>
      <c r="C294" s="1037">
        <f t="shared" si="53"/>
        <v>0</v>
      </c>
      <c r="D294" s="1013" t="str">
        <f t="shared" si="51"/>
        <v xml:space="preserve"> </v>
      </c>
      <c r="E294" s="1013" t="str">
        <f t="shared" si="52"/>
        <v xml:space="preserve"> </v>
      </c>
      <c r="F294" s="1250" t="str">
        <f t="shared" si="54"/>
        <v>не требуется</v>
      </c>
      <c r="G294" s="1250"/>
      <c r="H294" s="1250"/>
      <c r="I294" s="1013">
        <f>IF(AJ296&gt;0,AJ296,0)</f>
        <v>0</v>
      </c>
      <c r="J294" s="376"/>
      <c r="K294" s="376"/>
      <c r="L294" s="376"/>
      <c r="N294" s="1032">
        <f t="shared" si="50"/>
        <v>0</v>
      </c>
      <c r="P294" s="573"/>
      <c r="Q294" s="573"/>
      <c r="R294" s="1"/>
      <c r="S294" s="573"/>
      <c r="T294" s="573"/>
      <c r="V294" s="573"/>
      <c r="W294" s="573"/>
      <c r="AF294" s="472">
        <v>670</v>
      </c>
      <c r="AG294" s="475">
        <f t="shared" si="55"/>
        <v>0</v>
      </c>
      <c r="AH294" s="573">
        <f t="shared" si="56"/>
        <v>0</v>
      </c>
      <c r="AI294" s="457">
        <f t="shared" si="57"/>
        <v>0</v>
      </c>
      <c r="AJ294" s="469">
        <f t="shared" si="58"/>
        <v>0</v>
      </c>
    </row>
    <row r="295" spans="1:60" ht="15" customHeight="1">
      <c r="B295" s="1037">
        <f>SUBTOTAL(3,$I$225:I295)</f>
        <v>71</v>
      </c>
      <c r="C295" s="1037">
        <f t="shared" si="53"/>
        <v>0</v>
      </c>
      <c r="D295" s="1013" t="str">
        <f t="shared" si="51"/>
        <v xml:space="preserve"> </v>
      </c>
      <c r="E295" s="1013" t="str">
        <f t="shared" si="52"/>
        <v xml:space="preserve"> </v>
      </c>
      <c r="F295" s="1250" t="str">
        <f t="shared" si="54"/>
        <v>не требуется</v>
      </c>
      <c r="G295" s="1250"/>
      <c r="H295" s="1250"/>
      <c r="I295" s="1013">
        <f>IF(AJ297&gt;0,AJ297,0)</f>
        <v>0</v>
      </c>
      <c r="J295" s="376"/>
      <c r="K295" s="376"/>
      <c r="L295" s="376"/>
      <c r="N295" s="1032">
        <f t="shared" si="50"/>
        <v>0</v>
      </c>
      <c r="P295" s="1"/>
      <c r="Q295" s="1"/>
      <c r="R295" s="1"/>
      <c r="S295" s="1"/>
      <c r="T295" s="1"/>
      <c r="U295" s="1"/>
      <c r="V295" s="1"/>
      <c r="W295" s="1"/>
      <c r="AF295" s="472">
        <v>680</v>
      </c>
      <c r="AG295" s="475">
        <f t="shared" si="55"/>
        <v>0</v>
      </c>
      <c r="AH295" s="573">
        <f t="shared" si="56"/>
        <v>0</v>
      </c>
      <c r="AI295" s="457">
        <f t="shared" si="57"/>
        <v>0</v>
      </c>
      <c r="AJ295" s="469">
        <f t="shared" si="58"/>
        <v>0</v>
      </c>
    </row>
    <row r="296" spans="1:60" ht="15" customHeight="1">
      <c r="B296" s="1"/>
      <c r="C296" s="1"/>
      <c r="D296" s="1"/>
      <c r="E296" s="1"/>
      <c r="F296" s="1"/>
      <c r="G296" s="1"/>
      <c r="H296" s="1"/>
      <c r="I296" s="1"/>
      <c r="J296" s="376"/>
      <c r="K296" s="376"/>
      <c r="L296" s="376"/>
      <c r="N296" s="1032">
        <v>0</v>
      </c>
      <c r="P296" s="1"/>
      <c r="Q296" s="1"/>
      <c r="R296" s="1"/>
      <c r="S296" s="1"/>
      <c r="T296" s="1"/>
      <c r="U296" s="1"/>
      <c r="V296" s="1"/>
      <c r="W296" s="1"/>
      <c r="AF296" s="472">
        <v>690</v>
      </c>
      <c r="AG296" s="475">
        <f t="shared" si="55"/>
        <v>0</v>
      </c>
      <c r="AH296" s="573">
        <f t="shared" si="56"/>
        <v>0</v>
      </c>
      <c r="AI296" s="457">
        <f t="shared" si="57"/>
        <v>0</v>
      </c>
      <c r="AJ296" s="469">
        <f t="shared" si="58"/>
        <v>0</v>
      </c>
    </row>
    <row r="297" spans="1:60" ht="15" customHeight="1" thickBot="1">
      <c r="B297" s="1"/>
      <c r="C297" s="1"/>
      <c r="D297" s="1"/>
      <c r="E297" s="1"/>
      <c r="F297" s="1"/>
      <c r="G297" s="1"/>
      <c r="H297" s="1"/>
      <c r="I297" s="1"/>
      <c r="J297" s="376"/>
      <c r="K297" s="376"/>
      <c r="L297" s="376"/>
      <c r="N297" s="1032">
        <v>0</v>
      </c>
      <c r="P297" s="1"/>
      <c r="Q297" s="1"/>
      <c r="R297" s="1"/>
      <c r="S297" s="1"/>
      <c r="T297" s="1"/>
      <c r="U297" s="1"/>
      <c r="V297" s="1"/>
      <c r="W297" s="1"/>
      <c r="AF297" s="473">
        <v>700</v>
      </c>
      <c r="AG297" s="476">
        <f t="shared" si="55"/>
        <v>0</v>
      </c>
      <c r="AH297" s="459">
        <f t="shared" si="56"/>
        <v>0</v>
      </c>
      <c r="AI297" s="460">
        <f t="shared" si="57"/>
        <v>0</v>
      </c>
      <c r="AJ297" s="470">
        <f t="shared" si="58"/>
        <v>0</v>
      </c>
    </row>
    <row r="298" spans="1:60" ht="15" customHeight="1" thickBot="1">
      <c r="B298" s="1"/>
      <c r="C298" s="1"/>
      <c r="D298" s="1"/>
      <c r="E298" s="1"/>
      <c r="F298" s="1"/>
      <c r="G298" s="1"/>
      <c r="H298" s="1"/>
      <c r="I298" s="1"/>
      <c r="J298" s="376"/>
      <c r="K298" s="376"/>
      <c r="L298" s="376"/>
      <c r="N298" s="1032">
        <v>0</v>
      </c>
      <c r="P298" s="1"/>
      <c r="Q298" s="1"/>
      <c r="R298" s="1"/>
      <c r="S298" s="1"/>
      <c r="T298" s="1"/>
      <c r="U298" s="1"/>
      <c r="V298" s="1"/>
      <c r="W298" s="1"/>
      <c r="AJ298" s="208">
        <f>SUM(AJ227:AJ297)</f>
        <v>0</v>
      </c>
    </row>
    <row r="299" spans="1:60" ht="15" customHeight="1">
      <c r="B299" s="1024"/>
      <c r="C299" s="1024"/>
      <c r="D299" s="1035"/>
      <c r="E299" s="1035"/>
      <c r="F299" s="449"/>
      <c r="G299" s="449"/>
      <c r="H299" s="449"/>
      <c r="I299" s="1035"/>
      <c r="J299" s="376"/>
      <c r="K299" s="376"/>
      <c r="L299" s="376"/>
      <c r="N299" s="1032">
        <f>IF($V$3=$Y$2,0,1)</f>
        <v>0</v>
      </c>
      <c r="P299" s="1"/>
      <c r="Q299" s="1"/>
      <c r="R299" s="1"/>
      <c r="S299" s="1"/>
      <c r="T299" s="1"/>
      <c r="U299" s="1"/>
      <c r="V299" s="1"/>
      <c r="W299" s="1"/>
    </row>
    <row r="300" spans="1:60" ht="95.1" customHeight="1">
      <c r="A300" s="1051"/>
      <c r="B300" s="1051"/>
      <c r="C300" s="1051"/>
      <c r="D300" s="1051"/>
      <c r="E300" s="1051"/>
      <c r="F300" s="1051"/>
      <c r="G300" s="1051"/>
      <c r="H300" s="1051"/>
      <c r="I300" s="1051"/>
      <c r="J300" s="1051"/>
      <c r="K300" s="1051"/>
      <c r="L300" s="1051"/>
      <c r="N300" s="1032">
        <f t="shared" ref="N300:N308" si="59">IF($V$3=$Y$2,0,1)</f>
        <v>0</v>
      </c>
      <c r="P300" s="1"/>
      <c r="Q300" s="1"/>
      <c r="Y300" s="287"/>
      <c r="Z300" s="287"/>
      <c r="AA300" s="287"/>
      <c r="AB300" s="287"/>
      <c r="AC300" s="287"/>
      <c r="AD300" s="1251" t="s">
        <v>942</v>
      </c>
      <c r="AE300" s="1252"/>
      <c r="AF300" s="1252"/>
      <c r="AG300" s="1252"/>
      <c r="AH300" s="1252"/>
      <c r="AI300" s="1252"/>
      <c r="AJ300" s="1252"/>
      <c r="AK300" s="1252"/>
      <c r="AL300" s="1253"/>
      <c r="AN300" s="1235" t="s">
        <v>307</v>
      </c>
      <c r="AO300" s="1236"/>
      <c r="AP300" s="1236"/>
      <c r="AQ300" s="1236"/>
      <c r="AR300" s="1236"/>
      <c r="AS300" s="1237"/>
    </row>
    <row r="301" spans="1:60" ht="15" customHeight="1" thickBot="1">
      <c r="N301" s="1032">
        <f t="shared" si="59"/>
        <v>0</v>
      </c>
      <c r="P301" s="1"/>
      <c r="Q301" s="1"/>
      <c r="Y301" s="288"/>
      <c r="Z301" s="288"/>
      <c r="AA301" s="288"/>
      <c r="AB301" s="289"/>
      <c r="AC301" s="289"/>
      <c r="AD301" s="1238" t="s">
        <v>127</v>
      </c>
      <c r="AE301" s="1239"/>
      <c r="AF301" s="1240"/>
      <c r="AG301" s="1238" t="s">
        <v>127</v>
      </c>
      <c r="AH301" s="1239"/>
      <c r="AI301" s="1240"/>
      <c r="AJ301" s="1241" t="s">
        <v>136</v>
      </c>
      <c r="AK301" s="1242"/>
      <c r="AL301" s="1243"/>
      <c r="AN301" s="1244" t="s">
        <v>127</v>
      </c>
      <c r="AO301" s="1245"/>
      <c r="AP301" s="1246"/>
      <c r="AQ301" s="1247" t="s">
        <v>136</v>
      </c>
      <c r="AR301" s="1248"/>
      <c r="AS301" s="1249"/>
    </row>
    <row r="302" spans="1:60" ht="15" customHeight="1">
      <c r="B302" s="1220" t="s">
        <v>335</v>
      </c>
      <c r="C302" s="1221"/>
      <c r="D302" s="1221"/>
      <c r="E302" s="1221"/>
      <c r="F302" s="1221"/>
      <c r="G302" s="1226" t="str">
        <f>номер_объекта</f>
        <v>11-27ХХ-МПКПМКИ-12.21</v>
      </c>
      <c r="H302" s="1226"/>
      <c r="I302" s="1226"/>
      <c r="J302" s="1226"/>
      <c r="K302" s="1229" t="str">
        <f ca="1">K5</f>
        <v>ТИП7</v>
      </c>
      <c r="L302" s="1230"/>
      <c r="N302" s="1032">
        <f t="shared" si="59"/>
        <v>0</v>
      </c>
      <c r="P302" s="1"/>
      <c r="Q302" s="1"/>
      <c r="Y302" s="290"/>
      <c r="Z302" s="291"/>
      <c r="AA302" s="291"/>
      <c r="AB302" s="290"/>
      <c r="AC302" s="1034"/>
      <c r="AD302" s="393" t="s">
        <v>167</v>
      </c>
      <c r="AE302" s="394" t="s">
        <v>168</v>
      </c>
      <c r="AF302" s="394" t="s">
        <v>506</v>
      </c>
      <c r="AG302" s="128" t="s">
        <v>167</v>
      </c>
      <c r="AH302" s="129" t="s">
        <v>168</v>
      </c>
      <c r="AI302" s="129" t="s">
        <v>507</v>
      </c>
      <c r="AJ302" s="128" t="s">
        <v>170</v>
      </c>
      <c r="AK302" s="130" t="s">
        <v>168</v>
      </c>
      <c r="AL302" s="130" t="s">
        <v>169</v>
      </c>
      <c r="AN302" s="128" t="s">
        <v>167</v>
      </c>
      <c r="AO302" s="129" t="s">
        <v>168</v>
      </c>
      <c r="AP302" s="129" t="s">
        <v>169</v>
      </c>
      <c r="AQ302" s="128" t="s">
        <v>170</v>
      </c>
      <c r="AR302" s="130" t="s">
        <v>168</v>
      </c>
      <c r="AS302" s="130" t="s">
        <v>169</v>
      </c>
    </row>
    <row r="303" spans="1:60" ht="15" customHeight="1">
      <c r="B303" s="1222"/>
      <c r="C303" s="1223"/>
      <c r="D303" s="1223"/>
      <c r="E303" s="1223"/>
      <c r="F303" s="1223"/>
      <c r="G303" s="1227"/>
      <c r="H303" s="1227"/>
      <c r="I303" s="1227"/>
      <c r="J303" s="1227"/>
      <c r="K303" s="1231"/>
      <c r="L303" s="1232"/>
      <c r="N303" s="1032">
        <f t="shared" si="59"/>
        <v>0</v>
      </c>
      <c r="P303" s="1"/>
      <c r="Q303" s="1"/>
      <c r="Y303" s="1033"/>
      <c r="Z303" s="1033"/>
      <c r="AA303" s="1033"/>
      <c r="AB303" s="1034"/>
      <c r="AC303" s="1034"/>
      <c r="AD303" s="282">
        <v>0</v>
      </c>
      <c r="AE303" s="283" t="s">
        <v>155</v>
      </c>
      <c r="AF303" s="283">
        <v>80</v>
      </c>
      <c r="AG303" s="132">
        <v>0</v>
      </c>
      <c r="AH303" s="283" t="s">
        <v>155</v>
      </c>
      <c r="AI303" s="283">
        <v>50</v>
      </c>
      <c r="AJ303" s="131">
        <v>0</v>
      </c>
      <c r="AK303" s="283" t="s">
        <v>155</v>
      </c>
      <c r="AL303" s="283">
        <v>70</v>
      </c>
      <c r="AN303" s="214">
        <v>0</v>
      </c>
      <c r="AO303" s="1194" t="s">
        <v>308</v>
      </c>
      <c r="AP303" s="1194" t="s">
        <v>308</v>
      </c>
      <c r="AQ303" s="214">
        <v>0</v>
      </c>
      <c r="AR303" s="1194" t="s">
        <v>308</v>
      </c>
      <c r="AS303" s="1194" t="s">
        <v>308</v>
      </c>
      <c r="BC303" s="1"/>
      <c r="BD303" s="1"/>
      <c r="BE303" s="1"/>
      <c r="BF303" s="1"/>
      <c r="BG303" s="1"/>
      <c r="BH303" s="1"/>
    </row>
    <row r="304" spans="1:60" ht="15" customHeight="1" thickBot="1">
      <c r="B304" s="1224"/>
      <c r="C304" s="1225"/>
      <c r="D304" s="1225"/>
      <c r="E304" s="1225"/>
      <c r="F304" s="1225"/>
      <c r="G304" s="1228"/>
      <c r="H304" s="1228"/>
      <c r="I304" s="1228"/>
      <c r="J304" s="1228"/>
      <c r="K304" s="1233"/>
      <c r="L304" s="1234"/>
      <c r="N304" s="1032">
        <f t="shared" si="59"/>
        <v>0</v>
      </c>
      <c r="Y304" s="1033"/>
      <c r="Z304" s="1033"/>
      <c r="AA304" s="1033"/>
      <c r="AB304" s="1034"/>
      <c r="AC304" s="1034"/>
      <c r="AD304" s="282">
        <v>10</v>
      </c>
      <c r="AE304" s="283" t="s">
        <v>155</v>
      </c>
      <c r="AF304" s="283">
        <v>80</v>
      </c>
      <c r="AG304" s="132">
        <v>10</v>
      </c>
      <c r="AH304" s="283" t="s">
        <v>155</v>
      </c>
      <c r="AI304" s="283">
        <v>60</v>
      </c>
      <c r="AJ304" s="131">
        <v>10</v>
      </c>
      <c r="AK304" s="283" t="s">
        <v>155</v>
      </c>
      <c r="AL304" s="283">
        <v>70</v>
      </c>
      <c r="AN304" s="214">
        <v>10</v>
      </c>
      <c r="AO304" s="1195"/>
      <c r="AP304" s="1195"/>
      <c r="AQ304" s="214">
        <v>10</v>
      </c>
      <c r="AR304" s="1195"/>
      <c r="AS304" s="1195"/>
      <c r="BC304" s="1"/>
      <c r="BD304" s="1"/>
      <c r="BE304" s="1"/>
      <c r="BF304" s="1"/>
      <c r="BG304" s="1"/>
      <c r="BH304" s="1"/>
    </row>
    <row r="305" spans="1:60" ht="15" customHeight="1">
      <c r="B305" s="1202" t="s">
        <v>128</v>
      </c>
      <c r="C305" s="1204" t="s">
        <v>129</v>
      </c>
      <c r="D305" s="1205"/>
      <c r="E305" s="1205"/>
      <c r="F305" s="1205"/>
      <c r="G305" s="1206"/>
      <c r="H305" s="1202" t="s">
        <v>130</v>
      </c>
      <c r="I305" s="1214" t="s">
        <v>131</v>
      </c>
      <c r="J305" s="1217" t="s">
        <v>132</v>
      </c>
      <c r="K305" s="1214" t="s">
        <v>133</v>
      </c>
      <c r="L305" s="1217" t="s">
        <v>134</v>
      </c>
      <c r="N305" s="1032">
        <f t="shared" si="59"/>
        <v>0</v>
      </c>
      <c r="O305" s="106"/>
      <c r="Y305" s="1033"/>
      <c r="Z305" s="1033"/>
      <c r="AA305" s="1033"/>
      <c r="AB305" s="1034"/>
      <c r="AC305" s="1034"/>
      <c r="AD305" s="282">
        <v>20</v>
      </c>
      <c r="AE305" s="283" t="s">
        <v>155</v>
      </c>
      <c r="AF305" s="283">
        <v>80</v>
      </c>
      <c r="AG305" s="132">
        <v>20</v>
      </c>
      <c r="AH305" s="283" t="s">
        <v>155</v>
      </c>
      <c r="AI305" s="283">
        <v>70</v>
      </c>
      <c r="AJ305" s="131">
        <v>20</v>
      </c>
      <c r="AK305" s="283" t="s">
        <v>155</v>
      </c>
      <c r="AL305" s="283">
        <v>70</v>
      </c>
      <c r="AN305" s="214">
        <v>20</v>
      </c>
      <c r="AO305" s="1195"/>
      <c r="AP305" s="1196"/>
      <c r="AQ305" s="214">
        <v>20</v>
      </c>
      <c r="AR305" s="1195"/>
      <c r="AS305" s="1196"/>
      <c r="BC305" s="1"/>
      <c r="BD305" s="1"/>
      <c r="BE305" s="1"/>
      <c r="BF305" s="1"/>
      <c r="BG305" s="1"/>
      <c r="BH305" s="1"/>
    </row>
    <row r="306" spans="1:60" ht="15" customHeight="1">
      <c r="B306" s="1203"/>
      <c r="C306" s="1207"/>
      <c r="D306" s="1208"/>
      <c r="E306" s="1208"/>
      <c r="F306" s="1208"/>
      <c r="G306" s="1209"/>
      <c r="H306" s="1203"/>
      <c r="I306" s="1215"/>
      <c r="J306" s="1218"/>
      <c r="K306" s="1215"/>
      <c r="L306" s="1218"/>
      <c r="N306" s="1032">
        <f t="shared" si="59"/>
        <v>0</v>
      </c>
      <c r="Y306" s="1033"/>
      <c r="Z306" s="1033"/>
      <c r="AA306" s="1033"/>
      <c r="AB306" s="1034"/>
      <c r="AC306" s="1034"/>
      <c r="AD306" s="282">
        <v>30</v>
      </c>
      <c r="AE306" s="283" t="s">
        <v>155</v>
      </c>
      <c r="AF306" s="283">
        <v>80</v>
      </c>
      <c r="AG306" s="132">
        <v>30</v>
      </c>
      <c r="AH306" s="283" t="s">
        <v>155</v>
      </c>
      <c r="AI306" s="283">
        <v>80</v>
      </c>
      <c r="AJ306" s="131">
        <v>30</v>
      </c>
      <c r="AK306" s="283" t="s">
        <v>155</v>
      </c>
      <c r="AL306" s="283">
        <v>70</v>
      </c>
      <c r="AN306" s="214">
        <v>30</v>
      </c>
      <c r="AO306" s="1195"/>
      <c r="AP306" s="133">
        <v>80</v>
      </c>
      <c r="AQ306" s="214">
        <v>30</v>
      </c>
      <c r="AR306" s="1195"/>
      <c r="AS306" s="133">
        <v>60</v>
      </c>
      <c r="BC306" s="1"/>
      <c r="BD306" s="1"/>
      <c r="BE306" s="1"/>
      <c r="BF306" s="1"/>
      <c r="BG306" s="1"/>
      <c r="BH306" s="1"/>
    </row>
    <row r="307" spans="1:60" ht="15" customHeight="1" thickBot="1">
      <c r="B307" s="1203"/>
      <c r="C307" s="1210"/>
      <c r="D307" s="1211"/>
      <c r="E307" s="1211"/>
      <c r="F307" s="1211"/>
      <c r="G307" s="1212"/>
      <c r="H307" s="1213"/>
      <c r="I307" s="1216"/>
      <c r="J307" s="1219"/>
      <c r="K307" s="1216"/>
      <c r="L307" s="1219"/>
      <c r="N307" s="1032">
        <f t="shared" si="59"/>
        <v>0</v>
      </c>
      <c r="Y307" s="1033"/>
      <c r="Z307" s="1033"/>
      <c r="AA307" s="1033"/>
      <c r="AB307" s="1034"/>
      <c r="AC307" s="1034"/>
      <c r="AD307" s="282">
        <v>40</v>
      </c>
      <c r="AE307" s="283">
        <v>20</v>
      </c>
      <c r="AF307" s="283">
        <v>80</v>
      </c>
      <c r="AG307" s="132">
        <v>40</v>
      </c>
      <c r="AH307" s="903">
        <v>20</v>
      </c>
      <c r="AI307" s="903">
        <v>80</v>
      </c>
      <c r="AJ307" s="131">
        <v>40</v>
      </c>
      <c r="AK307" s="903">
        <v>20</v>
      </c>
      <c r="AL307" s="903">
        <v>60</v>
      </c>
      <c r="AN307" s="214">
        <v>40</v>
      </c>
      <c r="AO307" s="1195"/>
      <c r="AP307" s="133">
        <v>80</v>
      </c>
      <c r="AQ307" s="214">
        <v>40</v>
      </c>
      <c r="AR307" s="1195"/>
      <c r="AS307" s="133">
        <v>60</v>
      </c>
      <c r="BC307" s="1"/>
      <c r="BD307" s="1"/>
      <c r="BE307" s="1"/>
      <c r="BF307" s="1"/>
      <c r="BG307" s="1"/>
      <c r="BH307" s="1"/>
    </row>
    <row r="308" spans="1:60" ht="15" customHeight="1" thickBot="1">
      <c r="B308" s="1030">
        <v>1</v>
      </c>
      <c r="C308" s="1197">
        <v>2</v>
      </c>
      <c r="D308" s="1198"/>
      <c r="E308" s="1198"/>
      <c r="F308" s="1198"/>
      <c r="G308" s="1199"/>
      <c r="H308" s="606">
        <v>3</v>
      </c>
      <c r="I308" s="605">
        <v>4</v>
      </c>
      <c r="J308" s="605">
        <v>5</v>
      </c>
      <c r="K308" s="605">
        <v>6</v>
      </c>
      <c r="L308" s="678">
        <v>7</v>
      </c>
      <c r="N308" s="1032">
        <f t="shared" si="59"/>
        <v>0</v>
      </c>
      <c r="Y308" s="1033"/>
      <c r="Z308" s="1033"/>
      <c r="AA308" s="1033"/>
      <c r="AB308" s="1034"/>
      <c r="AC308" s="1034"/>
      <c r="AD308" s="282">
        <v>50</v>
      </c>
      <c r="AE308" s="283">
        <v>20</v>
      </c>
      <c r="AF308" s="283">
        <v>90</v>
      </c>
      <c r="AG308" s="132">
        <v>50</v>
      </c>
      <c r="AH308" s="903">
        <v>20</v>
      </c>
      <c r="AI308" s="903">
        <v>100</v>
      </c>
      <c r="AJ308" s="131">
        <v>50</v>
      </c>
      <c r="AK308" s="903">
        <v>20</v>
      </c>
      <c r="AL308" s="903">
        <v>70</v>
      </c>
      <c r="AN308" s="214">
        <v>50</v>
      </c>
      <c r="AO308" s="1195"/>
      <c r="AP308" s="133">
        <v>100</v>
      </c>
      <c r="AQ308" s="214">
        <v>50</v>
      </c>
      <c r="AR308" s="1195"/>
      <c r="AS308" s="133">
        <v>80</v>
      </c>
      <c r="BC308" s="1"/>
      <c r="BD308" s="1"/>
      <c r="BE308" s="1"/>
      <c r="BF308" s="1"/>
      <c r="BG308" s="1"/>
      <c r="BH308" s="1"/>
    </row>
    <row r="309" spans="1:60" ht="30" customHeight="1">
      <c r="A309" s="158"/>
      <c r="B309" s="796" t="s">
        <v>125</v>
      </c>
      <c r="C309" s="1200" t="str">
        <f>CONCATENATE($P$81,$AE$9,$T$81,$AF$9)</f>
        <v>. Общая длина примыкания-  м.</v>
      </c>
      <c r="D309" s="1200"/>
      <c r="E309" s="1200"/>
      <c r="F309" s="1200"/>
      <c r="G309" s="1200"/>
      <c r="H309" s="1200"/>
      <c r="I309" s="1200"/>
      <c r="J309" s="1200"/>
      <c r="K309" s="1201"/>
      <c r="L309" s="679">
        <f>SUM(L310:L323)</f>
        <v>0</v>
      </c>
      <c r="N309" s="1032">
        <f>IF(SUM(I310:I323)&gt;0,1,0)</f>
        <v>0</v>
      </c>
      <c r="Y309" s="1033"/>
      <c r="Z309" s="1033"/>
      <c r="AA309" s="1033"/>
      <c r="AB309" s="1034"/>
      <c r="AC309" s="1034"/>
      <c r="AD309" s="282">
        <v>60</v>
      </c>
      <c r="AE309" s="283">
        <v>20</v>
      </c>
      <c r="AF309" s="283">
        <v>110</v>
      </c>
      <c r="AG309" s="132">
        <v>60</v>
      </c>
      <c r="AH309" s="903">
        <v>20</v>
      </c>
      <c r="AI309" s="903">
        <v>100</v>
      </c>
      <c r="AJ309" s="131">
        <v>60</v>
      </c>
      <c r="AK309" s="903">
        <v>20</v>
      </c>
      <c r="AL309" s="903">
        <v>80</v>
      </c>
      <c r="AN309" s="214">
        <v>60</v>
      </c>
      <c r="AO309" s="1195"/>
      <c r="AP309" s="133">
        <v>100</v>
      </c>
      <c r="AQ309" s="214">
        <v>60</v>
      </c>
      <c r="AR309" s="1195"/>
      <c r="AS309" s="133">
        <v>80</v>
      </c>
      <c r="BC309" s="1"/>
      <c r="BD309" s="1"/>
      <c r="BE309" s="1"/>
      <c r="BF309" s="1"/>
      <c r="BG309" s="1"/>
      <c r="BH309" s="1"/>
    </row>
    <row r="310" spans="1:60" ht="15" customHeight="1">
      <c r="B310" s="1037">
        <f>SUBTOTAL(3,$I$310:I310)</f>
        <v>1</v>
      </c>
      <c r="C310" s="686" t="s">
        <v>207</v>
      </c>
      <c r="D310" s="632"/>
      <c r="E310" s="632"/>
      <c r="F310" s="632"/>
      <c r="G310" s="632" t="str">
        <f t="shared" ref="G310:G316" si="60">" "</f>
        <v xml:space="preserve"> </v>
      </c>
      <c r="H310" s="608">
        <v>5</v>
      </c>
      <c r="I310" s="611">
        <f>IFERROR($AA$81*H310*1.03,0)</f>
        <v>0</v>
      </c>
      <c r="J310" s="1013" t="s">
        <v>151</v>
      </c>
      <c r="K310" s="610"/>
      <c r="L310" s="610">
        <f>IFERROR(I310*K310,0)</f>
        <v>0</v>
      </c>
      <c r="N310" s="1032">
        <f t="shared" ref="N310:N323" si="61">IF(I310&gt;0,1,0)</f>
        <v>0</v>
      </c>
      <c r="Y310" s="1033"/>
      <c r="Z310" s="1033"/>
      <c r="AA310" s="1033"/>
      <c r="AB310" s="1034"/>
      <c r="AC310" s="1034"/>
      <c r="AD310" s="282">
        <v>70</v>
      </c>
      <c r="AE310" s="283">
        <v>20</v>
      </c>
      <c r="AF310" s="283">
        <v>110</v>
      </c>
      <c r="AG310" s="132">
        <v>70</v>
      </c>
      <c r="AH310" s="903">
        <v>50</v>
      </c>
      <c r="AI310" s="903">
        <v>80</v>
      </c>
      <c r="AJ310" s="131">
        <v>70</v>
      </c>
      <c r="AK310" s="903">
        <v>50</v>
      </c>
      <c r="AL310" s="903">
        <v>60</v>
      </c>
      <c r="AN310" s="214">
        <v>70</v>
      </c>
      <c r="AO310" s="1195"/>
      <c r="AP310" s="133">
        <v>120</v>
      </c>
      <c r="AQ310" s="214">
        <v>70</v>
      </c>
      <c r="AR310" s="1195"/>
      <c r="AS310" s="133">
        <v>100</v>
      </c>
      <c r="BC310" s="1"/>
      <c r="BD310" s="1"/>
      <c r="BE310" s="1"/>
      <c r="BF310" s="1"/>
      <c r="BG310" s="1"/>
      <c r="BH310" s="1"/>
    </row>
    <row r="311" spans="1:60" ht="15" customHeight="1">
      <c r="B311" s="685"/>
      <c r="C311" s="687"/>
      <c r="D311" s="627"/>
      <c r="E311" s="627"/>
      <c r="F311" s="627"/>
      <c r="G311" s="628"/>
      <c r="H311" s="608"/>
      <c r="I311" s="611"/>
      <c r="J311" s="1013"/>
      <c r="K311" s="610"/>
      <c r="L311" s="610">
        <f>IFERROR(I311*K311,0)</f>
        <v>0</v>
      </c>
      <c r="N311" s="1032">
        <f t="shared" si="61"/>
        <v>0</v>
      </c>
      <c r="Y311" s="1033"/>
      <c r="Z311" s="1033"/>
      <c r="AA311" s="1033"/>
      <c r="AB311" s="1034"/>
      <c r="AC311" s="1034"/>
      <c r="AD311" s="282">
        <v>80</v>
      </c>
      <c r="AE311" s="283">
        <v>50</v>
      </c>
      <c r="AF311" s="283">
        <v>90</v>
      </c>
      <c r="AG311" s="132">
        <v>80</v>
      </c>
      <c r="AH311" s="903">
        <v>50</v>
      </c>
      <c r="AI311" s="903">
        <v>100</v>
      </c>
      <c r="AJ311" s="131">
        <v>80</v>
      </c>
      <c r="AK311" s="903">
        <v>50</v>
      </c>
      <c r="AL311" s="903">
        <v>70</v>
      </c>
      <c r="AN311" s="214">
        <v>80</v>
      </c>
      <c r="AO311" s="1195"/>
      <c r="AP311" s="133">
        <v>120</v>
      </c>
      <c r="AQ311" s="214">
        <v>80</v>
      </c>
      <c r="AR311" s="1195"/>
      <c r="AS311" s="133">
        <v>100</v>
      </c>
      <c r="BC311" s="1"/>
      <c r="BD311" s="1"/>
      <c r="BE311" s="1"/>
      <c r="BF311" s="1"/>
      <c r="BG311" s="1"/>
      <c r="BH311" s="1"/>
    </row>
    <row r="312" spans="1:60" ht="15" customHeight="1">
      <c r="B312" s="1037">
        <f>SUBTOTAL(3,$I$310:I312)</f>
        <v>2</v>
      </c>
      <c r="C312" s="632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12" s="632"/>
      <c r="E312" s="632"/>
      <c r="F312" s="632"/>
      <c r="G312" s="632" t="str">
        <f t="shared" si="60"/>
        <v xml:space="preserve"> </v>
      </c>
      <c r="H312" s="608">
        <v>1.03</v>
      </c>
      <c r="I312" s="614">
        <f>IFERROR(ROUNDUP($Z$81*H312,2),0)</f>
        <v>0</v>
      </c>
      <c r="J312" s="1013" t="s">
        <v>264</v>
      </c>
      <c r="K312" s="610"/>
      <c r="L312" s="610">
        <f t="shared" ref="L312:L323" si="62">IFERROR(I312*K312,0)</f>
        <v>0</v>
      </c>
      <c r="N312" s="1032">
        <f t="shared" si="61"/>
        <v>0</v>
      </c>
      <c r="Y312" s="1033"/>
      <c r="Z312" s="1033"/>
      <c r="AA312" s="1033"/>
      <c r="AB312" s="1034"/>
      <c r="AC312" s="1034"/>
      <c r="AD312" s="282">
        <v>90</v>
      </c>
      <c r="AE312" s="283">
        <v>50</v>
      </c>
      <c r="AF312" s="283">
        <v>110</v>
      </c>
      <c r="AG312" s="132">
        <v>90</v>
      </c>
      <c r="AH312" s="903">
        <v>50</v>
      </c>
      <c r="AI312" s="903">
        <v>100</v>
      </c>
      <c r="AJ312" s="131">
        <v>90</v>
      </c>
      <c r="AK312" s="903">
        <v>50</v>
      </c>
      <c r="AL312" s="903">
        <v>80</v>
      </c>
      <c r="AN312" s="214">
        <v>90</v>
      </c>
      <c r="AO312" s="1195"/>
      <c r="AP312" s="133">
        <v>160</v>
      </c>
      <c r="AQ312" s="214">
        <v>90</v>
      </c>
      <c r="AR312" s="1195"/>
      <c r="AS312" s="133">
        <v>120</v>
      </c>
      <c r="BC312" s="1"/>
      <c r="BD312" s="1"/>
      <c r="BE312" s="1"/>
      <c r="BF312" s="1"/>
      <c r="BG312" s="1"/>
      <c r="BH312" s="1"/>
    </row>
    <row r="313" spans="1:60" ht="15" customHeight="1">
      <c r="B313" s="1037">
        <f>SUBTOTAL(3,$I$310:I313)</f>
        <v>3</v>
      </c>
      <c r="C313" s="687" t="s">
        <v>559</v>
      </c>
      <c r="D313" s="627"/>
      <c r="E313" s="627"/>
      <c r="F313" s="627"/>
      <c r="G313" s="628" t="str">
        <f t="shared" si="60"/>
        <v xml:space="preserve"> </v>
      </c>
      <c r="H313" s="608">
        <v>5</v>
      </c>
      <c r="I313" s="611">
        <f>IFERROR($AC$81*H313*1.03,0)</f>
        <v>0</v>
      </c>
      <c r="J313" s="1013" t="s">
        <v>151</v>
      </c>
      <c r="K313" s="610"/>
      <c r="L313" s="610">
        <f t="shared" si="62"/>
        <v>0</v>
      </c>
      <c r="N313" s="1032">
        <f t="shared" si="61"/>
        <v>0</v>
      </c>
      <c r="Y313" s="1033"/>
      <c r="Z313" s="1033"/>
      <c r="AA313" s="1033"/>
      <c r="AB313" s="1034"/>
      <c r="AC313" s="1034"/>
      <c r="AD313" s="282">
        <v>100</v>
      </c>
      <c r="AE313" s="283">
        <v>50</v>
      </c>
      <c r="AF313" s="283">
        <v>110</v>
      </c>
      <c r="AG313" s="132">
        <v>100</v>
      </c>
      <c r="AH313" s="903">
        <v>80</v>
      </c>
      <c r="AI313" s="903">
        <v>80</v>
      </c>
      <c r="AJ313" s="131">
        <v>100</v>
      </c>
      <c r="AK313" s="903">
        <v>80</v>
      </c>
      <c r="AL313" s="903">
        <v>60</v>
      </c>
      <c r="AN313" s="214">
        <v>100</v>
      </c>
      <c r="AO313" s="1195"/>
      <c r="AP313" s="133">
        <v>160</v>
      </c>
      <c r="AQ313" s="214">
        <v>100</v>
      </c>
      <c r="AR313" s="1195"/>
      <c r="AS313" s="133">
        <v>120</v>
      </c>
      <c r="BC313" s="1"/>
      <c r="BD313" s="1"/>
      <c r="BE313" s="1"/>
      <c r="BF313" s="1"/>
      <c r="BG313" s="1"/>
      <c r="BH313" s="1"/>
    </row>
    <row r="314" spans="1:60" ht="15" customHeight="1">
      <c r="B314" s="1037">
        <f>SUBTOTAL(3,$I$310:I314)</f>
        <v>4</v>
      </c>
      <c r="C314" s="686" t="s">
        <v>189</v>
      </c>
      <c r="D314" s="632"/>
      <c r="E314" s="632"/>
      <c r="F314" s="632"/>
      <c r="G314" s="632" t="str">
        <f t="shared" si="60"/>
        <v xml:space="preserve"> </v>
      </c>
      <c r="H314" s="608">
        <v>5</v>
      </c>
      <c r="I314" s="611">
        <f>IFERROR($AE$81,0)</f>
        <v>0</v>
      </c>
      <c r="J314" s="1013" t="s">
        <v>151</v>
      </c>
      <c r="K314" s="610"/>
      <c r="L314" s="610">
        <f t="shared" si="62"/>
        <v>0</v>
      </c>
      <c r="N314" s="1032">
        <f t="shared" si="61"/>
        <v>0</v>
      </c>
      <c r="Y314" s="1033"/>
      <c r="Z314" s="1033"/>
      <c r="AA314" s="1033"/>
      <c r="AB314" s="1034"/>
      <c r="AC314" s="1034"/>
      <c r="AD314" s="282">
        <v>110</v>
      </c>
      <c r="AE314" s="283">
        <v>80</v>
      </c>
      <c r="AF314" s="283">
        <v>90</v>
      </c>
      <c r="AG314" s="132">
        <v>110</v>
      </c>
      <c r="AH314" s="903">
        <v>80</v>
      </c>
      <c r="AI314" s="903">
        <v>100</v>
      </c>
      <c r="AJ314" s="131">
        <v>110</v>
      </c>
      <c r="AK314" s="903">
        <v>80</v>
      </c>
      <c r="AL314" s="903">
        <v>70</v>
      </c>
      <c r="AN314" s="214">
        <v>110</v>
      </c>
      <c r="AO314" s="1195"/>
      <c r="AP314" s="133">
        <v>160</v>
      </c>
      <c r="AQ314" s="214">
        <v>110</v>
      </c>
      <c r="AR314" s="1195"/>
      <c r="AS314" s="133">
        <v>160</v>
      </c>
      <c r="BC314" s="1"/>
      <c r="BD314" s="1"/>
      <c r="BE314" s="1"/>
      <c r="BF314" s="1"/>
      <c r="BG314" s="1"/>
      <c r="BH314" s="1"/>
    </row>
    <row r="315" spans="1:60" ht="15" customHeight="1">
      <c r="B315" s="1037">
        <f>SUBTOTAL(3,$I$310:I315)</f>
        <v>5</v>
      </c>
      <c r="C315" s="687" t="s">
        <v>1459</v>
      </c>
      <c r="D315" s="627"/>
      <c r="E315" s="627"/>
      <c r="F315" s="627"/>
      <c r="G315" s="628" t="str">
        <f t="shared" si="60"/>
        <v xml:space="preserve"> </v>
      </c>
      <c r="H315" s="608">
        <v>5</v>
      </c>
      <c r="I315" s="611">
        <f>IFERROR($AD$81*H315*1.03,0)</f>
        <v>0</v>
      </c>
      <c r="J315" s="1013" t="s">
        <v>151</v>
      </c>
      <c r="K315" s="610"/>
      <c r="L315" s="610">
        <f t="shared" si="62"/>
        <v>0</v>
      </c>
      <c r="N315" s="1032">
        <f t="shared" si="61"/>
        <v>0</v>
      </c>
      <c r="Y315" s="1033"/>
      <c r="Z315" s="1033"/>
      <c r="AA315" s="1033"/>
      <c r="AB315" s="1034"/>
      <c r="AC315" s="1034"/>
      <c r="AD315" s="282">
        <v>120</v>
      </c>
      <c r="AE315" s="283">
        <v>80</v>
      </c>
      <c r="AF315" s="283">
        <v>110</v>
      </c>
      <c r="AG315" s="132">
        <v>120</v>
      </c>
      <c r="AH315" s="903">
        <v>100</v>
      </c>
      <c r="AI315" s="903">
        <v>80</v>
      </c>
      <c r="AJ315" s="131">
        <v>120</v>
      </c>
      <c r="AK315" s="903">
        <v>100</v>
      </c>
      <c r="AL315" s="903">
        <v>60</v>
      </c>
      <c r="AN315" s="214">
        <v>120</v>
      </c>
      <c r="AO315" s="1195"/>
      <c r="AP315" s="133">
        <v>160</v>
      </c>
      <c r="AQ315" s="214">
        <v>120</v>
      </c>
      <c r="AR315" s="1195"/>
      <c r="AS315" s="133">
        <v>160</v>
      </c>
      <c r="BC315" s="1"/>
      <c r="BD315" s="1"/>
      <c r="BE315" s="1"/>
      <c r="BF315" s="1"/>
      <c r="BG315" s="1"/>
      <c r="BH315" s="1"/>
    </row>
    <row r="316" spans="1:60" ht="15" customHeight="1">
      <c r="B316" s="1037">
        <f>SUBTOTAL(3,$I$310:I316)</f>
        <v>6</v>
      </c>
      <c r="C316" s="686" t="s">
        <v>192</v>
      </c>
      <c r="D316" s="632"/>
      <c r="E316" s="632"/>
      <c r="F316" s="632"/>
      <c r="G316" s="632" t="str">
        <f t="shared" si="60"/>
        <v xml:space="preserve"> </v>
      </c>
      <c r="H316" s="608">
        <v>1.1000000000000001</v>
      </c>
      <c r="I316" s="609">
        <f>IFERROR(ROUNDUP($AB$81*H316,0),0)</f>
        <v>0</v>
      </c>
      <c r="J316" s="1013" t="s">
        <v>112</v>
      </c>
      <c r="K316" s="610"/>
      <c r="L316" s="610">
        <f t="shared" si="62"/>
        <v>0</v>
      </c>
      <c r="N316" s="1032">
        <f t="shared" si="61"/>
        <v>0</v>
      </c>
      <c r="Y316" s="1033"/>
      <c r="Z316" s="1033"/>
      <c r="AA316" s="1033"/>
      <c r="AB316" s="1034"/>
      <c r="AC316" s="1034"/>
      <c r="AD316" s="282">
        <v>130</v>
      </c>
      <c r="AE316" s="283">
        <v>100</v>
      </c>
      <c r="AF316" s="283">
        <v>90</v>
      </c>
      <c r="AG316" s="132">
        <v>130</v>
      </c>
      <c r="AH316" s="903">
        <v>100</v>
      </c>
      <c r="AI316" s="903">
        <v>100</v>
      </c>
      <c r="AJ316" s="131">
        <v>130</v>
      </c>
      <c r="AK316" s="903">
        <v>100</v>
      </c>
      <c r="AL316" s="903">
        <v>70</v>
      </c>
      <c r="AN316" s="214">
        <v>130</v>
      </c>
      <c r="AO316" s="1195"/>
      <c r="AP316" s="133">
        <v>200</v>
      </c>
      <c r="AQ316" s="214">
        <v>130</v>
      </c>
      <c r="AR316" s="1195"/>
      <c r="AS316" s="133">
        <v>160</v>
      </c>
      <c r="BC316" s="1"/>
      <c r="BD316" s="1"/>
      <c r="BE316" s="1"/>
      <c r="BF316" s="1"/>
      <c r="BG316" s="1"/>
      <c r="BH316" s="1"/>
    </row>
    <row r="317" spans="1:60" ht="15" customHeight="1">
      <c r="B317" s="685"/>
      <c r="C317" s="687"/>
      <c r="D317" s="627"/>
      <c r="E317" s="627"/>
      <c r="F317" s="627"/>
      <c r="G317" s="628"/>
      <c r="H317" s="608"/>
      <c r="I317" s="611"/>
      <c r="J317" s="1013"/>
      <c r="K317" s="610"/>
      <c r="L317" s="610">
        <f t="shared" si="62"/>
        <v>0</v>
      </c>
      <c r="N317" s="1032">
        <f t="shared" si="61"/>
        <v>0</v>
      </c>
      <c r="Y317" s="1033"/>
      <c r="Z317" s="1033"/>
      <c r="AA317" s="1033"/>
      <c r="AB317" s="1034"/>
      <c r="AC317" s="1034"/>
      <c r="AD317" s="282">
        <v>140</v>
      </c>
      <c r="AE317" s="283">
        <v>100</v>
      </c>
      <c r="AF317" s="283">
        <v>110</v>
      </c>
      <c r="AG317" s="132">
        <v>140</v>
      </c>
      <c r="AH317" s="903">
        <v>120</v>
      </c>
      <c r="AI317" s="903">
        <v>80</v>
      </c>
      <c r="AJ317" s="131">
        <v>140</v>
      </c>
      <c r="AK317" s="903">
        <v>120</v>
      </c>
      <c r="AL317" s="903">
        <v>60</v>
      </c>
      <c r="AN317" s="214">
        <v>140</v>
      </c>
      <c r="AO317" s="1195"/>
      <c r="AP317" s="133">
        <v>200</v>
      </c>
      <c r="AQ317" s="214">
        <v>140</v>
      </c>
      <c r="AR317" s="1195"/>
      <c r="AS317" s="133">
        <v>160</v>
      </c>
      <c r="BC317" s="1"/>
      <c r="BD317" s="1"/>
      <c r="BE317" s="1"/>
      <c r="BF317" s="1"/>
      <c r="BG317" s="1"/>
      <c r="BH317" s="1"/>
    </row>
    <row r="318" spans="1:60" ht="15" customHeight="1">
      <c r="B318" s="685"/>
      <c r="C318" s="686"/>
      <c r="D318" s="632"/>
      <c r="E318" s="632"/>
      <c r="F318" s="633"/>
      <c r="G318" s="632"/>
      <c r="H318" s="608"/>
      <c r="I318" s="611"/>
      <c r="J318" s="1013"/>
      <c r="K318" s="610"/>
      <c r="L318" s="610">
        <f t="shared" si="62"/>
        <v>0</v>
      </c>
      <c r="N318" s="1032">
        <f t="shared" si="61"/>
        <v>0</v>
      </c>
      <c r="Y318" s="1033"/>
      <c r="Z318" s="1033"/>
      <c r="AA318" s="1033"/>
      <c r="AB318" s="1034"/>
      <c r="AC318" s="1034"/>
      <c r="AD318" s="282">
        <v>150</v>
      </c>
      <c r="AE318" s="283">
        <v>130</v>
      </c>
      <c r="AF318" s="283">
        <v>80</v>
      </c>
      <c r="AG318" s="132">
        <v>150</v>
      </c>
      <c r="AH318" s="903">
        <v>130</v>
      </c>
      <c r="AI318" s="903">
        <v>80</v>
      </c>
      <c r="AJ318" s="131">
        <v>150</v>
      </c>
      <c r="AK318" s="903">
        <v>130</v>
      </c>
      <c r="AL318" s="903">
        <v>60</v>
      </c>
      <c r="AN318" s="214">
        <v>150</v>
      </c>
      <c r="AO318" s="1195"/>
      <c r="AP318" s="133">
        <v>200</v>
      </c>
      <c r="AQ318" s="214">
        <v>150</v>
      </c>
      <c r="AR318" s="1195"/>
      <c r="AS318" s="133">
        <v>200</v>
      </c>
      <c r="BC318" s="1"/>
      <c r="BD318" s="1"/>
      <c r="BE318" s="1"/>
      <c r="BF318" s="1"/>
      <c r="BG318" s="1"/>
      <c r="BH318" s="1"/>
    </row>
    <row r="319" spans="1:60" ht="15" customHeight="1">
      <c r="B319" s="1037">
        <f>SUBTOTAL(3,$I$310:I319)</f>
        <v>7</v>
      </c>
      <c r="C319" s="687" t="e">
        <f>ПВХ_мембрана</f>
        <v>#N/A</v>
      </c>
      <c r="D319" s="627"/>
      <c r="E319" s="627"/>
      <c r="F319" s="627"/>
      <c r="G319" s="628" t="str">
        <f>" "</f>
        <v xml:space="preserve"> </v>
      </c>
      <c r="H319" s="608">
        <v>1.1499999999999999</v>
      </c>
      <c r="I319" s="609">
        <f>IFERROR(ROUNDUP($Y$81*H319,0),0)</f>
        <v>0</v>
      </c>
      <c r="J319" s="1013" t="s">
        <v>112</v>
      </c>
      <c r="K319" s="610"/>
      <c r="L319" s="610">
        <f t="shared" si="62"/>
        <v>0</v>
      </c>
      <c r="N319" s="1032">
        <f t="shared" si="61"/>
        <v>0</v>
      </c>
      <c r="Y319" s="1033"/>
      <c r="Z319" s="1033"/>
      <c r="AA319" s="1033"/>
      <c r="AB319" s="1034"/>
      <c r="AC319" s="1034"/>
      <c r="AD319" s="282">
        <v>160</v>
      </c>
      <c r="AE319" s="283">
        <v>140</v>
      </c>
      <c r="AF319" s="283">
        <v>80</v>
      </c>
      <c r="AG319" s="132">
        <v>160</v>
      </c>
      <c r="AH319" s="283">
        <v>130</v>
      </c>
      <c r="AI319" s="283">
        <v>100</v>
      </c>
      <c r="AJ319" s="131">
        <v>160</v>
      </c>
      <c r="AK319" s="283">
        <v>130</v>
      </c>
      <c r="AL319" s="283">
        <v>70</v>
      </c>
      <c r="AN319" s="214">
        <v>160</v>
      </c>
      <c r="AO319" s="1195"/>
      <c r="AP319" s="133">
        <v>200</v>
      </c>
      <c r="AQ319" s="214">
        <v>160</v>
      </c>
      <c r="AR319" s="1195"/>
      <c r="AS319" s="133">
        <v>200</v>
      </c>
      <c r="BC319" s="1"/>
      <c r="BD319" s="1"/>
      <c r="BE319" s="1"/>
      <c r="BF319" s="1"/>
      <c r="BG319" s="1"/>
      <c r="BH319" s="1"/>
    </row>
    <row r="320" spans="1:60" ht="15" customHeight="1">
      <c r="B320" s="1037">
        <f>SUBTOTAL(3,$I$310:I320)</f>
        <v>8</v>
      </c>
      <c r="C320" s="686" t="s">
        <v>337</v>
      </c>
      <c r="D320" s="632"/>
      <c r="E320" s="632"/>
      <c r="F320" s="655">
        <f>$AG$81</f>
        <v>0</v>
      </c>
      <c r="G320" s="632" t="s">
        <v>150</v>
      </c>
      <c r="H320" s="608" t="str">
        <f>" "</f>
        <v xml:space="preserve"> </v>
      </c>
      <c r="I320" s="611">
        <f>IFERROR($AH$81,0)</f>
        <v>0</v>
      </c>
      <c r="J320" s="1013" t="s">
        <v>190</v>
      </c>
      <c r="K320" s="610"/>
      <c r="L320" s="610">
        <f t="shared" si="62"/>
        <v>0</v>
      </c>
      <c r="N320" s="1032">
        <f t="shared" si="61"/>
        <v>0</v>
      </c>
      <c r="Y320" s="1033"/>
      <c r="Z320" s="1033"/>
      <c r="AA320" s="1033"/>
      <c r="AB320" s="1034"/>
      <c r="AC320" s="1034"/>
      <c r="AD320" s="282">
        <v>170</v>
      </c>
      <c r="AE320" s="283">
        <v>150</v>
      </c>
      <c r="AF320" s="283">
        <v>80</v>
      </c>
      <c r="AG320" s="132">
        <v>170</v>
      </c>
      <c r="AH320" s="283">
        <v>140</v>
      </c>
      <c r="AI320" s="283">
        <v>100</v>
      </c>
      <c r="AJ320" s="131">
        <v>170</v>
      </c>
      <c r="AK320" s="283">
        <v>140</v>
      </c>
      <c r="AL320" s="283">
        <v>70</v>
      </c>
      <c r="AN320" s="214"/>
      <c r="AO320" s="1195"/>
      <c r="AP320" s="133"/>
      <c r="AQ320" s="214">
        <v>170</v>
      </c>
      <c r="AR320" s="1195"/>
      <c r="AS320" s="133">
        <v>200</v>
      </c>
      <c r="BC320" s="1"/>
      <c r="BD320" s="1"/>
      <c r="BE320" s="1"/>
      <c r="BF320" s="1"/>
      <c r="BG320" s="1"/>
      <c r="BH320" s="1"/>
    </row>
    <row r="321" spans="1:60" ht="15" customHeight="1">
      <c r="B321" s="1037">
        <f>SUBTOTAL(3,$I$310:I321)</f>
        <v>9</v>
      </c>
      <c r="C321" s="687" t="s">
        <v>337</v>
      </c>
      <c r="D321" s="627"/>
      <c r="E321" s="627"/>
      <c r="F321" s="656">
        <f>$AK$81</f>
        <v>0</v>
      </c>
      <c r="G321" s="628" t="s">
        <v>150</v>
      </c>
      <c r="H321" s="608" t="str">
        <f>" "</f>
        <v xml:space="preserve"> </v>
      </c>
      <c r="I321" s="611">
        <f>IFERROR($AL$81,0)</f>
        <v>0</v>
      </c>
      <c r="J321" s="1013" t="s">
        <v>190</v>
      </c>
      <c r="K321" s="610"/>
      <c r="L321" s="610">
        <f t="shared" si="62"/>
        <v>0</v>
      </c>
      <c r="N321" s="1032">
        <f t="shared" si="61"/>
        <v>0</v>
      </c>
      <c r="Y321" s="1033"/>
      <c r="Z321" s="1033"/>
      <c r="AA321" s="1033"/>
      <c r="AB321" s="1034"/>
      <c r="AC321" s="1034"/>
      <c r="AD321" s="282">
        <v>180</v>
      </c>
      <c r="AE321" s="283">
        <v>150</v>
      </c>
      <c r="AF321" s="283">
        <v>90</v>
      </c>
      <c r="AG321" s="132">
        <v>180</v>
      </c>
      <c r="AH321" s="283">
        <v>150</v>
      </c>
      <c r="AI321" s="283">
        <v>100</v>
      </c>
      <c r="AJ321" s="131">
        <v>180</v>
      </c>
      <c r="AK321" s="283">
        <v>150</v>
      </c>
      <c r="AL321" s="283">
        <v>70</v>
      </c>
      <c r="AN321" s="214"/>
      <c r="AO321" s="1195"/>
      <c r="AP321" s="133"/>
      <c r="AQ321" s="214">
        <v>180</v>
      </c>
      <c r="AR321" s="1195"/>
      <c r="AS321" s="133">
        <v>200</v>
      </c>
      <c r="BC321" s="1"/>
      <c r="BD321" s="1"/>
      <c r="BE321" s="1"/>
      <c r="BF321" s="1"/>
      <c r="BG321" s="1"/>
      <c r="BH321" s="1"/>
    </row>
    <row r="322" spans="1:60" ht="15" customHeight="1">
      <c r="B322" s="1037">
        <f>SUBTOTAL(3,$I$310:I322)</f>
        <v>10</v>
      </c>
      <c r="C322" s="687" t="s">
        <v>268</v>
      </c>
      <c r="D322" s="627"/>
      <c r="E322" s="627"/>
      <c r="F322" s="656">
        <f>$AI$81</f>
        <v>0</v>
      </c>
      <c r="G322" s="628" t="s">
        <v>150</v>
      </c>
      <c r="H322" s="608" t="str">
        <f>" "</f>
        <v xml:space="preserve"> </v>
      </c>
      <c r="I322" s="611">
        <f>IFERROR($AJ$81,0)</f>
        <v>0</v>
      </c>
      <c r="J322" s="1013" t="s">
        <v>190</v>
      </c>
      <c r="K322" s="610"/>
      <c r="L322" s="610">
        <f t="shared" si="62"/>
        <v>0</v>
      </c>
      <c r="N322" s="1032">
        <f t="shared" si="61"/>
        <v>0</v>
      </c>
      <c r="Y322" s="1033"/>
      <c r="Z322" s="1033"/>
      <c r="AA322" s="1033"/>
      <c r="AB322" s="1034"/>
      <c r="AC322" s="1034"/>
      <c r="AD322" s="282">
        <v>190</v>
      </c>
      <c r="AE322" s="283">
        <v>150</v>
      </c>
      <c r="AF322" s="283">
        <v>110</v>
      </c>
      <c r="AG322" s="132">
        <v>190</v>
      </c>
      <c r="AH322" s="283">
        <v>150</v>
      </c>
      <c r="AI322" s="283">
        <v>100</v>
      </c>
      <c r="AJ322" s="131">
        <v>190</v>
      </c>
      <c r="AK322" s="283">
        <v>150</v>
      </c>
      <c r="AL322" s="283">
        <v>80</v>
      </c>
      <c r="AN322" s="214"/>
      <c r="AO322" s="1195"/>
      <c r="AP322" s="133"/>
      <c r="AQ322" s="214"/>
      <c r="AR322" s="1195"/>
      <c r="AS322" s="133"/>
      <c r="BC322" s="1"/>
      <c r="BD322" s="1"/>
      <c r="BE322" s="1"/>
      <c r="BF322" s="1"/>
      <c r="BG322" s="1"/>
      <c r="BH322" s="1"/>
    </row>
    <row r="323" spans="1:60" ht="15" customHeight="1">
      <c r="B323" s="645">
        <f>SUBTOTAL(3,$I$310:I323)</f>
        <v>11</v>
      </c>
      <c r="C323" s="686">
        <f>$W$81</f>
        <v>0</v>
      </c>
      <c r="D323" s="632"/>
      <c r="E323" s="632"/>
      <c r="F323" s="655">
        <f>$V$81</f>
        <v>0</v>
      </c>
      <c r="G323" s="632" t="s">
        <v>150</v>
      </c>
      <c r="H323" s="680">
        <v>1.03</v>
      </c>
      <c r="I323" s="681">
        <f>$AF$81</f>
        <v>0</v>
      </c>
      <c r="J323" s="682" t="s">
        <v>178</v>
      </c>
      <c r="K323" s="683"/>
      <c r="L323" s="610">
        <f t="shared" si="62"/>
        <v>0</v>
      </c>
      <c r="N323" s="1032">
        <f t="shared" si="61"/>
        <v>0</v>
      </c>
      <c r="Y323" s="1033"/>
      <c r="Z323" s="1033"/>
      <c r="AA323" s="1033"/>
      <c r="AB323" s="1034"/>
      <c r="AC323" s="1034"/>
      <c r="AD323" s="282">
        <v>200</v>
      </c>
      <c r="AE323" s="283">
        <v>170</v>
      </c>
      <c r="AF323" s="283">
        <v>90</v>
      </c>
      <c r="AG323" s="132">
        <v>200</v>
      </c>
      <c r="AH323" s="283">
        <v>170</v>
      </c>
      <c r="AI323" s="283">
        <v>100</v>
      </c>
      <c r="AJ323" s="131">
        <v>200</v>
      </c>
      <c r="AK323" s="283">
        <v>170</v>
      </c>
      <c r="AL323" s="283">
        <v>70</v>
      </c>
      <c r="AN323" s="214"/>
      <c r="AO323" s="1196"/>
      <c r="AP323" s="133"/>
      <c r="AQ323" s="214"/>
      <c r="AR323" s="1196"/>
      <c r="AS323" s="133"/>
      <c r="BC323" s="1"/>
      <c r="BD323" s="1"/>
      <c r="BE323" s="1"/>
      <c r="BF323" s="1"/>
      <c r="BG323" s="1"/>
      <c r="BH323" s="1"/>
    </row>
    <row r="324" spans="1:60" ht="30" customHeight="1">
      <c r="A324" s="158"/>
      <c r="B324" s="691"/>
      <c r="C324" s="1183" t="str">
        <f>CONCATENATE($P$82,$AE$9,$T$82,$AF$9)</f>
        <v>. Общая длина примыкания-  м.</v>
      </c>
      <c r="D324" s="1183"/>
      <c r="E324" s="1183"/>
      <c r="F324" s="1183"/>
      <c r="G324" s="1183"/>
      <c r="H324" s="1183"/>
      <c r="I324" s="1183"/>
      <c r="J324" s="1183"/>
      <c r="K324" s="1186"/>
      <c r="L324" s="679">
        <f>SUM(L325:L338)</f>
        <v>0</v>
      </c>
      <c r="N324" s="1032">
        <f>IF(SUM(I325:I338)&gt;0,1,0)</f>
        <v>0</v>
      </c>
      <c r="Y324" s="1033"/>
      <c r="Z324" s="1033"/>
      <c r="AA324" s="1033"/>
      <c r="AB324" s="1034"/>
      <c r="AC324" s="1034"/>
      <c r="AD324" s="282">
        <v>210</v>
      </c>
      <c r="AE324" s="283">
        <v>180</v>
      </c>
      <c r="AF324" s="283">
        <v>90</v>
      </c>
      <c r="AG324" s="132">
        <v>210</v>
      </c>
      <c r="AH324" s="283">
        <v>180</v>
      </c>
      <c r="AI324" s="283">
        <v>100</v>
      </c>
      <c r="AJ324" s="131">
        <v>210</v>
      </c>
      <c r="AK324" s="283">
        <v>180</v>
      </c>
      <c r="AL324" s="283">
        <v>70</v>
      </c>
      <c r="AN324" s="99"/>
      <c r="AO324" s="99"/>
      <c r="AP324" s="99"/>
      <c r="AQ324" s="99"/>
      <c r="AR324" s="99"/>
      <c r="AS324" s="99"/>
      <c r="BC324" s="1"/>
      <c r="BD324" s="1"/>
      <c r="BE324" s="1"/>
      <c r="BF324" s="1"/>
      <c r="BG324" s="1"/>
      <c r="BH324" s="1"/>
    </row>
    <row r="325" spans="1:60" ht="15" customHeight="1">
      <c r="B325" s="1037">
        <f>SUBTOTAL(3,$I$310:I325)</f>
        <v>12</v>
      </c>
      <c r="C325" s="627" t="s">
        <v>207</v>
      </c>
      <c r="D325" s="627"/>
      <c r="E325" s="627"/>
      <c r="F325" s="627"/>
      <c r="G325" s="628" t="str">
        <f t="shared" ref="G325:G331" si="63">" "</f>
        <v xml:space="preserve"> </v>
      </c>
      <c r="H325" s="608">
        <v>5</v>
      </c>
      <c r="I325" s="611">
        <f>IFERROR($AA$82*H325*1.03,0)</f>
        <v>0</v>
      </c>
      <c r="J325" s="1013" t="s">
        <v>151</v>
      </c>
      <c r="K325" s="610"/>
      <c r="L325" s="610">
        <f>IFERROR(I325*K325,0)</f>
        <v>0</v>
      </c>
      <c r="N325" s="1032">
        <f t="shared" ref="N325:N338" si="64">IF(I325&gt;0,1,0)</f>
        <v>0</v>
      </c>
      <c r="Y325" s="1033"/>
      <c r="Z325" s="1033"/>
      <c r="AA325" s="1033"/>
      <c r="AB325" s="1034"/>
      <c r="AC325" s="1034"/>
      <c r="AD325" s="282">
        <v>220</v>
      </c>
      <c r="AE325" s="283">
        <v>180</v>
      </c>
      <c r="AF325" s="283">
        <v>110</v>
      </c>
      <c r="AG325" s="132">
        <v>220</v>
      </c>
      <c r="AH325" s="283">
        <v>180</v>
      </c>
      <c r="AI325" s="283">
        <v>100</v>
      </c>
      <c r="AJ325" s="131">
        <v>220</v>
      </c>
      <c r="AK325" s="283">
        <v>180</v>
      </c>
      <c r="AL325" s="283">
        <v>80</v>
      </c>
      <c r="AN325" s="99"/>
      <c r="AO325" s="99"/>
      <c r="AP325" s="99"/>
      <c r="AQ325" s="99"/>
      <c r="AR325" s="99"/>
      <c r="AS325" s="99"/>
      <c r="BC325" s="1"/>
      <c r="BD325" s="1"/>
      <c r="BE325" s="1"/>
      <c r="BF325" s="1"/>
      <c r="BG325" s="1"/>
      <c r="BH325" s="1"/>
    </row>
    <row r="326" spans="1:60" ht="15" customHeight="1">
      <c r="B326" s="685"/>
      <c r="C326" s="632"/>
      <c r="D326" s="632"/>
      <c r="E326" s="632"/>
      <c r="F326" s="632"/>
      <c r="G326" s="632"/>
      <c r="H326" s="608"/>
      <c r="I326" s="611"/>
      <c r="J326" s="1013"/>
      <c r="K326" s="610"/>
      <c r="L326" s="610">
        <f>IFERROR(I326*K326,0)</f>
        <v>0</v>
      </c>
      <c r="N326" s="1032">
        <f t="shared" si="64"/>
        <v>0</v>
      </c>
      <c r="Y326" s="1033"/>
      <c r="Z326" s="1033"/>
      <c r="AA326" s="1033"/>
      <c r="AB326" s="1034"/>
      <c r="AC326" s="1034"/>
      <c r="AD326" s="282">
        <v>230</v>
      </c>
      <c r="AE326" s="283">
        <v>200</v>
      </c>
      <c r="AF326" s="283">
        <v>90</v>
      </c>
      <c r="AG326" s="132">
        <v>230</v>
      </c>
      <c r="AH326" s="283">
        <v>200</v>
      </c>
      <c r="AI326" s="283">
        <v>100</v>
      </c>
      <c r="AJ326" s="131">
        <v>230</v>
      </c>
      <c r="AK326" s="283">
        <v>200</v>
      </c>
      <c r="AL326" s="283">
        <v>70</v>
      </c>
      <c r="AN326" s="99"/>
      <c r="AO326" s="99"/>
      <c r="AP326" s="99"/>
      <c r="AQ326" s="99"/>
      <c r="AR326" s="99"/>
      <c r="AS326" s="99"/>
      <c r="BC326" s="1"/>
      <c r="BD326" s="1"/>
      <c r="BE326" s="1"/>
      <c r="BF326" s="1"/>
      <c r="BG326" s="1"/>
      <c r="BH326" s="1"/>
    </row>
    <row r="327" spans="1:60" ht="15" customHeight="1">
      <c r="B327" s="1037">
        <f>SUBTOTAL(3,$I$310:I327)</f>
        <v>13</v>
      </c>
      <c r="C327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27" s="627"/>
      <c r="E327" s="627"/>
      <c r="F327" s="627"/>
      <c r="G327" s="628" t="str">
        <f t="shared" si="63"/>
        <v xml:space="preserve"> </v>
      </c>
      <c r="H327" s="608">
        <v>1.03</v>
      </c>
      <c r="I327" s="614">
        <f>IFERROR(ROUNDUP($Z$82*H327,2),0)</f>
        <v>0</v>
      </c>
      <c r="J327" s="1013" t="s">
        <v>264</v>
      </c>
      <c r="K327" s="610"/>
      <c r="L327" s="610">
        <f t="shared" ref="L327:L338" si="65">IFERROR(I327*K327,0)</f>
        <v>0</v>
      </c>
      <c r="N327" s="1032">
        <f t="shared" si="64"/>
        <v>0</v>
      </c>
      <c r="Y327" s="1033"/>
      <c r="Z327" s="1033"/>
      <c r="AA327" s="1033"/>
      <c r="AB327" s="1034"/>
      <c r="AC327" s="1034"/>
      <c r="AD327" s="282">
        <v>240</v>
      </c>
      <c r="AE327" s="283">
        <v>200</v>
      </c>
      <c r="AF327" s="283">
        <v>110</v>
      </c>
      <c r="AG327" s="132">
        <v>240</v>
      </c>
      <c r="AH327" s="283">
        <v>200</v>
      </c>
      <c r="AI327" s="283">
        <v>100</v>
      </c>
      <c r="AJ327" s="131">
        <v>240</v>
      </c>
      <c r="AK327" s="283">
        <v>200</v>
      </c>
      <c r="AL327" s="283">
        <v>80</v>
      </c>
      <c r="AN327" s="99"/>
      <c r="AO327" s="99"/>
      <c r="AP327" s="99"/>
      <c r="AQ327" s="99"/>
      <c r="AR327" s="99"/>
      <c r="AS327" s="99"/>
      <c r="BC327" s="1"/>
      <c r="BD327" s="1"/>
      <c r="BE327" s="1"/>
      <c r="BF327" s="1"/>
      <c r="BG327" s="1"/>
      <c r="BH327" s="1"/>
    </row>
    <row r="328" spans="1:60" ht="15" customHeight="1">
      <c r="B328" s="1037">
        <f>SUBTOTAL(3,$I$310:I328)</f>
        <v>14</v>
      </c>
      <c r="C328" s="632" t="s">
        <v>559</v>
      </c>
      <c r="D328" s="632"/>
      <c r="E328" s="632"/>
      <c r="F328" s="632"/>
      <c r="G328" s="632" t="str">
        <f t="shared" si="63"/>
        <v xml:space="preserve"> </v>
      </c>
      <c r="H328" s="608">
        <v>5</v>
      </c>
      <c r="I328" s="611">
        <f>IFERROR($AC$82*H328*1.03,0)</f>
        <v>0</v>
      </c>
      <c r="J328" s="1013" t="s">
        <v>151</v>
      </c>
      <c r="K328" s="610"/>
      <c r="L328" s="610">
        <f t="shared" si="65"/>
        <v>0</v>
      </c>
      <c r="N328" s="1032">
        <f t="shared" si="64"/>
        <v>0</v>
      </c>
      <c r="Y328" s="1033"/>
      <c r="Z328" s="1033"/>
      <c r="AA328" s="1033"/>
      <c r="AB328" s="1034"/>
      <c r="AC328" s="1034"/>
      <c r="AD328" s="282">
        <v>250</v>
      </c>
      <c r="AE328" s="283">
        <v>220</v>
      </c>
      <c r="AF328" s="283">
        <v>90</v>
      </c>
      <c r="AG328" s="132">
        <v>250</v>
      </c>
      <c r="AH328" s="283">
        <v>220</v>
      </c>
      <c r="AI328" s="283">
        <v>100</v>
      </c>
      <c r="AJ328" s="131">
        <v>250</v>
      </c>
      <c r="AK328" s="283">
        <v>220</v>
      </c>
      <c r="AL328" s="283">
        <v>70</v>
      </c>
      <c r="AN328" s="99"/>
      <c r="AO328" s="99"/>
      <c r="AP328" s="99"/>
      <c r="AQ328" s="99"/>
      <c r="AR328" s="99"/>
      <c r="AS328" s="99"/>
      <c r="BC328" s="1"/>
      <c r="BD328" s="1"/>
      <c r="BE328" s="1"/>
      <c r="BF328" s="1"/>
      <c r="BG328" s="1"/>
      <c r="BH328" s="1"/>
    </row>
    <row r="329" spans="1:60" ht="15" customHeight="1">
      <c r="B329" s="1037">
        <f>SUBTOTAL(3,$I$310:I329)</f>
        <v>15</v>
      </c>
      <c r="C329" s="627" t="s">
        <v>189</v>
      </c>
      <c r="D329" s="627"/>
      <c r="E329" s="627"/>
      <c r="F329" s="627"/>
      <c r="G329" s="628" t="str">
        <f t="shared" si="63"/>
        <v xml:space="preserve"> </v>
      </c>
      <c r="H329" s="608">
        <v>5</v>
      </c>
      <c r="I329" s="611">
        <f>IFERROR($AE$82,0)</f>
        <v>0</v>
      </c>
      <c r="J329" s="1013" t="s">
        <v>151</v>
      </c>
      <c r="K329" s="610"/>
      <c r="L329" s="610">
        <f t="shared" si="65"/>
        <v>0</v>
      </c>
      <c r="N329" s="1032">
        <f t="shared" si="64"/>
        <v>0</v>
      </c>
      <c r="Y329" s="1033"/>
      <c r="Z329" s="1033"/>
      <c r="AA329" s="1033"/>
      <c r="AB329" s="1034"/>
      <c r="AC329" s="1034"/>
      <c r="AD329" s="282">
        <v>260</v>
      </c>
      <c r="AE329" s="283">
        <v>220</v>
      </c>
      <c r="AF329" s="283">
        <v>110</v>
      </c>
      <c r="AG329" s="132">
        <v>260</v>
      </c>
      <c r="AH329" s="283">
        <v>220</v>
      </c>
      <c r="AI329" s="283">
        <v>100</v>
      </c>
      <c r="AJ329" s="131">
        <v>260</v>
      </c>
      <c r="AK329" s="283">
        <v>220</v>
      </c>
      <c r="AL329" s="283">
        <v>80</v>
      </c>
      <c r="AN329" s="99"/>
      <c r="AO329" s="99"/>
      <c r="AP329" s="99"/>
      <c r="AQ329" s="99"/>
      <c r="AR329" s="99"/>
      <c r="AS329" s="99"/>
      <c r="BC329" s="1"/>
      <c r="BD329" s="1"/>
      <c r="BE329" s="1"/>
      <c r="BF329" s="1"/>
      <c r="BG329" s="1"/>
      <c r="BH329" s="1"/>
    </row>
    <row r="330" spans="1:60" ht="15" customHeight="1">
      <c r="B330" s="1037">
        <f>SUBTOTAL(3,$I$310:I330)</f>
        <v>16</v>
      </c>
      <c r="C330" s="632" t="s">
        <v>1459</v>
      </c>
      <c r="D330" s="632"/>
      <c r="E330" s="632"/>
      <c r="F330" s="632"/>
      <c r="G330" s="632" t="str">
        <f t="shared" si="63"/>
        <v xml:space="preserve"> </v>
      </c>
      <c r="H330" s="608">
        <v>5</v>
      </c>
      <c r="I330" s="611">
        <f>IFERROR($AD$82*H330*1.03,0)</f>
        <v>0</v>
      </c>
      <c r="J330" s="1013" t="s">
        <v>151</v>
      </c>
      <c r="K330" s="610"/>
      <c r="L330" s="610">
        <f t="shared" si="65"/>
        <v>0</v>
      </c>
      <c r="N330" s="1032">
        <f t="shared" si="64"/>
        <v>0</v>
      </c>
      <c r="Y330" s="1033"/>
      <c r="Z330" s="1033"/>
      <c r="AA330" s="1033"/>
      <c r="AB330" s="1034"/>
      <c r="AC330" s="1034"/>
      <c r="AD330" s="282">
        <v>270</v>
      </c>
      <c r="AE330" s="283">
        <v>240</v>
      </c>
      <c r="AF330" s="283">
        <v>90</v>
      </c>
      <c r="AG330" s="132">
        <v>270</v>
      </c>
      <c r="AH330" s="283">
        <v>240</v>
      </c>
      <c r="AI330" s="283">
        <v>100</v>
      </c>
      <c r="AJ330" s="131">
        <v>270</v>
      </c>
      <c r="AK330" s="283">
        <v>240</v>
      </c>
      <c r="AL330" s="283">
        <v>70</v>
      </c>
      <c r="AN330" s="99"/>
      <c r="AO330" s="99"/>
      <c r="AP330" s="99"/>
      <c r="AQ330" s="99"/>
      <c r="AR330" s="99"/>
      <c r="AS330" s="99"/>
      <c r="BC330" s="1"/>
      <c r="BD330" s="1"/>
      <c r="BE330" s="1"/>
      <c r="BF330" s="1"/>
      <c r="BG330" s="1"/>
      <c r="BH330" s="1"/>
    </row>
    <row r="331" spans="1:60" ht="15" customHeight="1">
      <c r="B331" s="1037">
        <f>SUBTOTAL(3,$I$310:I331)</f>
        <v>17</v>
      </c>
      <c r="C331" s="627" t="s">
        <v>192</v>
      </c>
      <c r="D331" s="627"/>
      <c r="E331" s="627"/>
      <c r="F331" s="627"/>
      <c r="G331" s="628" t="str">
        <f t="shared" si="63"/>
        <v xml:space="preserve"> </v>
      </c>
      <c r="H331" s="608">
        <v>1.1000000000000001</v>
      </c>
      <c r="I331" s="609">
        <f>IFERROR(ROUNDUP($AB$82*H331,0),0)</f>
        <v>0</v>
      </c>
      <c r="J331" s="1013" t="s">
        <v>112</v>
      </c>
      <c r="K331" s="610"/>
      <c r="L331" s="610">
        <f t="shared" si="65"/>
        <v>0</v>
      </c>
      <c r="N331" s="1032">
        <f t="shared" si="64"/>
        <v>0</v>
      </c>
      <c r="Y331" s="1033"/>
      <c r="Z331" s="1033"/>
      <c r="AA331" s="1033"/>
      <c r="AB331" s="1034"/>
      <c r="AC331" s="1034"/>
      <c r="AD331" s="282">
        <v>280</v>
      </c>
      <c r="AE331" s="283">
        <v>240</v>
      </c>
      <c r="AF331" s="283">
        <v>110</v>
      </c>
      <c r="AG331" s="132">
        <v>280</v>
      </c>
      <c r="AH331" s="283">
        <v>240</v>
      </c>
      <c r="AI331" s="283">
        <v>100</v>
      </c>
      <c r="AJ331" s="131">
        <v>280</v>
      </c>
      <c r="AK331" s="283">
        <v>240</v>
      </c>
      <c r="AL331" s="283">
        <v>80</v>
      </c>
      <c r="AN331" s="99"/>
      <c r="AO331" s="99"/>
      <c r="AP331" s="99"/>
      <c r="AQ331" s="99"/>
      <c r="AR331" s="99"/>
      <c r="AS331" s="99"/>
      <c r="BC331" s="1"/>
      <c r="BD331" s="1"/>
      <c r="BE331" s="1"/>
      <c r="BF331" s="1"/>
      <c r="BG331" s="1"/>
      <c r="BH331" s="1"/>
    </row>
    <row r="332" spans="1:60" ht="15" customHeight="1">
      <c r="B332" s="685"/>
      <c r="C332" s="632"/>
      <c r="D332" s="632"/>
      <c r="E332" s="632"/>
      <c r="F332" s="632"/>
      <c r="G332" s="632"/>
      <c r="H332" s="608"/>
      <c r="I332" s="611"/>
      <c r="J332" s="1013"/>
      <c r="K332" s="610"/>
      <c r="L332" s="610">
        <f t="shared" si="65"/>
        <v>0</v>
      </c>
      <c r="N332" s="1032">
        <f t="shared" si="64"/>
        <v>0</v>
      </c>
      <c r="Y332" s="1033"/>
      <c r="Z332" s="1033"/>
      <c r="AA332" s="1033"/>
      <c r="AB332" s="1034"/>
      <c r="AC332" s="1034"/>
      <c r="AD332" s="282">
        <v>290</v>
      </c>
      <c r="AE332" s="283">
        <v>260</v>
      </c>
      <c r="AF332" s="283">
        <v>90</v>
      </c>
      <c r="AG332" s="132">
        <v>290</v>
      </c>
      <c r="AH332" s="283">
        <v>260</v>
      </c>
      <c r="AI332" s="283">
        <v>100</v>
      </c>
      <c r="AJ332" s="131">
        <v>290</v>
      </c>
      <c r="AK332" s="283">
        <v>260</v>
      </c>
      <c r="AL332" s="283">
        <v>70</v>
      </c>
      <c r="AN332" s="99"/>
      <c r="AO332" s="99"/>
      <c r="AP332" s="99"/>
      <c r="AQ332" s="99"/>
      <c r="AR332" s="99"/>
      <c r="AS332" s="99"/>
      <c r="BC332" s="1"/>
      <c r="BD332" s="1"/>
      <c r="BE332" s="1"/>
      <c r="BF332" s="1"/>
      <c r="BG332" s="1"/>
      <c r="BH332" s="1"/>
    </row>
    <row r="333" spans="1:60" ht="15" customHeight="1">
      <c r="B333" s="685"/>
      <c r="C333" s="627"/>
      <c r="D333" s="627"/>
      <c r="E333" s="627"/>
      <c r="F333" s="638"/>
      <c r="G333" s="628"/>
      <c r="H333" s="608"/>
      <c r="I333" s="611"/>
      <c r="J333" s="1013"/>
      <c r="K333" s="610"/>
      <c r="L333" s="610">
        <f t="shared" si="65"/>
        <v>0</v>
      </c>
      <c r="N333" s="1032">
        <f t="shared" si="64"/>
        <v>0</v>
      </c>
      <c r="Y333" s="1033"/>
      <c r="Z333" s="1033"/>
      <c r="AA333" s="1033"/>
      <c r="AB333" s="1034"/>
      <c r="AC333" s="1034"/>
      <c r="AD333" s="282">
        <v>300</v>
      </c>
      <c r="AE333" s="283">
        <v>260</v>
      </c>
      <c r="AF333" s="283">
        <v>110</v>
      </c>
      <c r="AG333" s="132">
        <v>300</v>
      </c>
      <c r="AH333" s="283">
        <v>260</v>
      </c>
      <c r="AI333" s="283">
        <v>100</v>
      </c>
      <c r="AJ333" s="131">
        <v>300</v>
      </c>
      <c r="AK333" s="283">
        <v>260</v>
      </c>
      <c r="AL333" s="283">
        <v>80</v>
      </c>
      <c r="AN333" s="99"/>
      <c r="AO333" s="99"/>
      <c r="AP333" s="99"/>
      <c r="AQ333" s="99"/>
      <c r="AR333" s="99"/>
      <c r="AS333" s="99"/>
      <c r="BC333" s="1"/>
      <c r="BD333" s="1"/>
      <c r="BE333" s="1"/>
      <c r="BF333" s="1"/>
      <c r="BG333" s="1"/>
      <c r="BH333" s="1"/>
    </row>
    <row r="334" spans="1:60" ht="15" customHeight="1">
      <c r="B334" s="1037">
        <f>SUBTOTAL(3,$I$310:I334)</f>
        <v>18</v>
      </c>
      <c r="C334" s="632" t="e">
        <f>ПВХ_мембрана</f>
        <v>#N/A</v>
      </c>
      <c r="D334" s="632"/>
      <c r="E334" s="632"/>
      <c r="F334" s="632"/>
      <c r="G334" s="632" t="str">
        <f>" "</f>
        <v xml:space="preserve"> </v>
      </c>
      <c r="H334" s="608">
        <v>1.1499999999999999</v>
      </c>
      <c r="I334" s="609">
        <f>IFERROR(ROUNDUP($Y$82*H334,0),0)</f>
        <v>0</v>
      </c>
      <c r="J334" s="1013" t="s">
        <v>112</v>
      </c>
      <c r="K334" s="610"/>
      <c r="L334" s="610">
        <f t="shared" si="65"/>
        <v>0</v>
      </c>
      <c r="N334" s="1032">
        <f t="shared" si="64"/>
        <v>0</v>
      </c>
      <c r="Y334" s="1033"/>
      <c r="Z334" s="1033"/>
      <c r="AA334" s="1033"/>
      <c r="AB334" s="1034"/>
      <c r="AC334" s="1034"/>
      <c r="AD334" s="282">
        <v>310</v>
      </c>
      <c r="AE334" s="283">
        <v>170</v>
      </c>
      <c r="AF334" s="283">
        <v>200</v>
      </c>
      <c r="AG334" s="132">
        <v>310</v>
      </c>
      <c r="AH334" s="283">
        <v>260</v>
      </c>
      <c r="AI334" s="283">
        <v>120</v>
      </c>
      <c r="AJ334" s="131">
        <v>310</v>
      </c>
      <c r="AK334" s="283">
        <v>260</v>
      </c>
      <c r="AL334" s="283">
        <v>100</v>
      </c>
      <c r="AN334" s="99"/>
      <c r="AO334" s="99"/>
      <c r="AP334" s="99"/>
      <c r="AQ334" s="99"/>
      <c r="AR334" s="99"/>
      <c r="AS334" s="99"/>
      <c r="BC334" s="1"/>
      <c r="BD334" s="1"/>
      <c r="BE334" s="1"/>
      <c r="BF334" s="1"/>
      <c r="BG334" s="1"/>
      <c r="BH334" s="1"/>
    </row>
    <row r="335" spans="1:60" ht="15" customHeight="1">
      <c r="B335" s="1037">
        <f>SUBTOTAL(3,$I$310:I335)</f>
        <v>19</v>
      </c>
      <c r="C335" s="627" t="s">
        <v>337</v>
      </c>
      <c r="D335" s="627"/>
      <c r="E335" s="627"/>
      <c r="F335" s="656">
        <f>$AG$82</f>
        <v>0</v>
      </c>
      <c r="G335" s="628" t="s">
        <v>150</v>
      </c>
      <c r="H335" s="608" t="str">
        <f>" "</f>
        <v xml:space="preserve"> </v>
      </c>
      <c r="I335" s="611">
        <f>IFERROR($AH$82,0)</f>
        <v>0</v>
      </c>
      <c r="J335" s="1013" t="s">
        <v>190</v>
      </c>
      <c r="K335" s="610"/>
      <c r="L335" s="610">
        <f t="shared" si="65"/>
        <v>0</v>
      </c>
      <c r="N335" s="1032">
        <f t="shared" si="64"/>
        <v>0</v>
      </c>
      <c r="Y335" s="1033"/>
      <c r="Z335" s="1033"/>
      <c r="AA335" s="1033"/>
      <c r="AB335" s="1034"/>
      <c r="AC335" s="1034"/>
      <c r="AD335" s="282">
        <v>320</v>
      </c>
      <c r="AE335" s="283">
        <v>180</v>
      </c>
      <c r="AF335" s="283">
        <v>200</v>
      </c>
      <c r="AG335" s="132">
        <v>320</v>
      </c>
      <c r="AH335" s="283">
        <v>260</v>
      </c>
      <c r="AI335" s="283">
        <v>120</v>
      </c>
      <c r="AJ335" s="131">
        <v>320</v>
      </c>
      <c r="AK335" s="283">
        <v>260</v>
      </c>
      <c r="AL335" s="283">
        <v>100</v>
      </c>
      <c r="AN335" s="99"/>
      <c r="AO335" s="99"/>
      <c r="AP335" s="99"/>
      <c r="AQ335" s="99"/>
      <c r="AR335" s="99"/>
      <c r="AS335" s="99"/>
      <c r="BC335" s="1"/>
      <c r="BD335" s="1"/>
      <c r="BE335" s="1"/>
      <c r="BF335" s="1"/>
      <c r="BG335" s="1"/>
      <c r="BH335" s="1"/>
    </row>
    <row r="336" spans="1:60" ht="15" customHeight="1">
      <c r="B336" s="1037">
        <f>SUBTOTAL(3,$I$310:I336)</f>
        <v>20</v>
      </c>
      <c r="C336" s="632" t="s">
        <v>337</v>
      </c>
      <c r="D336" s="632"/>
      <c r="E336" s="632"/>
      <c r="F336" s="655">
        <f>$AK$82</f>
        <v>0</v>
      </c>
      <c r="G336" s="632" t="s">
        <v>150</v>
      </c>
      <c r="H336" s="608" t="str">
        <f>" "</f>
        <v xml:space="preserve"> </v>
      </c>
      <c r="I336" s="611">
        <f>IFERROR($AL$82,0)</f>
        <v>0</v>
      </c>
      <c r="J336" s="1013" t="s">
        <v>190</v>
      </c>
      <c r="K336" s="610"/>
      <c r="L336" s="610">
        <f t="shared" si="65"/>
        <v>0</v>
      </c>
      <c r="N336" s="1032">
        <f t="shared" si="64"/>
        <v>0</v>
      </c>
      <c r="Y336" s="1033"/>
      <c r="Z336" s="1033"/>
      <c r="AA336" s="1033"/>
      <c r="AB336" s="1034"/>
      <c r="AC336" s="1034"/>
      <c r="AD336" s="282">
        <v>330</v>
      </c>
      <c r="AE336" s="283">
        <v>300</v>
      </c>
      <c r="AF336" s="283">
        <v>90</v>
      </c>
      <c r="AG336" s="132">
        <v>330</v>
      </c>
      <c r="AH336" s="283">
        <v>300</v>
      </c>
      <c r="AI336" s="283">
        <v>100</v>
      </c>
      <c r="AJ336" s="131">
        <v>330</v>
      </c>
      <c r="AK336" s="283">
        <v>300</v>
      </c>
      <c r="AL336" s="283">
        <v>70</v>
      </c>
      <c r="AN336" s="99"/>
      <c r="AO336" s="99"/>
      <c r="AP336" s="99"/>
      <c r="AQ336" s="99"/>
      <c r="AR336" s="99"/>
      <c r="AS336" s="99"/>
      <c r="BC336" s="1"/>
      <c r="BD336" s="1"/>
      <c r="BE336" s="1"/>
      <c r="BF336" s="1"/>
      <c r="BG336" s="1"/>
      <c r="BH336" s="1"/>
    </row>
    <row r="337" spans="1:60" ht="15" customHeight="1">
      <c r="B337" s="1037">
        <f>SUBTOTAL(3,$I$310:I337)</f>
        <v>21</v>
      </c>
      <c r="C337" s="627" t="s">
        <v>268</v>
      </c>
      <c r="D337" s="627"/>
      <c r="E337" s="627"/>
      <c r="F337" s="656">
        <f>$AI$82</f>
        <v>0</v>
      </c>
      <c r="G337" s="628" t="s">
        <v>150</v>
      </c>
      <c r="H337" s="608" t="str">
        <f>" "</f>
        <v xml:space="preserve"> </v>
      </c>
      <c r="I337" s="611">
        <f>IFERROR($AJ$82,0)</f>
        <v>0</v>
      </c>
      <c r="J337" s="1013" t="s">
        <v>190</v>
      </c>
      <c r="K337" s="610"/>
      <c r="L337" s="610">
        <f t="shared" si="65"/>
        <v>0</v>
      </c>
      <c r="N337" s="1032">
        <f t="shared" si="64"/>
        <v>0</v>
      </c>
      <c r="Y337" s="1033"/>
      <c r="Z337" s="1033"/>
      <c r="AA337" s="1033"/>
      <c r="AB337" s="1034"/>
      <c r="AC337" s="1034"/>
      <c r="AD337" s="282">
        <v>340</v>
      </c>
      <c r="AE337" s="283">
        <v>300</v>
      </c>
      <c r="AF337" s="283">
        <v>110</v>
      </c>
      <c r="AG337" s="132">
        <v>340</v>
      </c>
      <c r="AH337" s="283">
        <v>300</v>
      </c>
      <c r="AI337" s="283">
        <v>100</v>
      </c>
      <c r="AJ337" s="131">
        <v>340</v>
      </c>
      <c r="AK337" s="283">
        <v>300</v>
      </c>
      <c r="AL337" s="283">
        <v>80</v>
      </c>
      <c r="AN337" s="99"/>
      <c r="AO337" s="99"/>
      <c r="AP337" s="99"/>
      <c r="AQ337" s="99"/>
      <c r="AR337" s="99"/>
      <c r="AS337" s="99"/>
      <c r="BC337" s="1"/>
      <c r="BD337" s="1"/>
      <c r="BE337" s="1"/>
      <c r="BF337" s="1"/>
      <c r="BG337" s="1"/>
      <c r="BH337" s="1"/>
    </row>
    <row r="338" spans="1:60" ht="15" customHeight="1">
      <c r="B338" s="1037">
        <f>SUBTOTAL(3,$I$310:I338)</f>
        <v>22</v>
      </c>
      <c r="C338" s="627">
        <f>$W$82</f>
        <v>0</v>
      </c>
      <c r="D338" s="627"/>
      <c r="E338" s="627"/>
      <c r="F338" s="656">
        <f>$V$82</f>
        <v>0</v>
      </c>
      <c r="G338" s="628" t="s">
        <v>150</v>
      </c>
      <c r="H338" s="608">
        <v>1.03</v>
      </c>
      <c r="I338" s="609">
        <f>$AF$82</f>
        <v>0</v>
      </c>
      <c r="J338" s="1013" t="s">
        <v>178</v>
      </c>
      <c r="K338" s="610"/>
      <c r="L338" s="610">
        <f t="shared" si="65"/>
        <v>0</v>
      </c>
      <c r="N338" s="1032">
        <f t="shared" si="64"/>
        <v>0</v>
      </c>
      <c r="Y338" s="1033"/>
      <c r="Z338" s="1033"/>
      <c r="AA338" s="1033"/>
      <c r="AB338" s="1034"/>
      <c r="AC338" s="1034"/>
      <c r="AD338" s="282">
        <v>350</v>
      </c>
      <c r="AE338" s="283">
        <v>300</v>
      </c>
      <c r="AF338" s="283">
        <v>110</v>
      </c>
      <c r="AG338" s="132">
        <v>350</v>
      </c>
      <c r="AH338" s="283">
        <v>300</v>
      </c>
      <c r="AI338" s="283">
        <v>120</v>
      </c>
      <c r="AJ338" s="131">
        <v>350</v>
      </c>
      <c r="AK338" s="283">
        <v>300</v>
      </c>
      <c r="AL338" s="283">
        <v>100</v>
      </c>
      <c r="BC338" s="1"/>
      <c r="BD338" s="1"/>
      <c r="BE338" s="1"/>
      <c r="BF338" s="1"/>
      <c r="BG338" s="1"/>
      <c r="BH338" s="1"/>
    </row>
    <row r="339" spans="1:60" ht="30" customHeight="1">
      <c r="A339" s="158"/>
      <c r="B339" s="691"/>
      <c r="C339" s="1183" t="str">
        <f>CONCATENATE($P$83,$AE$9,$T$83,$AF$9)</f>
        <v>. Общая длина примыкания-  м.</v>
      </c>
      <c r="D339" s="1183"/>
      <c r="E339" s="1183"/>
      <c r="F339" s="1183"/>
      <c r="G339" s="1183"/>
      <c r="H339" s="1183"/>
      <c r="I339" s="1183"/>
      <c r="J339" s="1183"/>
      <c r="K339" s="1186"/>
      <c r="L339" s="684">
        <f>SUM(L340:L353)</f>
        <v>0</v>
      </c>
      <c r="N339" s="1032">
        <f>IF(SUM(I340:I353)&gt;0,1,0)</f>
        <v>0</v>
      </c>
      <c r="Y339" s="1033"/>
      <c r="Z339" s="1033"/>
      <c r="AA339" s="1033"/>
      <c r="AB339" s="1034"/>
      <c r="AC339" s="1034"/>
      <c r="AD339" s="282">
        <v>360</v>
      </c>
      <c r="AE339" s="283">
        <v>300</v>
      </c>
      <c r="AF339" s="283">
        <v>120</v>
      </c>
      <c r="AG339" s="132">
        <v>360</v>
      </c>
      <c r="AH339" s="283">
        <v>300</v>
      </c>
      <c r="AI339" s="283">
        <v>120</v>
      </c>
      <c r="AJ339" s="131">
        <v>360</v>
      </c>
      <c r="AK339" s="283">
        <v>300</v>
      </c>
      <c r="AL339" s="283">
        <v>100</v>
      </c>
      <c r="AN339" s="285"/>
      <c r="AO339" s="99"/>
      <c r="AP339" s="99"/>
      <c r="AQ339" s="99"/>
      <c r="AR339" s="99"/>
      <c r="BC339" s="1"/>
      <c r="BD339" s="1"/>
      <c r="BE339" s="1"/>
      <c r="BF339" s="1"/>
      <c r="BG339" s="1"/>
      <c r="BH339" s="1"/>
    </row>
    <row r="340" spans="1:60" ht="15" customHeight="1">
      <c r="B340" s="1037">
        <f>SUBTOTAL(3,$I$310:I340)</f>
        <v>23</v>
      </c>
      <c r="C340" s="627" t="s">
        <v>207</v>
      </c>
      <c r="D340" s="627"/>
      <c r="E340" s="627"/>
      <c r="F340" s="627"/>
      <c r="G340" s="628" t="str">
        <f t="shared" ref="G340:G346" si="66">" "</f>
        <v xml:space="preserve"> </v>
      </c>
      <c r="H340" s="688">
        <v>5</v>
      </c>
      <c r="I340" s="689">
        <f>IFERROR($AA$83*H340*1.03,0)</f>
        <v>0</v>
      </c>
      <c r="J340" s="676" t="s">
        <v>151</v>
      </c>
      <c r="K340" s="690"/>
      <c r="L340" s="610">
        <f>IFERROR(I340*K340,0)</f>
        <v>0</v>
      </c>
      <c r="N340" s="1032">
        <f t="shared" ref="N340:N353" si="67">IF(I340&gt;0,1,0)</f>
        <v>0</v>
      </c>
      <c r="Y340" s="1033"/>
      <c r="Z340" s="1033"/>
      <c r="AA340" s="1033"/>
      <c r="AB340" s="1034"/>
      <c r="AC340" s="1034"/>
      <c r="AD340" s="282">
        <v>370</v>
      </c>
      <c r="AE340" s="283">
        <v>300</v>
      </c>
      <c r="AF340" s="283">
        <v>160</v>
      </c>
      <c r="AG340" s="132">
        <v>370</v>
      </c>
      <c r="AH340" s="283">
        <v>300</v>
      </c>
      <c r="AI340" s="283">
        <v>160</v>
      </c>
      <c r="AJ340" s="131">
        <v>370</v>
      </c>
      <c r="AK340" s="283">
        <v>300</v>
      </c>
      <c r="AL340" s="283">
        <v>120</v>
      </c>
      <c r="AN340" s="99"/>
      <c r="AO340" s="99"/>
      <c r="AP340" s="99"/>
      <c r="AQ340" s="99"/>
      <c r="AR340" s="99"/>
      <c r="AS340" s="99"/>
      <c r="BC340" s="1"/>
      <c r="BD340" s="1"/>
      <c r="BE340" s="1"/>
      <c r="BF340" s="1"/>
      <c r="BG340" s="1"/>
      <c r="BH340" s="1"/>
    </row>
    <row r="341" spans="1:60" ht="15" customHeight="1">
      <c r="B341" s="685"/>
      <c r="C341" s="632"/>
      <c r="D341" s="632"/>
      <c r="E341" s="632"/>
      <c r="F341" s="632"/>
      <c r="G341" s="632"/>
      <c r="H341" s="608"/>
      <c r="I341" s="611"/>
      <c r="J341" s="1013"/>
      <c r="K341" s="610"/>
      <c r="L341" s="610">
        <f>IFERROR(I341*K341,0)</f>
        <v>0</v>
      </c>
      <c r="N341" s="1032">
        <f t="shared" si="67"/>
        <v>0</v>
      </c>
      <c r="Y341" s="1033"/>
      <c r="Z341" s="1033"/>
      <c r="AA341" s="1033"/>
      <c r="AB341" s="1034"/>
      <c r="AC341" s="1034"/>
      <c r="AD341" s="282">
        <v>380</v>
      </c>
      <c r="AE341" s="283">
        <v>350</v>
      </c>
      <c r="AF341" s="283">
        <v>90</v>
      </c>
      <c r="AG341" s="239">
        <v>380</v>
      </c>
      <c r="AH341" s="283">
        <v>350</v>
      </c>
      <c r="AI341" s="283">
        <v>100</v>
      </c>
      <c r="AJ341" s="236">
        <v>380</v>
      </c>
      <c r="AK341" s="283">
        <v>350</v>
      </c>
      <c r="AL341" s="283">
        <v>70</v>
      </c>
      <c r="AO341" s="99"/>
      <c r="AP341" s="99"/>
      <c r="AQ341" s="99"/>
      <c r="AR341" s="99"/>
      <c r="BC341" s="1"/>
      <c r="BD341" s="1"/>
      <c r="BE341" s="1"/>
      <c r="BF341" s="1"/>
      <c r="BG341" s="1"/>
      <c r="BH341" s="1"/>
    </row>
    <row r="342" spans="1:60" ht="15" customHeight="1">
      <c r="B342" s="1037">
        <f>SUBTOTAL(3,$I$310:I342)</f>
        <v>24</v>
      </c>
      <c r="C342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42" s="627"/>
      <c r="E342" s="627"/>
      <c r="F342" s="627"/>
      <c r="G342" s="628" t="str">
        <f t="shared" si="66"/>
        <v xml:space="preserve"> </v>
      </c>
      <c r="H342" s="608">
        <v>1.03</v>
      </c>
      <c r="I342" s="614">
        <f>IFERROR(ROUNDUP($Z$83*H342,2),0)</f>
        <v>0</v>
      </c>
      <c r="J342" s="1013" t="s">
        <v>264</v>
      </c>
      <c r="K342" s="610"/>
      <c r="L342" s="610">
        <f t="shared" ref="L342:L353" si="68">IFERROR(I342*K342,0)</f>
        <v>0</v>
      </c>
      <c r="N342" s="1032">
        <f t="shared" si="67"/>
        <v>0</v>
      </c>
      <c r="Y342" s="1033"/>
      <c r="Z342" s="1033"/>
      <c r="AA342" s="1033"/>
      <c r="AB342" s="1034"/>
      <c r="AC342" s="1034"/>
      <c r="AD342" s="282">
        <v>390</v>
      </c>
      <c r="AE342" s="283">
        <v>350</v>
      </c>
      <c r="AF342" s="283">
        <v>110</v>
      </c>
      <c r="AG342" s="132">
        <v>390</v>
      </c>
      <c r="AH342" s="283">
        <v>350</v>
      </c>
      <c r="AI342" s="283">
        <v>100</v>
      </c>
      <c r="AJ342" s="131">
        <v>390</v>
      </c>
      <c r="AK342" s="283">
        <v>350</v>
      </c>
      <c r="AL342" s="283">
        <v>80</v>
      </c>
      <c r="AO342" s="99"/>
      <c r="AP342" s="99"/>
      <c r="AQ342" s="99"/>
      <c r="AR342" s="99"/>
      <c r="BC342" s="1"/>
      <c r="BD342" s="1"/>
      <c r="BE342" s="1"/>
      <c r="BF342" s="1"/>
      <c r="BG342" s="1"/>
      <c r="BH342" s="1"/>
    </row>
    <row r="343" spans="1:60" ht="15" customHeight="1">
      <c r="B343" s="1037">
        <f>SUBTOTAL(3,$I$310:I343)</f>
        <v>25</v>
      </c>
      <c r="C343" s="632" t="s">
        <v>559</v>
      </c>
      <c r="D343" s="632"/>
      <c r="E343" s="632"/>
      <c r="F343" s="632"/>
      <c r="G343" s="632" t="str">
        <f t="shared" si="66"/>
        <v xml:space="preserve"> </v>
      </c>
      <c r="H343" s="608">
        <v>5</v>
      </c>
      <c r="I343" s="611">
        <f>IFERROR($AC$83*H343*1.03,0)</f>
        <v>0</v>
      </c>
      <c r="J343" s="1013" t="s">
        <v>151</v>
      </c>
      <c r="K343" s="610"/>
      <c r="L343" s="610">
        <f t="shared" si="68"/>
        <v>0</v>
      </c>
      <c r="N343" s="1032">
        <f t="shared" si="67"/>
        <v>0</v>
      </c>
      <c r="Y343" s="1033"/>
      <c r="Z343" s="1033"/>
      <c r="AA343" s="1033"/>
      <c r="AB343" s="1034"/>
      <c r="AC343" s="1034"/>
      <c r="AD343" s="282">
        <v>400</v>
      </c>
      <c r="AE343" s="283">
        <v>350</v>
      </c>
      <c r="AF343" s="283">
        <v>110</v>
      </c>
      <c r="AG343" s="239">
        <v>400</v>
      </c>
      <c r="AH343" s="283">
        <v>350</v>
      </c>
      <c r="AI343" s="283">
        <v>120</v>
      </c>
      <c r="AJ343" s="236">
        <v>400</v>
      </c>
      <c r="AK343" s="283">
        <v>350</v>
      </c>
      <c r="AL343" s="283">
        <v>100</v>
      </c>
      <c r="AO343" s="99"/>
      <c r="AP343" s="99"/>
      <c r="AQ343" s="99"/>
      <c r="AR343" s="99"/>
      <c r="BC343" s="1"/>
      <c r="BD343" s="1"/>
      <c r="BE343" s="1"/>
      <c r="BF343" s="1"/>
      <c r="BG343" s="1"/>
      <c r="BH343" s="1"/>
    </row>
    <row r="344" spans="1:60" ht="15" customHeight="1">
      <c r="B344" s="1037">
        <f>SUBTOTAL(3,$I$310:I344)</f>
        <v>26</v>
      </c>
      <c r="C344" s="627" t="s">
        <v>189</v>
      </c>
      <c r="D344" s="627"/>
      <c r="E344" s="627"/>
      <c r="F344" s="627"/>
      <c r="G344" s="628" t="str">
        <f t="shared" si="66"/>
        <v xml:space="preserve"> </v>
      </c>
      <c r="H344" s="608">
        <v>5</v>
      </c>
      <c r="I344" s="611">
        <f>IFERROR($AE$83,0)</f>
        <v>0</v>
      </c>
      <c r="J344" s="1013" t="s">
        <v>151</v>
      </c>
      <c r="K344" s="610"/>
      <c r="L344" s="610">
        <f t="shared" si="68"/>
        <v>0</v>
      </c>
      <c r="N344" s="1032">
        <f t="shared" si="67"/>
        <v>0</v>
      </c>
      <c r="Y344" s="1033"/>
      <c r="Z344" s="1033"/>
      <c r="AA344" s="1033"/>
      <c r="AB344" s="1034"/>
      <c r="AC344" s="1034"/>
      <c r="AD344" s="282">
        <v>410</v>
      </c>
      <c r="AE344" s="283">
        <v>350</v>
      </c>
      <c r="AF344" s="283">
        <v>120</v>
      </c>
      <c r="AG344" s="132">
        <v>410</v>
      </c>
      <c r="AH344" s="283">
        <v>350</v>
      </c>
      <c r="AI344" s="283">
        <v>120</v>
      </c>
      <c r="AJ344" s="131">
        <v>410</v>
      </c>
      <c r="AK344" s="283">
        <v>350</v>
      </c>
      <c r="AL344" s="283">
        <v>100</v>
      </c>
      <c r="AO344" s="99"/>
      <c r="AP344" s="99"/>
      <c r="AQ344" s="99"/>
      <c r="AR344" s="99"/>
      <c r="BC344" s="1"/>
      <c r="BD344" s="1"/>
      <c r="BE344" s="1"/>
      <c r="BF344" s="1"/>
      <c r="BG344" s="1"/>
      <c r="BH344" s="1"/>
    </row>
    <row r="345" spans="1:60" ht="15" customHeight="1">
      <c r="B345" s="1037">
        <f>SUBTOTAL(3,$I$310:I345)</f>
        <v>27</v>
      </c>
      <c r="C345" s="632" t="s">
        <v>1459</v>
      </c>
      <c r="D345" s="632"/>
      <c r="E345" s="632"/>
      <c r="F345" s="632"/>
      <c r="G345" s="632" t="str">
        <f t="shared" si="66"/>
        <v xml:space="preserve"> </v>
      </c>
      <c r="H345" s="608">
        <v>5</v>
      </c>
      <c r="I345" s="611">
        <f>IFERROR($AD$83*H345*1.03,0)</f>
        <v>0</v>
      </c>
      <c r="J345" s="1013" t="s">
        <v>151</v>
      </c>
      <c r="K345" s="610"/>
      <c r="L345" s="610">
        <f t="shared" si="68"/>
        <v>0</v>
      </c>
      <c r="N345" s="1032">
        <f t="shared" si="67"/>
        <v>0</v>
      </c>
      <c r="Y345" s="1033"/>
      <c r="Z345" s="1033"/>
      <c r="AA345" s="1033"/>
      <c r="AB345" s="1034"/>
      <c r="AC345" s="1034"/>
      <c r="AD345" s="282">
        <v>420</v>
      </c>
      <c r="AE345" s="283">
        <v>350</v>
      </c>
      <c r="AF345" s="283">
        <v>160</v>
      </c>
      <c r="AG345" s="239">
        <v>420</v>
      </c>
      <c r="AH345" s="283">
        <v>350</v>
      </c>
      <c r="AI345" s="283">
        <v>160</v>
      </c>
      <c r="AJ345" s="236">
        <v>420</v>
      </c>
      <c r="AK345" s="283">
        <v>350</v>
      </c>
      <c r="AL345" s="283">
        <v>120</v>
      </c>
      <c r="AO345" s="99"/>
      <c r="AP345" s="99"/>
      <c r="AQ345" s="99"/>
      <c r="AR345" s="99"/>
      <c r="BC345" s="1"/>
      <c r="BD345" s="1"/>
      <c r="BE345" s="1"/>
      <c r="BF345" s="1"/>
      <c r="BG345" s="1"/>
      <c r="BH345" s="1"/>
    </row>
    <row r="346" spans="1:60" ht="15" customHeight="1">
      <c r="B346" s="1037">
        <f>SUBTOTAL(3,$I$310:I346)</f>
        <v>28</v>
      </c>
      <c r="C346" s="627" t="s">
        <v>192</v>
      </c>
      <c r="D346" s="627"/>
      <c r="E346" s="627"/>
      <c r="F346" s="627"/>
      <c r="G346" s="628" t="str">
        <f t="shared" si="66"/>
        <v xml:space="preserve"> </v>
      </c>
      <c r="H346" s="608">
        <v>1.1000000000000001</v>
      </c>
      <c r="I346" s="609">
        <f>IFERROR(ROUNDUP($AB$83*H346,0),0)</f>
        <v>0</v>
      </c>
      <c r="J346" s="1013" t="s">
        <v>112</v>
      </c>
      <c r="K346" s="610"/>
      <c r="L346" s="610">
        <f t="shared" si="68"/>
        <v>0</v>
      </c>
      <c r="N346" s="1032">
        <f t="shared" si="67"/>
        <v>0</v>
      </c>
      <c r="Y346" s="1034"/>
      <c r="Z346" s="1034"/>
      <c r="AA346" s="1034"/>
      <c r="AB346" s="1034"/>
      <c r="AC346" s="1034"/>
      <c r="AD346" s="282">
        <v>430</v>
      </c>
      <c r="AE346" s="283">
        <v>350</v>
      </c>
      <c r="AF346" s="283">
        <v>160</v>
      </c>
      <c r="AG346" s="132">
        <v>430</v>
      </c>
      <c r="AH346" s="283">
        <v>350</v>
      </c>
      <c r="AI346" s="283">
        <v>160</v>
      </c>
      <c r="AJ346" s="131">
        <v>430</v>
      </c>
      <c r="AK346" s="283">
        <v>350</v>
      </c>
      <c r="AL346" s="283">
        <v>120</v>
      </c>
      <c r="AO346" s="99"/>
      <c r="AP346" s="99"/>
      <c r="AQ346" s="99"/>
      <c r="AR346" s="99"/>
      <c r="BC346" s="1"/>
      <c r="BD346" s="1"/>
      <c r="BE346" s="1"/>
      <c r="BF346" s="1"/>
      <c r="BG346" s="1"/>
      <c r="BH346" s="1"/>
    </row>
    <row r="347" spans="1:60" ht="15" customHeight="1">
      <c r="B347" s="685"/>
      <c r="C347" s="632"/>
      <c r="D347" s="632"/>
      <c r="E347" s="632"/>
      <c r="F347" s="632"/>
      <c r="G347" s="632"/>
      <c r="H347" s="608"/>
      <c r="I347" s="611"/>
      <c r="J347" s="1013"/>
      <c r="K347" s="610"/>
      <c r="L347" s="610">
        <f t="shared" si="68"/>
        <v>0</v>
      </c>
      <c r="N347" s="1032">
        <f t="shared" si="67"/>
        <v>0</v>
      </c>
      <c r="Y347" s="1034"/>
      <c r="Z347" s="1034"/>
      <c r="AA347" s="1034"/>
      <c r="AB347" s="1034"/>
      <c r="AC347" s="1034"/>
      <c r="AD347" s="282">
        <v>440</v>
      </c>
      <c r="AE347" s="283">
        <v>350</v>
      </c>
      <c r="AF347" s="283">
        <v>160</v>
      </c>
      <c r="AG347" s="239">
        <v>440</v>
      </c>
      <c r="AH347" s="283">
        <v>350</v>
      </c>
      <c r="AI347" s="283">
        <v>160</v>
      </c>
      <c r="AJ347" s="236">
        <v>440</v>
      </c>
      <c r="AK347" s="283">
        <v>350</v>
      </c>
      <c r="AL347" s="283">
        <v>160</v>
      </c>
      <c r="AO347" s="99"/>
      <c r="AP347" s="99"/>
      <c r="AQ347" s="99"/>
      <c r="AR347" s="99"/>
      <c r="BC347" s="1"/>
      <c r="BD347" s="1"/>
      <c r="BE347" s="1"/>
      <c r="BF347" s="1"/>
      <c r="BG347" s="1"/>
      <c r="BH347" s="1"/>
    </row>
    <row r="348" spans="1:60" ht="15" customHeight="1">
      <c r="B348" s="685"/>
      <c r="C348" s="627"/>
      <c r="D348" s="627"/>
      <c r="E348" s="627"/>
      <c r="F348" s="638"/>
      <c r="G348" s="628"/>
      <c r="H348" s="608"/>
      <c r="I348" s="611"/>
      <c r="J348" s="1013"/>
      <c r="K348" s="610"/>
      <c r="L348" s="610">
        <f t="shared" si="68"/>
        <v>0</v>
      </c>
      <c r="N348" s="1032">
        <f t="shared" si="67"/>
        <v>0</v>
      </c>
      <c r="Y348" s="1034"/>
      <c r="Z348" s="1034"/>
      <c r="AA348" s="1034"/>
      <c r="AB348" s="1034"/>
      <c r="AC348" s="1034"/>
      <c r="AD348" s="282">
        <v>450</v>
      </c>
      <c r="AE348" s="283">
        <v>350</v>
      </c>
      <c r="AF348" s="283">
        <v>160</v>
      </c>
      <c r="AG348" s="132">
        <v>450</v>
      </c>
      <c r="AH348" s="283">
        <v>350</v>
      </c>
      <c r="AI348" s="283">
        <v>160</v>
      </c>
      <c r="AJ348" s="131">
        <v>450</v>
      </c>
      <c r="AK348" s="283">
        <v>350</v>
      </c>
      <c r="AL348" s="283">
        <v>160</v>
      </c>
      <c r="BC348" s="1"/>
      <c r="BD348" s="1"/>
      <c r="BE348" s="1"/>
      <c r="BF348" s="1"/>
      <c r="BG348" s="1"/>
      <c r="BH348" s="1"/>
    </row>
    <row r="349" spans="1:60" ht="15" customHeight="1">
      <c r="B349" s="1037">
        <f>SUBTOTAL(3,$I$310:I349)</f>
        <v>29</v>
      </c>
      <c r="C349" s="632" t="e">
        <f>ПВХ_мембрана</f>
        <v>#N/A</v>
      </c>
      <c r="D349" s="632"/>
      <c r="E349" s="632"/>
      <c r="F349" s="632"/>
      <c r="G349" s="632" t="str">
        <f>" "</f>
        <v xml:space="preserve"> </v>
      </c>
      <c r="H349" s="608">
        <v>1.1499999999999999</v>
      </c>
      <c r="I349" s="609">
        <f>IFERROR(ROUNDUP($Y$83*H349,0),0)</f>
        <v>0</v>
      </c>
      <c r="J349" s="1013" t="s">
        <v>112</v>
      </c>
      <c r="K349" s="610"/>
      <c r="L349" s="610">
        <f t="shared" si="68"/>
        <v>0</v>
      </c>
      <c r="N349" s="1032">
        <f t="shared" si="67"/>
        <v>0</v>
      </c>
      <c r="Y349" s="1034"/>
      <c r="Z349" s="1034"/>
      <c r="AA349" s="1034"/>
      <c r="AB349" s="1034"/>
      <c r="AC349" s="1034"/>
      <c r="AD349" s="282">
        <v>460</v>
      </c>
      <c r="AE349" s="283">
        <v>425</v>
      </c>
      <c r="AF349" s="283">
        <v>110</v>
      </c>
      <c r="AG349" s="239">
        <v>460</v>
      </c>
      <c r="AH349" s="283">
        <v>425</v>
      </c>
      <c r="AI349" s="283">
        <v>100</v>
      </c>
      <c r="AJ349" s="236">
        <v>460</v>
      </c>
      <c r="AK349" s="283">
        <v>425</v>
      </c>
      <c r="AL349" s="283">
        <v>80</v>
      </c>
      <c r="BC349" s="1"/>
      <c r="BD349" s="1"/>
      <c r="BE349" s="1"/>
      <c r="BF349" s="1"/>
      <c r="BG349" s="1"/>
      <c r="BH349" s="1"/>
    </row>
    <row r="350" spans="1:60" ht="15" customHeight="1">
      <c r="B350" s="1037">
        <f>SUBTOTAL(3,$I$310:I350)</f>
        <v>30</v>
      </c>
      <c r="C350" s="627" t="s">
        <v>337</v>
      </c>
      <c r="D350" s="627"/>
      <c r="E350" s="627"/>
      <c r="F350" s="656">
        <f>$AG$83</f>
        <v>0</v>
      </c>
      <c r="G350" s="628" t="s">
        <v>150</v>
      </c>
      <c r="H350" s="608" t="str">
        <f>" "</f>
        <v xml:space="preserve"> </v>
      </c>
      <c r="I350" s="611">
        <f>IFERROR($AH$83,0)</f>
        <v>0</v>
      </c>
      <c r="J350" s="1013" t="s">
        <v>190</v>
      </c>
      <c r="K350" s="610"/>
      <c r="L350" s="610">
        <f t="shared" si="68"/>
        <v>0</v>
      </c>
      <c r="N350" s="1032">
        <f t="shared" si="67"/>
        <v>0</v>
      </c>
      <c r="Y350" s="1034"/>
      <c r="Z350" s="1034"/>
      <c r="AA350" s="1034"/>
      <c r="AB350" s="1034"/>
      <c r="AC350" s="1034"/>
      <c r="AD350" s="282">
        <v>470</v>
      </c>
      <c r="AE350" s="283">
        <v>425</v>
      </c>
      <c r="AF350" s="283">
        <v>110</v>
      </c>
      <c r="AG350" s="132">
        <v>470</v>
      </c>
      <c r="AH350" s="283">
        <v>425</v>
      </c>
      <c r="AI350" s="283">
        <v>120</v>
      </c>
      <c r="AJ350" s="131">
        <v>470</v>
      </c>
      <c r="AK350" s="283">
        <v>425</v>
      </c>
      <c r="AL350" s="283">
        <v>100</v>
      </c>
      <c r="BC350" s="1"/>
      <c r="BD350" s="1"/>
      <c r="BE350" s="1"/>
      <c r="BF350" s="1"/>
      <c r="BG350" s="1"/>
      <c r="BH350" s="1"/>
    </row>
    <row r="351" spans="1:60" ht="15" customHeight="1">
      <c r="B351" s="1037">
        <f>SUBTOTAL(3,$I$310:I351)</f>
        <v>31</v>
      </c>
      <c r="C351" s="632" t="s">
        <v>337</v>
      </c>
      <c r="D351" s="632"/>
      <c r="E351" s="632"/>
      <c r="F351" s="655">
        <f>$AK$83</f>
        <v>0</v>
      </c>
      <c r="G351" s="632" t="s">
        <v>150</v>
      </c>
      <c r="H351" s="608" t="str">
        <f>" "</f>
        <v xml:space="preserve"> </v>
      </c>
      <c r="I351" s="611">
        <f>IFERROR($AL$83,0)</f>
        <v>0</v>
      </c>
      <c r="J351" s="1013" t="s">
        <v>190</v>
      </c>
      <c r="K351" s="610"/>
      <c r="L351" s="610">
        <f t="shared" si="68"/>
        <v>0</v>
      </c>
      <c r="N351" s="1032">
        <f t="shared" si="67"/>
        <v>0</v>
      </c>
      <c r="Y351" s="1034"/>
      <c r="Z351" s="1034"/>
      <c r="AA351" s="1034"/>
      <c r="AB351" s="1034"/>
      <c r="AC351" s="1034"/>
      <c r="AD351" s="282">
        <v>480</v>
      </c>
      <c r="AE351" s="283">
        <v>425</v>
      </c>
      <c r="AF351" s="283">
        <v>120</v>
      </c>
      <c r="AG351" s="239">
        <v>480</v>
      </c>
      <c r="AH351" s="283">
        <v>425</v>
      </c>
      <c r="AI351" s="283">
        <v>120</v>
      </c>
      <c r="AJ351" s="236">
        <v>480</v>
      </c>
      <c r="AK351" s="283">
        <v>425</v>
      </c>
      <c r="AL351" s="283">
        <v>100</v>
      </c>
      <c r="BC351" s="1"/>
      <c r="BD351" s="1"/>
      <c r="BE351" s="1"/>
      <c r="BF351" s="1"/>
      <c r="BG351" s="1"/>
      <c r="BH351" s="1"/>
    </row>
    <row r="352" spans="1:60" ht="15" customHeight="1">
      <c r="B352" s="1037">
        <f>SUBTOTAL(3,$I$310:I352)</f>
        <v>32</v>
      </c>
      <c r="C352" s="627" t="s">
        <v>268</v>
      </c>
      <c r="D352" s="627"/>
      <c r="E352" s="627"/>
      <c r="F352" s="656">
        <f>$AI$83</f>
        <v>0</v>
      </c>
      <c r="G352" s="628" t="s">
        <v>150</v>
      </c>
      <c r="H352" s="608" t="str">
        <f>" "</f>
        <v xml:space="preserve"> </v>
      </c>
      <c r="I352" s="611">
        <f>IFERROR($AJ$83,0)</f>
        <v>0</v>
      </c>
      <c r="J352" s="1013" t="s">
        <v>190</v>
      </c>
      <c r="K352" s="610"/>
      <c r="L352" s="610">
        <f t="shared" si="68"/>
        <v>0</v>
      </c>
      <c r="N352" s="1032">
        <f t="shared" si="67"/>
        <v>0</v>
      </c>
      <c r="Y352" s="1034"/>
      <c r="Z352" s="1034"/>
      <c r="AA352" s="1034"/>
      <c r="AB352" s="1034"/>
      <c r="AC352" s="1034"/>
      <c r="AD352" s="282">
        <v>490</v>
      </c>
      <c r="AE352" s="283">
        <v>425</v>
      </c>
      <c r="AF352" s="283">
        <v>160</v>
      </c>
      <c r="AG352" s="132">
        <v>490</v>
      </c>
      <c r="AH352" s="283">
        <v>425</v>
      </c>
      <c r="AI352" s="283">
        <v>160</v>
      </c>
      <c r="AJ352" s="131">
        <v>490</v>
      </c>
      <c r="AK352" s="283">
        <v>425</v>
      </c>
      <c r="AL352" s="283">
        <v>120</v>
      </c>
      <c r="BC352" s="1"/>
      <c r="BD352" s="1"/>
      <c r="BE352" s="1"/>
      <c r="BF352" s="1"/>
      <c r="BG352" s="1"/>
      <c r="BH352" s="1"/>
    </row>
    <row r="353" spans="1:60" ht="15" customHeight="1">
      <c r="B353" s="645">
        <f>SUBTOTAL(3,$I$310:I353)</f>
        <v>33</v>
      </c>
      <c r="C353" s="632">
        <f>$W$83</f>
        <v>0</v>
      </c>
      <c r="D353" s="632"/>
      <c r="E353" s="632"/>
      <c r="F353" s="655">
        <f>$V$83</f>
        <v>0</v>
      </c>
      <c r="G353" s="632" t="s">
        <v>150</v>
      </c>
      <c r="H353" s="680">
        <v>1.03</v>
      </c>
      <c r="I353" s="681">
        <f>$AF$83</f>
        <v>0</v>
      </c>
      <c r="J353" s="682" t="s">
        <v>178</v>
      </c>
      <c r="K353" s="683"/>
      <c r="L353" s="610">
        <f t="shared" si="68"/>
        <v>0</v>
      </c>
      <c r="N353" s="1032">
        <f t="shared" si="67"/>
        <v>0</v>
      </c>
      <c r="Y353" s="1034"/>
      <c r="Z353" s="1034"/>
      <c r="AA353" s="1034"/>
      <c r="AB353" s="1034"/>
      <c r="AC353" s="1034"/>
      <c r="AD353" s="282">
        <v>500</v>
      </c>
      <c r="AE353" s="283">
        <v>425</v>
      </c>
      <c r="AF353" s="283">
        <v>160</v>
      </c>
      <c r="AG353" s="239">
        <v>500</v>
      </c>
      <c r="AH353" s="283">
        <v>425</v>
      </c>
      <c r="AI353" s="283">
        <v>160</v>
      </c>
      <c r="AJ353" s="236">
        <v>500</v>
      </c>
      <c r="AK353" s="283">
        <v>425</v>
      </c>
      <c r="AL353" s="283">
        <v>120</v>
      </c>
      <c r="BC353" s="1"/>
      <c r="BD353" s="1"/>
      <c r="BE353" s="1"/>
      <c r="BF353" s="1"/>
      <c r="BG353" s="1"/>
      <c r="BH353" s="1"/>
    </row>
    <row r="354" spans="1:60" ht="30" customHeight="1">
      <c r="A354" s="158"/>
      <c r="B354" s="691"/>
      <c r="C354" s="1183" t="str">
        <f>CONCATENATE($P$84,$AE$9,$T$84,$AF$9)</f>
        <v>. Общая длина примыкания-  м.</v>
      </c>
      <c r="D354" s="1183"/>
      <c r="E354" s="1183"/>
      <c r="F354" s="1183"/>
      <c r="G354" s="1183"/>
      <c r="H354" s="1184"/>
      <c r="I354" s="1184"/>
      <c r="J354" s="1184"/>
      <c r="K354" s="1185"/>
      <c r="L354" s="684">
        <f>SUM(L355:L368)</f>
        <v>0</v>
      </c>
      <c r="N354" s="1032">
        <f>IF(SUM(I355:I368)&gt;0,1,0)</f>
        <v>0</v>
      </c>
      <c r="Y354" s="292"/>
      <c r="Z354" s="292"/>
      <c r="AA354" s="292"/>
      <c r="AB354" s="1034"/>
      <c r="AC354" s="1034"/>
      <c r="AD354" s="282">
        <v>510</v>
      </c>
      <c r="AE354" s="283">
        <v>425</v>
      </c>
      <c r="AF354" s="283">
        <v>160</v>
      </c>
      <c r="AG354" s="132">
        <v>510</v>
      </c>
      <c r="AH354" s="283">
        <v>425</v>
      </c>
      <c r="AI354" s="283">
        <v>160</v>
      </c>
      <c r="AJ354" s="131">
        <v>510</v>
      </c>
      <c r="AK354" s="283">
        <v>425</v>
      </c>
      <c r="AL354" s="283">
        <v>160</v>
      </c>
      <c r="BC354" s="1"/>
      <c r="BD354" s="1"/>
      <c r="BE354" s="1"/>
      <c r="BF354" s="1"/>
      <c r="BG354" s="1"/>
      <c r="BH354" s="1"/>
    </row>
    <row r="355" spans="1:60" ht="15" customHeight="1">
      <c r="B355" s="1037">
        <f>SUBTOTAL(3,$I$310:I355)</f>
        <v>34</v>
      </c>
      <c r="C355" s="632" t="s">
        <v>207</v>
      </c>
      <c r="D355" s="632"/>
      <c r="E355" s="632"/>
      <c r="F355" s="632"/>
      <c r="G355" s="632" t="str">
        <f t="shared" ref="G355:G361" si="69">" "</f>
        <v xml:space="preserve"> </v>
      </c>
      <c r="H355" s="608">
        <v>5</v>
      </c>
      <c r="I355" s="611">
        <f>IFERROR($AA$84*H355*1.03,0)</f>
        <v>0</v>
      </c>
      <c r="J355" s="1013" t="s">
        <v>151</v>
      </c>
      <c r="K355" s="610"/>
      <c r="L355" s="610">
        <f>IFERROR(I355*K355,0)</f>
        <v>0</v>
      </c>
      <c r="N355" s="1032">
        <f t="shared" ref="N355:N368" si="70">IF(I355&gt;0,1,0)</f>
        <v>0</v>
      </c>
      <c r="Y355" s="292"/>
      <c r="Z355" s="292"/>
      <c r="AA355" s="292"/>
      <c r="AB355" s="1034"/>
      <c r="AC355" s="1034"/>
      <c r="AD355" s="282">
        <v>520</v>
      </c>
      <c r="AE355" s="283">
        <v>425</v>
      </c>
      <c r="AF355" s="283">
        <v>160</v>
      </c>
      <c r="AG355" s="239">
        <v>520</v>
      </c>
      <c r="AH355" s="283">
        <v>425</v>
      </c>
      <c r="AI355" s="283">
        <v>160</v>
      </c>
      <c r="AJ355" s="236">
        <v>520</v>
      </c>
      <c r="AK355" s="283">
        <v>425</v>
      </c>
      <c r="AL355" s="283">
        <v>160</v>
      </c>
      <c r="BC355" s="1"/>
      <c r="BD355" s="1"/>
      <c r="BE355" s="1"/>
      <c r="BF355" s="1"/>
      <c r="BG355" s="1"/>
      <c r="BH355" s="1"/>
    </row>
    <row r="356" spans="1:60" ht="15" customHeight="1">
      <c r="B356" s="685"/>
      <c r="C356" s="627"/>
      <c r="D356" s="627"/>
      <c r="E356" s="627"/>
      <c r="F356" s="627"/>
      <c r="G356" s="627"/>
      <c r="H356" s="608"/>
      <c r="I356" s="611"/>
      <c r="J356" s="1013"/>
      <c r="K356" s="610"/>
      <c r="L356" s="610">
        <f>IFERROR(I356*K356,0)</f>
        <v>0</v>
      </c>
      <c r="N356" s="1032">
        <f t="shared" si="70"/>
        <v>0</v>
      </c>
      <c r="AD356" s="282">
        <v>530</v>
      </c>
      <c r="AE356" s="283">
        <v>425</v>
      </c>
      <c r="AF356" s="283">
        <v>200</v>
      </c>
      <c r="AG356" s="132">
        <v>530</v>
      </c>
      <c r="AH356" s="283">
        <v>425</v>
      </c>
      <c r="AI356" s="283">
        <v>200</v>
      </c>
      <c r="AJ356" s="131">
        <v>530</v>
      </c>
      <c r="AK356" s="283">
        <v>425</v>
      </c>
      <c r="AL356" s="283">
        <v>160</v>
      </c>
      <c r="BC356" s="1"/>
      <c r="BD356" s="1"/>
      <c r="BE356" s="1"/>
      <c r="BF356" s="1"/>
      <c r="BG356" s="1"/>
      <c r="BH356" s="1"/>
    </row>
    <row r="357" spans="1:60" ht="15" customHeight="1">
      <c r="B357" s="1037">
        <f>SUBTOTAL(3,$I$310:I357)</f>
        <v>35</v>
      </c>
      <c r="C357" s="632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57" s="632"/>
      <c r="E357" s="632"/>
      <c r="F357" s="632"/>
      <c r="G357" s="632" t="str">
        <f t="shared" si="69"/>
        <v xml:space="preserve"> </v>
      </c>
      <c r="H357" s="608">
        <v>1.03</v>
      </c>
      <c r="I357" s="614">
        <f>IFERROR(ROUNDUP($Z$84*H357,2),0)</f>
        <v>0</v>
      </c>
      <c r="J357" s="1013" t="s">
        <v>264</v>
      </c>
      <c r="K357" s="610"/>
      <c r="L357" s="610">
        <f t="shared" ref="L357:L368" si="71">IFERROR(I357*K357,0)</f>
        <v>0</v>
      </c>
      <c r="N357" s="1032">
        <f t="shared" si="70"/>
        <v>0</v>
      </c>
      <c r="AD357" s="282">
        <v>540</v>
      </c>
      <c r="AE357" s="283">
        <v>425</v>
      </c>
      <c r="AF357" s="283">
        <v>200</v>
      </c>
      <c r="AG357" s="239">
        <v>540</v>
      </c>
      <c r="AH357" s="283">
        <v>425</v>
      </c>
      <c r="AI357" s="283">
        <v>200</v>
      </c>
      <c r="AJ357" s="236">
        <v>540</v>
      </c>
      <c r="AK357" s="283">
        <v>425</v>
      </c>
      <c r="AL357" s="283">
        <v>160</v>
      </c>
      <c r="BC357" s="1"/>
      <c r="BD357" s="1"/>
      <c r="BE357" s="1"/>
      <c r="BF357" s="1"/>
      <c r="BG357" s="1"/>
      <c r="BH357" s="1"/>
    </row>
    <row r="358" spans="1:60" ht="15" customHeight="1">
      <c r="B358" s="1037">
        <f>SUBTOTAL(3,$I$310:I358)</f>
        <v>36</v>
      </c>
      <c r="C358" s="627" t="s">
        <v>559</v>
      </c>
      <c r="D358" s="627"/>
      <c r="E358" s="627"/>
      <c r="F358" s="627"/>
      <c r="G358" s="627" t="str">
        <f t="shared" si="69"/>
        <v xml:space="preserve"> </v>
      </c>
      <c r="H358" s="608">
        <v>5</v>
      </c>
      <c r="I358" s="611">
        <f>IFERROR($AC$84*H358*1.03,0)</f>
        <v>0</v>
      </c>
      <c r="J358" s="1013" t="s">
        <v>151</v>
      </c>
      <c r="K358" s="610"/>
      <c r="L358" s="610">
        <f t="shared" si="71"/>
        <v>0</v>
      </c>
      <c r="N358" s="1032">
        <f t="shared" si="70"/>
        <v>0</v>
      </c>
      <c r="AD358" s="282">
        <v>550</v>
      </c>
      <c r="AE358" s="283">
        <v>425</v>
      </c>
      <c r="AF358" s="283">
        <v>200</v>
      </c>
      <c r="AG358" s="132">
        <v>550</v>
      </c>
      <c r="AH358" s="283">
        <v>425</v>
      </c>
      <c r="AI358" s="283">
        <v>200</v>
      </c>
      <c r="AJ358" s="131">
        <v>550</v>
      </c>
      <c r="AK358" s="283">
        <v>425</v>
      </c>
      <c r="AL358" s="283">
        <v>200</v>
      </c>
      <c r="BC358" s="1"/>
      <c r="BD358" s="1"/>
      <c r="BE358" s="1"/>
      <c r="BF358" s="1"/>
      <c r="BG358" s="1"/>
      <c r="BH358" s="1"/>
    </row>
    <row r="359" spans="1:60" ht="15" customHeight="1">
      <c r="B359" s="1037">
        <f>SUBTOTAL(3,$I$310:I359)</f>
        <v>37</v>
      </c>
      <c r="C359" s="632" t="s">
        <v>189</v>
      </c>
      <c r="D359" s="632"/>
      <c r="E359" s="632"/>
      <c r="F359" s="632"/>
      <c r="G359" s="632" t="str">
        <f t="shared" si="69"/>
        <v xml:space="preserve"> </v>
      </c>
      <c r="H359" s="608">
        <v>5</v>
      </c>
      <c r="I359" s="611">
        <f>IFERROR($AE$84,0)</f>
        <v>0</v>
      </c>
      <c r="J359" s="1013" t="s">
        <v>151</v>
      </c>
      <c r="K359" s="610"/>
      <c r="L359" s="610">
        <f t="shared" si="71"/>
        <v>0</v>
      </c>
      <c r="N359" s="1032">
        <f t="shared" si="70"/>
        <v>0</v>
      </c>
      <c r="AD359" s="282">
        <v>560</v>
      </c>
      <c r="AE359" s="283">
        <v>425</v>
      </c>
      <c r="AF359" s="283">
        <v>200</v>
      </c>
      <c r="AG359" s="239">
        <v>560</v>
      </c>
      <c r="AH359" s="283">
        <v>425</v>
      </c>
      <c r="AI359" s="283">
        <v>200</v>
      </c>
      <c r="AJ359" s="236">
        <v>560</v>
      </c>
      <c r="AK359" s="283">
        <v>425</v>
      </c>
      <c r="AL359" s="283">
        <v>200</v>
      </c>
      <c r="BC359" s="1"/>
      <c r="BD359" s="1"/>
      <c r="BE359" s="1"/>
      <c r="BF359" s="1"/>
      <c r="BG359" s="1"/>
      <c r="BH359" s="1"/>
    </row>
    <row r="360" spans="1:60" ht="15" customHeight="1">
      <c r="B360" s="1037">
        <f>SUBTOTAL(3,$I$310:I360)</f>
        <v>38</v>
      </c>
      <c r="C360" s="627" t="s">
        <v>1459</v>
      </c>
      <c r="D360" s="627"/>
      <c r="E360" s="627"/>
      <c r="F360" s="627"/>
      <c r="G360" s="627" t="str">
        <f t="shared" si="69"/>
        <v xml:space="preserve"> </v>
      </c>
      <c r="H360" s="608">
        <v>5</v>
      </c>
      <c r="I360" s="611">
        <f>IFERROR($AD$84*H360*1.03,0)</f>
        <v>0</v>
      </c>
      <c r="J360" s="1013" t="s">
        <v>151</v>
      </c>
      <c r="K360" s="610"/>
      <c r="L360" s="610">
        <f t="shared" si="71"/>
        <v>0</v>
      </c>
      <c r="N360" s="1032">
        <f t="shared" si="70"/>
        <v>0</v>
      </c>
      <c r="AD360" s="282">
        <v>570</v>
      </c>
      <c r="AE360" s="283">
        <v>425</v>
      </c>
      <c r="AF360" s="283">
        <v>240</v>
      </c>
      <c r="AG360" s="132">
        <v>570</v>
      </c>
      <c r="AH360" s="283">
        <v>425</v>
      </c>
      <c r="AI360" s="283">
        <v>300</v>
      </c>
      <c r="AJ360" s="131">
        <v>570</v>
      </c>
      <c r="AK360" s="283">
        <v>425</v>
      </c>
      <c r="AL360" s="283">
        <v>200</v>
      </c>
      <c r="BC360" s="1"/>
      <c r="BD360" s="1"/>
      <c r="BE360" s="1"/>
      <c r="BF360" s="1"/>
      <c r="BG360" s="1"/>
      <c r="BH360" s="1"/>
    </row>
    <row r="361" spans="1:60" ht="15" customHeight="1">
      <c r="B361" s="1037">
        <f>SUBTOTAL(3,$I$310:I361)</f>
        <v>39</v>
      </c>
      <c r="C361" s="632" t="s">
        <v>192</v>
      </c>
      <c r="D361" s="632"/>
      <c r="E361" s="632"/>
      <c r="F361" s="632"/>
      <c r="G361" s="632" t="str">
        <f t="shared" si="69"/>
        <v xml:space="preserve"> </v>
      </c>
      <c r="H361" s="608">
        <v>1.1000000000000001</v>
      </c>
      <c r="I361" s="609">
        <f>IFERROR(ROUNDUP($AB$84*H361,0),0)</f>
        <v>0</v>
      </c>
      <c r="J361" s="1013" t="s">
        <v>112</v>
      </c>
      <c r="K361" s="610"/>
      <c r="L361" s="610">
        <f t="shared" si="71"/>
        <v>0</v>
      </c>
      <c r="N361" s="1032">
        <f t="shared" si="70"/>
        <v>0</v>
      </c>
      <c r="AD361" s="282">
        <v>580</v>
      </c>
      <c r="AE361" s="283">
        <v>425</v>
      </c>
      <c r="AF361" s="283">
        <v>240</v>
      </c>
      <c r="AG361" s="239">
        <v>580</v>
      </c>
      <c r="AH361" s="283">
        <v>425</v>
      </c>
      <c r="AI361" s="283">
        <v>300</v>
      </c>
      <c r="AJ361" s="236">
        <v>580</v>
      </c>
      <c r="AK361" s="283">
        <v>425</v>
      </c>
      <c r="AL361" s="283">
        <v>200</v>
      </c>
      <c r="BC361" s="1"/>
      <c r="BD361" s="1"/>
      <c r="BE361" s="1"/>
      <c r="BF361" s="1"/>
      <c r="BG361" s="1"/>
      <c r="BH361" s="1"/>
    </row>
    <row r="362" spans="1:60" ht="15" customHeight="1">
      <c r="B362" s="685"/>
      <c r="C362" s="627"/>
      <c r="D362" s="627"/>
      <c r="E362" s="627"/>
      <c r="F362" s="627"/>
      <c r="G362" s="627"/>
      <c r="H362" s="608"/>
      <c r="I362" s="611"/>
      <c r="J362" s="1013"/>
      <c r="K362" s="610"/>
      <c r="L362" s="610">
        <f t="shared" si="71"/>
        <v>0</v>
      </c>
      <c r="N362" s="1032">
        <f t="shared" si="70"/>
        <v>0</v>
      </c>
      <c r="AD362" s="282">
        <v>590</v>
      </c>
      <c r="AE362" s="283">
        <v>425</v>
      </c>
      <c r="AF362" s="283">
        <v>240</v>
      </c>
      <c r="AG362" s="132">
        <v>590</v>
      </c>
      <c r="AH362" s="283">
        <v>425</v>
      </c>
      <c r="AI362" s="283">
        <v>300</v>
      </c>
      <c r="AJ362" s="131">
        <v>590</v>
      </c>
      <c r="AK362" s="283">
        <v>425</v>
      </c>
      <c r="AL362" s="283">
        <v>300</v>
      </c>
      <c r="BC362" s="1"/>
      <c r="BD362" s="1"/>
      <c r="BE362" s="1"/>
      <c r="BF362" s="1"/>
      <c r="BG362" s="1"/>
      <c r="BH362" s="1"/>
    </row>
    <row r="363" spans="1:60" ht="15" customHeight="1">
      <c r="B363" s="685"/>
      <c r="C363" s="632"/>
      <c r="D363" s="632"/>
      <c r="E363" s="632"/>
      <c r="F363" s="633"/>
      <c r="G363" s="632"/>
      <c r="H363" s="608"/>
      <c r="I363" s="611"/>
      <c r="J363" s="1013"/>
      <c r="K363" s="610"/>
      <c r="L363" s="610">
        <f t="shared" si="71"/>
        <v>0</v>
      </c>
      <c r="N363" s="1032">
        <f t="shared" si="70"/>
        <v>0</v>
      </c>
      <c r="AD363" s="282">
        <v>600</v>
      </c>
      <c r="AE363" s="283">
        <v>425</v>
      </c>
      <c r="AF363" s="283">
        <v>240</v>
      </c>
      <c r="AG363" s="239">
        <v>600</v>
      </c>
      <c r="AH363" s="283">
        <v>425</v>
      </c>
      <c r="AI363" s="283">
        <v>300</v>
      </c>
      <c r="AJ363" s="236">
        <v>600</v>
      </c>
      <c r="AK363" s="283">
        <v>425</v>
      </c>
      <c r="AL363" s="283">
        <v>300</v>
      </c>
      <c r="BC363" s="1"/>
      <c r="BD363" s="1"/>
      <c r="BE363" s="1"/>
      <c r="BF363" s="1"/>
      <c r="BG363" s="1"/>
      <c r="BH363" s="1"/>
    </row>
    <row r="364" spans="1:60" ht="15" customHeight="1">
      <c r="B364" s="1037">
        <f>SUBTOTAL(3,$I$310:I364)</f>
        <v>40</v>
      </c>
      <c r="C364" s="627" t="e">
        <f>ПВХ_мембрана</f>
        <v>#N/A</v>
      </c>
      <c r="D364" s="627"/>
      <c r="E364" s="627"/>
      <c r="F364" s="627"/>
      <c r="G364" s="627" t="str">
        <f>" "</f>
        <v xml:space="preserve"> </v>
      </c>
      <c r="H364" s="608">
        <v>1.1499999999999999</v>
      </c>
      <c r="I364" s="609">
        <f>IFERROR(ROUNDUP($Y$84*H364,0),0)</f>
        <v>0</v>
      </c>
      <c r="J364" s="1013" t="s">
        <v>112</v>
      </c>
      <c r="K364" s="610"/>
      <c r="L364" s="610">
        <f t="shared" si="71"/>
        <v>0</v>
      </c>
      <c r="N364" s="1032">
        <f t="shared" si="70"/>
        <v>0</v>
      </c>
      <c r="AD364" s="282">
        <v>610</v>
      </c>
      <c r="AE364" s="283">
        <v>425</v>
      </c>
      <c r="AF364" s="283">
        <v>300</v>
      </c>
      <c r="AG364" s="132">
        <v>610</v>
      </c>
      <c r="AH364" s="283">
        <v>425</v>
      </c>
      <c r="AI364" s="283">
        <v>300</v>
      </c>
      <c r="AJ364" s="131">
        <v>610</v>
      </c>
      <c r="AK364" s="283">
        <v>425</v>
      </c>
      <c r="AL364" s="283">
        <v>300</v>
      </c>
      <c r="BC364" s="1"/>
      <c r="BD364" s="1"/>
      <c r="BE364" s="1"/>
      <c r="BF364" s="1"/>
      <c r="BG364" s="1"/>
      <c r="BH364" s="1"/>
    </row>
    <row r="365" spans="1:60" ht="15" customHeight="1">
      <c r="B365" s="1037">
        <f>SUBTOTAL(3,$I$310:I365)</f>
        <v>41</v>
      </c>
      <c r="C365" s="632" t="s">
        <v>337</v>
      </c>
      <c r="D365" s="632"/>
      <c r="E365" s="632"/>
      <c r="F365" s="655">
        <f>$AG$84</f>
        <v>0</v>
      </c>
      <c r="G365" s="632" t="s">
        <v>150</v>
      </c>
      <c r="H365" s="608" t="str">
        <f>" "</f>
        <v xml:space="preserve"> </v>
      </c>
      <c r="I365" s="611">
        <f>IFERROR($AH$84,0)</f>
        <v>0</v>
      </c>
      <c r="J365" s="1013" t="s">
        <v>190</v>
      </c>
      <c r="K365" s="610"/>
      <c r="L365" s="610">
        <f t="shared" si="71"/>
        <v>0</v>
      </c>
      <c r="N365" s="1032">
        <f t="shared" si="70"/>
        <v>0</v>
      </c>
      <c r="AD365" s="282">
        <v>620</v>
      </c>
      <c r="AE365" s="283">
        <v>425</v>
      </c>
      <c r="AF365" s="283">
        <v>300</v>
      </c>
      <c r="AG365" s="239">
        <v>620</v>
      </c>
      <c r="AH365" s="283">
        <v>425</v>
      </c>
      <c r="AI365" s="283">
        <v>300</v>
      </c>
      <c r="AJ365" s="236">
        <v>620</v>
      </c>
      <c r="AK365" s="283">
        <v>425</v>
      </c>
      <c r="AL365" s="283">
        <v>300</v>
      </c>
      <c r="BC365" s="1"/>
      <c r="BD365" s="1"/>
      <c r="BE365" s="1"/>
      <c r="BF365" s="1"/>
      <c r="BG365" s="1"/>
      <c r="BH365" s="1"/>
    </row>
    <row r="366" spans="1:60" ht="15" customHeight="1">
      <c r="B366" s="1037">
        <f>SUBTOTAL(3,$I$310:I366)</f>
        <v>42</v>
      </c>
      <c r="C366" s="627" t="s">
        <v>337</v>
      </c>
      <c r="D366" s="627"/>
      <c r="E366" s="627"/>
      <c r="F366" s="656">
        <f>$AK$84</f>
        <v>0</v>
      </c>
      <c r="G366" s="627" t="s">
        <v>150</v>
      </c>
      <c r="H366" s="608" t="str">
        <f>" "</f>
        <v xml:space="preserve"> </v>
      </c>
      <c r="I366" s="611">
        <f>IFERROR($AL$84,0)</f>
        <v>0</v>
      </c>
      <c r="J366" s="1013" t="s">
        <v>190</v>
      </c>
      <c r="K366" s="610"/>
      <c r="L366" s="610">
        <f t="shared" si="71"/>
        <v>0</v>
      </c>
      <c r="N366" s="1032">
        <f t="shared" si="70"/>
        <v>0</v>
      </c>
      <c r="AD366" s="282">
        <v>630</v>
      </c>
      <c r="AE366" s="283">
        <v>425</v>
      </c>
      <c r="AF366" s="283">
        <v>300</v>
      </c>
      <c r="AG366" s="132">
        <v>630</v>
      </c>
      <c r="AH366" s="283">
        <v>425</v>
      </c>
      <c r="AI366" s="283">
        <v>300</v>
      </c>
      <c r="AJ366" s="131">
        <v>630</v>
      </c>
      <c r="AK366" s="283">
        <v>425</v>
      </c>
      <c r="AL366" s="283">
        <v>300</v>
      </c>
      <c r="BC366" s="1"/>
      <c r="BD366" s="1"/>
      <c r="BE366" s="1"/>
      <c r="BF366" s="1"/>
      <c r="BG366" s="1"/>
      <c r="BH366" s="1"/>
    </row>
    <row r="367" spans="1:60" ht="15" customHeight="1">
      <c r="B367" s="1037">
        <f>SUBTOTAL(3,$I$310:I367)</f>
        <v>43</v>
      </c>
      <c r="C367" s="632" t="s">
        <v>268</v>
      </c>
      <c r="D367" s="632"/>
      <c r="E367" s="632"/>
      <c r="F367" s="655">
        <f>$AI$84</f>
        <v>0</v>
      </c>
      <c r="G367" s="632" t="s">
        <v>150</v>
      </c>
      <c r="H367" s="608" t="str">
        <f>" "</f>
        <v xml:space="preserve"> </v>
      </c>
      <c r="I367" s="611">
        <f>IFERROR($AJ$84,0)</f>
        <v>0</v>
      </c>
      <c r="J367" s="1013" t="s">
        <v>190</v>
      </c>
      <c r="K367" s="610"/>
      <c r="L367" s="610">
        <f t="shared" si="71"/>
        <v>0</v>
      </c>
      <c r="N367" s="1032">
        <f t="shared" si="70"/>
        <v>0</v>
      </c>
      <c r="AD367" s="282">
        <v>640</v>
      </c>
      <c r="AE367" s="283">
        <v>425</v>
      </c>
      <c r="AF367" s="283">
        <v>300</v>
      </c>
      <c r="AG367" s="239">
        <v>640</v>
      </c>
      <c r="AH367" s="283">
        <v>425</v>
      </c>
      <c r="AI367" s="283">
        <v>300</v>
      </c>
      <c r="AJ367" s="236">
        <v>640</v>
      </c>
      <c r="AK367" s="283">
        <v>425</v>
      </c>
      <c r="AL367" s="283">
        <v>300</v>
      </c>
      <c r="BC367" s="1"/>
      <c r="BD367" s="1"/>
      <c r="BE367" s="1"/>
      <c r="BF367" s="1"/>
      <c r="BG367" s="1"/>
      <c r="BH367" s="1"/>
    </row>
    <row r="368" spans="1:60" ht="15" customHeight="1">
      <c r="B368" s="1037">
        <f>SUBTOTAL(3,$I$310:I368)</f>
        <v>44</v>
      </c>
      <c r="C368" s="627">
        <f>$W$84</f>
        <v>0</v>
      </c>
      <c r="D368" s="627"/>
      <c r="E368" s="627"/>
      <c r="F368" s="656">
        <f>$V$84</f>
        <v>0</v>
      </c>
      <c r="G368" s="627" t="s">
        <v>150</v>
      </c>
      <c r="H368" s="608">
        <v>1.03</v>
      </c>
      <c r="I368" s="609">
        <f>$AF$84</f>
        <v>0</v>
      </c>
      <c r="J368" s="1013" t="s">
        <v>178</v>
      </c>
      <c r="K368" s="610"/>
      <c r="L368" s="610">
        <f t="shared" si="71"/>
        <v>0</v>
      </c>
      <c r="N368" s="1032">
        <f t="shared" si="70"/>
        <v>0</v>
      </c>
      <c r="AD368" s="282">
        <v>650</v>
      </c>
      <c r="AE368" s="283">
        <v>425</v>
      </c>
      <c r="AF368" s="283">
        <v>300</v>
      </c>
      <c r="AG368" s="132">
        <v>650</v>
      </c>
      <c r="AH368" s="283">
        <v>425</v>
      </c>
      <c r="AI368" s="283">
        <v>300</v>
      </c>
      <c r="AJ368" s="131">
        <v>650</v>
      </c>
      <c r="AK368" s="283">
        <v>425</v>
      </c>
      <c r="AL368" s="283">
        <v>300</v>
      </c>
      <c r="BC368" s="1"/>
      <c r="BD368" s="1"/>
      <c r="BE368" s="1"/>
      <c r="BF368" s="1"/>
      <c r="BG368" s="1"/>
      <c r="BH368" s="1"/>
    </row>
    <row r="369" spans="1:60" ht="30" customHeight="1">
      <c r="A369" s="158"/>
      <c r="B369" s="691"/>
      <c r="C369" s="1183" t="str">
        <f>CONCATENATE($P$85,$AE$9,$T$85,$AF$9)</f>
        <v>. Общая длина примыкания-  м.</v>
      </c>
      <c r="D369" s="1183"/>
      <c r="E369" s="1183"/>
      <c r="F369" s="1183"/>
      <c r="G369" s="1183"/>
      <c r="H369" s="1184"/>
      <c r="I369" s="1184"/>
      <c r="J369" s="1184"/>
      <c r="K369" s="1185"/>
      <c r="L369" s="684">
        <f>SUM(L370:L383)</f>
        <v>0</v>
      </c>
      <c r="N369" s="1032">
        <f>IF(SUM(I370:I383)&gt;0,1,0)</f>
        <v>0</v>
      </c>
      <c r="AD369" s="282">
        <v>660</v>
      </c>
      <c r="AE369" s="283">
        <v>425</v>
      </c>
      <c r="AF369" s="283">
        <v>300</v>
      </c>
      <c r="AG369" s="239">
        <v>660</v>
      </c>
      <c r="AH369" s="283">
        <v>425</v>
      </c>
      <c r="AI369" s="283">
        <v>300</v>
      </c>
      <c r="AJ369" s="236">
        <v>660</v>
      </c>
      <c r="AK369" s="283">
        <v>425</v>
      </c>
      <c r="AL369" s="283">
        <v>300</v>
      </c>
      <c r="BC369" s="1"/>
      <c r="BD369" s="1"/>
      <c r="BE369" s="1"/>
      <c r="BF369" s="1"/>
      <c r="BG369" s="1"/>
      <c r="BH369" s="1"/>
    </row>
    <row r="370" spans="1:60" ht="15" customHeight="1">
      <c r="B370" s="1037">
        <f>SUBTOTAL(3,$I$310:I370)</f>
        <v>45</v>
      </c>
      <c r="C370" s="627" t="s">
        <v>207</v>
      </c>
      <c r="D370" s="627"/>
      <c r="E370" s="627"/>
      <c r="F370" s="656"/>
      <c r="G370" s="627" t="str">
        <f t="shared" ref="G370:G376" si="72">" "</f>
        <v xml:space="preserve"> </v>
      </c>
      <c r="H370" s="608">
        <v>5</v>
      </c>
      <c r="I370" s="611">
        <f>IFERROR($AA$85*H370*1.03,0)</f>
        <v>0</v>
      </c>
      <c r="J370" s="1013" t="s">
        <v>151</v>
      </c>
      <c r="K370" s="610"/>
      <c r="L370" s="610">
        <f>IFERROR(I370*K370,0)</f>
        <v>0</v>
      </c>
      <c r="N370" s="1032">
        <f t="shared" ref="N370:N383" si="73">IF(I370&gt;0,1,0)</f>
        <v>0</v>
      </c>
      <c r="AD370" s="282">
        <v>670</v>
      </c>
      <c r="AE370" s="283" t="s">
        <v>6</v>
      </c>
      <c r="AF370" s="283" t="s">
        <v>6</v>
      </c>
      <c r="AG370" s="132">
        <v>670</v>
      </c>
      <c r="AH370" s="283" t="s">
        <v>6</v>
      </c>
      <c r="AI370" s="283" t="s">
        <v>6</v>
      </c>
      <c r="AJ370" s="131">
        <v>670</v>
      </c>
      <c r="AK370" s="283">
        <v>425</v>
      </c>
      <c r="AL370" s="283">
        <v>300</v>
      </c>
      <c r="BC370" s="1"/>
      <c r="BD370" s="1"/>
      <c r="BE370" s="1"/>
      <c r="BF370" s="1"/>
      <c r="BG370" s="1"/>
      <c r="BH370" s="1"/>
    </row>
    <row r="371" spans="1:60" ht="15" customHeight="1">
      <c r="B371" s="685"/>
      <c r="C371" s="627"/>
      <c r="D371" s="627"/>
      <c r="E371" s="627"/>
      <c r="F371" s="656"/>
      <c r="G371" s="627"/>
      <c r="H371" s="608"/>
      <c r="I371" s="611"/>
      <c r="J371" s="1013"/>
      <c r="K371" s="610"/>
      <c r="L371" s="610">
        <f>IFERROR(I371*K371,0)</f>
        <v>0</v>
      </c>
      <c r="N371" s="1032">
        <f t="shared" si="73"/>
        <v>0</v>
      </c>
      <c r="AD371" s="239">
        <v>680</v>
      </c>
      <c r="AE371" s="283" t="s">
        <v>6</v>
      </c>
      <c r="AF371" s="283" t="s">
        <v>6</v>
      </c>
      <c r="AG371" s="239">
        <v>680</v>
      </c>
      <c r="AH371" s="283" t="s">
        <v>6</v>
      </c>
      <c r="AI371" s="283" t="s">
        <v>6</v>
      </c>
      <c r="AJ371" s="236">
        <v>680</v>
      </c>
      <c r="AK371" s="283">
        <v>425</v>
      </c>
      <c r="AL371" s="283">
        <v>300</v>
      </c>
      <c r="BC371" s="1"/>
      <c r="BD371" s="1"/>
      <c r="BE371" s="1"/>
      <c r="BF371" s="1"/>
      <c r="BG371" s="1"/>
      <c r="BH371" s="1"/>
    </row>
    <row r="372" spans="1:60" ht="15" customHeight="1">
      <c r="B372" s="1037">
        <f>SUBTOTAL(3,$I$310:I372)</f>
        <v>46</v>
      </c>
      <c r="C372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72" s="627"/>
      <c r="E372" s="627"/>
      <c r="F372" s="656"/>
      <c r="G372" s="627" t="str">
        <f t="shared" si="72"/>
        <v xml:space="preserve"> </v>
      </c>
      <c r="H372" s="608">
        <v>1.03</v>
      </c>
      <c r="I372" s="614">
        <f>IFERROR(ROUNDUP($Z$85*H372,2),0)</f>
        <v>0</v>
      </c>
      <c r="J372" s="1013" t="s">
        <v>264</v>
      </c>
      <c r="K372" s="610"/>
      <c r="L372" s="610">
        <f t="shared" ref="L372:L383" si="74">IFERROR(I372*K372,0)</f>
        <v>0</v>
      </c>
      <c r="N372" s="1032">
        <f t="shared" si="73"/>
        <v>0</v>
      </c>
      <c r="AD372" s="282">
        <v>690</v>
      </c>
      <c r="AE372" s="283" t="s">
        <v>6</v>
      </c>
      <c r="AF372" s="283" t="s">
        <v>6</v>
      </c>
      <c r="AG372" s="132">
        <v>690</v>
      </c>
      <c r="AH372" s="283" t="s">
        <v>6</v>
      </c>
      <c r="AI372" s="283" t="s">
        <v>6</v>
      </c>
      <c r="AJ372" s="131">
        <v>690</v>
      </c>
      <c r="AK372" s="283" t="s">
        <v>6</v>
      </c>
      <c r="AL372" s="283" t="s">
        <v>6</v>
      </c>
      <c r="BC372" s="1"/>
      <c r="BD372" s="1"/>
      <c r="BE372" s="1"/>
      <c r="BF372" s="1"/>
      <c r="BG372" s="1"/>
      <c r="BH372" s="1"/>
    </row>
    <row r="373" spans="1:60" ht="15" customHeight="1">
      <c r="B373" s="1037">
        <f>SUBTOTAL(3,$I$310:I373)</f>
        <v>47</v>
      </c>
      <c r="C373" s="627" t="s">
        <v>559</v>
      </c>
      <c r="D373" s="627"/>
      <c r="E373" s="627"/>
      <c r="F373" s="656"/>
      <c r="G373" s="627" t="str">
        <f t="shared" si="72"/>
        <v xml:space="preserve"> </v>
      </c>
      <c r="H373" s="608">
        <v>5</v>
      </c>
      <c r="I373" s="611">
        <f>IFERROR($AC$85*H373*1.03,0)</f>
        <v>0</v>
      </c>
      <c r="J373" s="1013" t="s">
        <v>151</v>
      </c>
      <c r="K373" s="610"/>
      <c r="L373" s="610">
        <f t="shared" si="74"/>
        <v>0</v>
      </c>
      <c r="N373" s="1032">
        <f t="shared" si="73"/>
        <v>0</v>
      </c>
      <c r="AD373" s="282">
        <v>700</v>
      </c>
      <c r="AE373" s="283" t="s">
        <v>6</v>
      </c>
      <c r="AF373" s="283" t="s">
        <v>6</v>
      </c>
      <c r="AG373" s="282">
        <v>700</v>
      </c>
      <c r="AH373" s="283" t="s">
        <v>6</v>
      </c>
      <c r="AI373" s="283" t="s">
        <v>6</v>
      </c>
      <c r="AJ373" s="284">
        <v>700</v>
      </c>
      <c r="AK373" s="283" t="s">
        <v>6</v>
      </c>
      <c r="AL373" s="283" t="s">
        <v>6</v>
      </c>
    </row>
    <row r="374" spans="1:60" ht="15" customHeight="1">
      <c r="B374" s="1037">
        <f>SUBTOTAL(3,$I$310:I374)</f>
        <v>48</v>
      </c>
      <c r="C374" s="627" t="s">
        <v>189</v>
      </c>
      <c r="D374" s="627"/>
      <c r="E374" s="627"/>
      <c r="F374" s="656"/>
      <c r="G374" s="627" t="str">
        <f t="shared" si="72"/>
        <v xml:space="preserve"> </v>
      </c>
      <c r="H374" s="608">
        <v>5</v>
      </c>
      <c r="I374" s="611">
        <f>IFERROR($AE$85,0)</f>
        <v>0</v>
      </c>
      <c r="J374" s="1013" t="s">
        <v>151</v>
      </c>
      <c r="K374" s="610"/>
      <c r="L374" s="610">
        <f t="shared" si="74"/>
        <v>0</v>
      </c>
      <c r="N374" s="1032">
        <f t="shared" si="73"/>
        <v>0</v>
      </c>
    </row>
    <row r="375" spans="1:60" ht="15" customHeight="1">
      <c r="B375" s="1037">
        <f>SUBTOTAL(3,$I$310:I375)</f>
        <v>49</v>
      </c>
      <c r="C375" s="627" t="s">
        <v>1459</v>
      </c>
      <c r="D375" s="627"/>
      <c r="E375" s="627"/>
      <c r="F375" s="656"/>
      <c r="G375" s="627" t="str">
        <f t="shared" si="72"/>
        <v xml:space="preserve"> </v>
      </c>
      <c r="H375" s="608">
        <v>5</v>
      </c>
      <c r="I375" s="611">
        <f>IFERROR($AD$85*H375*1.03,0)</f>
        <v>0</v>
      </c>
      <c r="J375" s="1013" t="s">
        <v>151</v>
      </c>
      <c r="K375" s="610"/>
      <c r="L375" s="610">
        <f t="shared" si="74"/>
        <v>0</v>
      </c>
      <c r="N375" s="1032">
        <f t="shared" si="73"/>
        <v>0</v>
      </c>
    </row>
    <row r="376" spans="1:60" ht="15" customHeight="1">
      <c r="B376" s="1037">
        <f>SUBTOTAL(3,$I$310:I376)</f>
        <v>50</v>
      </c>
      <c r="C376" s="627" t="s">
        <v>192</v>
      </c>
      <c r="D376" s="627"/>
      <c r="E376" s="627"/>
      <c r="F376" s="656"/>
      <c r="G376" s="627" t="str">
        <f t="shared" si="72"/>
        <v xml:space="preserve"> </v>
      </c>
      <c r="H376" s="608">
        <v>1.1000000000000001</v>
      </c>
      <c r="I376" s="609">
        <f>IFERROR(ROUNDUP($AB$85*H376,0),0)</f>
        <v>0</v>
      </c>
      <c r="J376" s="1013" t="s">
        <v>112</v>
      </c>
      <c r="K376" s="610"/>
      <c r="L376" s="610">
        <f t="shared" si="74"/>
        <v>0</v>
      </c>
      <c r="N376" s="1032">
        <f t="shared" si="73"/>
        <v>0</v>
      </c>
    </row>
    <row r="377" spans="1:60" ht="15" customHeight="1">
      <c r="B377" s="685"/>
      <c r="C377" s="627"/>
      <c r="D377" s="627"/>
      <c r="E377" s="627"/>
      <c r="F377" s="656"/>
      <c r="G377" s="627"/>
      <c r="H377" s="608"/>
      <c r="I377" s="611"/>
      <c r="J377" s="1013"/>
      <c r="K377" s="610"/>
      <c r="L377" s="610">
        <f t="shared" si="74"/>
        <v>0</v>
      </c>
      <c r="N377" s="1032">
        <f t="shared" si="73"/>
        <v>0</v>
      </c>
    </row>
    <row r="378" spans="1:60" ht="15" customHeight="1">
      <c r="B378" s="685"/>
      <c r="C378" s="627"/>
      <c r="D378" s="627"/>
      <c r="E378" s="627"/>
      <c r="F378" s="656"/>
      <c r="G378" s="627"/>
      <c r="H378" s="608"/>
      <c r="I378" s="611"/>
      <c r="J378" s="1013"/>
      <c r="K378" s="610"/>
      <c r="L378" s="610">
        <f t="shared" si="74"/>
        <v>0</v>
      </c>
      <c r="N378" s="1032">
        <f t="shared" si="73"/>
        <v>0</v>
      </c>
      <c r="AD378" s="1187" t="s">
        <v>941</v>
      </c>
      <c r="AE378" s="1187"/>
      <c r="AF378" s="1187"/>
      <c r="AG378" s="1187"/>
      <c r="AH378" s="1187"/>
      <c r="AI378" s="1187"/>
      <c r="AJ378" s="1187"/>
      <c r="AK378" s="1187"/>
      <c r="AL378" s="1187"/>
    </row>
    <row r="379" spans="1:60" ht="15" customHeight="1">
      <c r="B379" s="1037">
        <f>SUBTOTAL(3,$I$310:I379)</f>
        <v>51</v>
      </c>
      <c r="C379" s="627" t="e">
        <f>ПВХ_мембрана</f>
        <v>#N/A</v>
      </c>
      <c r="D379" s="627"/>
      <c r="E379" s="627"/>
      <c r="F379" s="656"/>
      <c r="G379" s="627" t="str">
        <f>" "</f>
        <v xml:space="preserve"> </v>
      </c>
      <c r="H379" s="608">
        <v>1.1499999999999999</v>
      </c>
      <c r="I379" s="609">
        <f>IFERROR(ROUNDUP($Y$85*H379,0),0)</f>
        <v>0</v>
      </c>
      <c r="J379" s="1013" t="s">
        <v>112</v>
      </c>
      <c r="K379" s="610"/>
      <c r="L379" s="610">
        <f t="shared" si="74"/>
        <v>0</v>
      </c>
      <c r="N379" s="1032">
        <f t="shared" si="73"/>
        <v>0</v>
      </c>
      <c r="AD379" s="1188" t="s">
        <v>127</v>
      </c>
      <c r="AE379" s="1189"/>
      <c r="AF379" s="1190"/>
      <c r="AG379" s="1191" t="s">
        <v>127</v>
      </c>
      <c r="AH379" s="1192"/>
      <c r="AI379" s="1193"/>
      <c r="AJ379" s="1191" t="s">
        <v>136</v>
      </c>
      <c r="AK379" s="1192"/>
      <c r="AL379" s="1193"/>
    </row>
    <row r="380" spans="1:60" ht="15" customHeight="1">
      <c r="B380" s="1037">
        <f>SUBTOTAL(3,$I$310:I380)</f>
        <v>52</v>
      </c>
      <c r="C380" s="627" t="s">
        <v>337</v>
      </c>
      <c r="D380" s="627"/>
      <c r="E380" s="627"/>
      <c r="F380" s="656">
        <f>$AG$85</f>
        <v>0</v>
      </c>
      <c r="G380" s="627" t="s">
        <v>150</v>
      </c>
      <c r="H380" s="608" t="str">
        <f>" "</f>
        <v xml:space="preserve"> </v>
      </c>
      <c r="I380" s="611">
        <f>IFERROR($AH$85,0)</f>
        <v>0</v>
      </c>
      <c r="J380" s="1013" t="s">
        <v>190</v>
      </c>
      <c r="K380" s="610"/>
      <c r="L380" s="610">
        <f t="shared" si="74"/>
        <v>0</v>
      </c>
      <c r="N380" s="1032">
        <f t="shared" si="73"/>
        <v>0</v>
      </c>
      <c r="AD380" s="393" t="s">
        <v>167</v>
      </c>
      <c r="AE380" s="394" t="s">
        <v>168</v>
      </c>
      <c r="AF380" s="394" t="s">
        <v>506</v>
      </c>
      <c r="AG380" s="393" t="s">
        <v>167</v>
      </c>
      <c r="AH380" s="394" t="s">
        <v>168</v>
      </c>
      <c r="AI380" s="394" t="s">
        <v>507</v>
      </c>
      <c r="AJ380" s="393" t="s">
        <v>170</v>
      </c>
      <c r="AK380" s="818" t="s">
        <v>168</v>
      </c>
      <c r="AL380" s="818" t="s">
        <v>169</v>
      </c>
    </row>
    <row r="381" spans="1:60" ht="15" customHeight="1">
      <c r="B381" s="1037">
        <f>SUBTOTAL(3,$I$310:I381)</f>
        <v>53</v>
      </c>
      <c r="C381" s="627" t="s">
        <v>337</v>
      </c>
      <c r="D381" s="627"/>
      <c r="E381" s="627"/>
      <c r="F381" s="656">
        <f>$AK$85</f>
        <v>0</v>
      </c>
      <c r="G381" s="627" t="s">
        <v>150</v>
      </c>
      <c r="H381" s="608" t="str">
        <f>" "</f>
        <v xml:space="preserve"> </v>
      </c>
      <c r="I381" s="611">
        <f>IFERROR($AL$85,0)</f>
        <v>0</v>
      </c>
      <c r="J381" s="1013" t="s">
        <v>190</v>
      </c>
      <c r="K381" s="610"/>
      <c r="L381" s="610">
        <f t="shared" si="74"/>
        <v>0</v>
      </c>
      <c r="N381" s="1032">
        <f t="shared" si="73"/>
        <v>0</v>
      </c>
      <c r="AD381" s="395">
        <v>0</v>
      </c>
      <c r="AE381" s="283" t="s">
        <v>155</v>
      </c>
      <c r="AF381" s="283">
        <v>80</v>
      </c>
      <c r="AG381" s="282">
        <v>0</v>
      </c>
      <c r="AH381" s="895" t="s">
        <v>155</v>
      </c>
      <c r="AI381" s="895">
        <v>50</v>
      </c>
      <c r="AJ381" s="896">
        <v>0</v>
      </c>
      <c r="AK381" s="895" t="s">
        <v>155</v>
      </c>
      <c r="AL381" s="895">
        <v>70</v>
      </c>
    </row>
    <row r="382" spans="1:60" ht="15" customHeight="1">
      <c r="B382" s="1037">
        <f>SUBTOTAL(3,$I$310:I382)</f>
        <v>54</v>
      </c>
      <c r="C382" s="627" t="s">
        <v>268</v>
      </c>
      <c r="D382" s="627"/>
      <c r="E382" s="627"/>
      <c r="F382" s="656">
        <f>$AI$85</f>
        <v>0</v>
      </c>
      <c r="G382" s="627" t="s">
        <v>150</v>
      </c>
      <c r="H382" s="608" t="str">
        <f>" "</f>
        <v xml:space="preserve"> </v>
      </c>
      <c r="I382" s="611">
        <f>IFERROR($AJ$85,0)</f>
        <v>0</v>
      </c>
      <c r="J382" s="1013" t="s">
        <v>190</v>
      </c>
      <c r="K382" s="610"/>
      <c r="L382" s="610">
        <f t="shared" si="74"/>
        <v>0</v>
      </c>
      <c r="N382" s="1032">
        <f t="shared" si="73"/>
        <v>0</v>
      </c>
      <c r="AD382" s="395">
        <v>10</v>
      </c>
      <c r="AE382" s="283" t="s">
        <v>155</v>
      </c>
      <c r="AF382" s="283">
        <v>80</v>
      </c>
      <c r="AG382" s="282">
        <v>10</v>
      </c>
      <c r="AH382" s="895" t="s">
        <v>155</v>
      </c>
      <c r="AI382" s="895">
        <v>60</v>
      </c>
      <c r="AJ382" s="896">
        <v>10</v>
      </c>
      <c r="AK382" s="895" t="s">
        <v>155</v>
      </c>
      <c r="AL382" s="895">
        <v>70</v>
      </c>
    </row>
    <row r="383" spans="1:60" ht="15" customHeight="1">
      <c r="B383" s="1037">
        <f>SUBTOTAL(3,$I$310:I383)</f>
        <v>55</v>
      </c>
      <c r="C383" s="627">
        <f>$W$85</f>
        <v>0</v>
      </c>
      <c r="D383" s="627"/>
      <c r="E383" s="627"/>
      <c r="F383" s="656">
        <f>$V$85</f>
        <v>0</v>
      </c>
      <c r="G383" s="627" t="s">
        <v>150</v>
      </c>
      <c r="H383" s="608">
        <v>1.03</v>
      </c>
      <c r="I383" s="609">
        <f>$AF$85</f>
        <v>0</v>
      </c>
      <c r="J383" s="1013" t="s">
        <v>178</v>
      </c>
      <c r="K383" s="610"/>
      <c r="L383" s="610">
        <f t="shared" si="74"/>
        <v>0</v>
      </c>
      <c r="N383" s="1032">
        <f t="shared" si="73"/>
        <v>0</v>
      </c>
      <c r="AD383" s="395">
        <v>20</v>
      </c>
      <c r="AE383" s="283" t="s">
        <v>155</v>
      </c>
      <c r="AF383" s="283">
        <v>80</v>
      </c>
      <c r="AG383" s="282">
        <v>20</v>
      </c>
      <c r="AH383" s="895" t="s">
        <v>155</v>
      </c>
      <c r="AI383" s="895">
        <v>70</v>
      </c>
      <c r="AJ383" s="896">
        <v>20</v>
      </c>
      <c r="AK383" s="895" t="s">
        <v>155</v>
      </c>
      <c r="AL383" s="895">
        <v>70</v>
      </c>
    </row>
    <row r="384" spans="1:60" ht="30" customHeight="1">
      <c r="A384" s="158"/>
      <c r="B384" s="691"/>
      <c r="C384" s="1183" t="str">
        <f>CONCATENATE($P$88,$AE$9,$T$88,$AF$9)</f>
        <v>. Общая длина примыкания-  м.</v>
      </c>
      <c r="D384" s="1183"/>
      <c r="E384" s="1183"/>
      <c r="F384" s="1183"/>
      <c r="G384" s="1183"/>
      <c r="H384" s="1184"/>
      <c r="I384" s="1184"/>
      <c r="J384" s="1184"/>
      <c r="K384" s="1185"/>
      <c r="L384" s="684">
        <f>SUM(L385:L398)</f>
        <v>0</v>
      </c>
      <c r="N384" s="1032">
        <f>IF(SUM(I385:I398)&gt;0,1,0)</f>
        <v>0</v>
      </c>
      <c r="AD384" s="395">
        <v>30</v>
      </c>
      <c r="AE384" s="283" t="s">
        <v>155</v>
      </c>
      <c r="AF384" s="283">
        <v>80</v>
      </c>
      <c r="AG384" s="282">
        <v>30</v>
      </c>
      <c r="AH384" s="895" t="s">
        <v>155</v>
      </c>
      <c r="AI384" s="895">
        <v>80</v>
      </c>
      <c r="AJ384" s="896">
        <v>30</v>
      </c>
      <c r="AK384" s="895" t="s">
        <v>155</v>
      </c>
      <c r="AL384" s="895">
        <v>70</v>
      </c>
    </row>
    <row r="385" spans="1:43" ht="15" customHeight="1">
      <c r="B385" s="1037">
        <f>SUBTOTAL(3,$I$310:I385)</f>
        <v>56</v>
      </c>
      <c r="C385" s="627" t="s">
        <v>207</v>
      </c>
      <c r="D385" s="627"/>
      <c r="E385" s="627"/>
      <c r="F385" s="656"/>
      <c r="G385" s="627" t="str">
        <f t="shared" ref="G385:G391" si="75">" "</f>
        <v xml:space="preserve"> </v>
      </c>
      <c r="H385" s="608">
        <v>5</v>
      </c>
      <c r="I385" s="611">
        <f>IFERROR($AA$88*H385*1.03,0)</f>
        <v>0</v>
      </c>
      <c r="J385" s="1013" t="s">
        <v>151</v>
      </c>
      <c r="K385" s="610"/>
      <c r="L385" s="610">
        <f>IFERROR(I385*K385,0)</f>
        <v>0</v>
      </c>
      <c r="N385" s="1032">
        <f t="shared" ref="N385:N398" si="76">IF(I385&gt;0,1,0)</f>
        <v>0</v>
      </c>
      <c r="AD385" s="395">
        <v>40</v>
      </c>
      <c r="AE385" s="283">
        <v>20</v>
      </c>
      <c r="AF385" s="815">
        <v>90</v>
      </c>
      <c r="AG385" s="282">
        <v>40</v>
      </c>
      <c r="AH385" s="895" t="s">
        <v>155</v>
      </c>
      <c r="AI385" s="895">
        <v>120</v>
      </c>
      <c r="AJ385" s="896">
        <v>40</v>
      </c>
      <c r="AK385" s="895" t="s">
        <v>155</v>
      </c>
      <c r="AL385" s="895">
        <v>100</v>
      </c>
    </row>
    <row r="386" spans="1:43" ht="15" customHeight="1">
      <c r="B386" s="685"/>
      <c r="C386" s="627"/>
      <c r="D386" s="627"/>
      <c r="E386" s="627"/>
      <c r="F386" s="656"/>
      <c r="G386" s="627"/>
      <c r="H386" s="608"/>
      <c r="I386" s="611"/>
      <c r="J386" s="1013"/>
      <c r="K386" s="610"/>
      <c r="L386" s="610">
        <f>IFERROR(I386*K386,0)</f>
        <v>0</v>
      </c>
      <c r="N386" s="1032">
        <f t="shared" si="76"/>
        <v>0</v>
      </c>
      <c r="AD386" s="395">
        <v>50</v>
      </c>
      <c r="AE386" s="283">
        <v>20</v>
      </c>
      <c r="AF386" s="815">
        <v>110</v>
      </c>
      <c r="AG386" s="282">
        <v>50</v>
      </c>
      <c r="AH386" s="895" t="s">
        <v>155</v>
      </c>
      <c r="AI386" s="895">
        <v>160</v>
      </c>
      <c r="AJ386" s="896">
        <v>50</v>
      </c>
      <c r="AK386" s="895" t="s">
        <v>155</v>
      </c>
      <c r="AL386" s="895">
        <v>120</v>
      </c>
    </row>
    <row r="387" spans="1:43" ht="15" customHeight="1">
      <c r="B387" s="1037">
        <f>SUBTOTAL(3,$I$310:I387)</f>
        <v>57</v>
      </c>
      <c r="C387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387" s="627"/>
      <c r="E387" s="627"/>
      <c r="F387" s="656"/>
      <c r="G387" s="627" t="str">
        <f t="shared" si="75"/>
        <v xml:space="preserve"> </v>
      </c>
      <c r="H387" s="608">
        <v>1.03</v>
      </c>
      <c r="I387" s="614">
        <f>IFERROR(ROUNDUP($Z$88*H387,2),0)</f>
        <v>0</v>
      </c>
      <c r="J387" s="1013" t="s">
        <v>264</v>
      </c>
      <c r="K387" s="610"/>
      <c r="L387" s="610">
        <f t="shared" ref="L387:L398" si="77">IFERROR(I387*K387,0)</f>
        <v>0</v>
      </c>
      <c r="N387" s="1032">
        <f t="shared" si="76"/>
        <v>0</v>
      </c>
      <c r="AD387" s="395">
        <v>60</v>
      </c>
      <c r="AE387" s="283">
        <v>20</v>
      </c>
      <c r="AF387" s="283">
        <v>110</v>
      </c>
      <c r="AG387" s="282">
        <v>60</v>
      </c>
      <c r="AH387" s="895">
        <v>20</v>
      </c>
      <c r="AI387" s="895">
        <v>120</v>
      </c>
      <c r="AJ387" s="896">
        <v>60</v>
      </c>
      <c r="AK387" s="895">
        <v>20</v>
      </c>
      <c r="AL387" s="895">
        <v>100</v>
      </c>
      <c r="AN387" s="901">
        <v>20</v>
      </c>
      <c r="AO387" s="902">
        <v>100</v>
      </c>
      <c r="AP387" s="1011">
        <f>AK387-AN387</f>
        <v>0</v>
      </c>
      <c r="AQ387" s="1011">
        <f>AL387-AO387</f>
        <v>0</v>
      </c>
    </row>
    <row r="388" spans="1:43" ht="15" customHeight="1">
      <c r="B388" s="1037">
        <f>SUBTOTAL(3,$I$310:I388)</f>
        <v>58</v>
      </c>
      <c r="C388" s="627" t="s">
        <v>559</v>
      </c>
      <c r="D388" s="627"/>
      <c r="E388" s="627"/>
      <c r="F388" s="656"/>
      <c r="G388" s="627" t="str">
        <f t="shared" si="75"/>
        <v xml:space="preserve"> </v>
      </c>
      <c r="H388" s="608">
        <v>5</v>
      </c>
      <c r="I388" s="611">
        <f>IFERROR($AC$88*H388*1.03,0)</f>
        <v>0</v>
      </c>
      <c r="J388" s="1013" t="s">
        <v>151</v>
      </c>
      <c r="K388" s="610"/>
      <c r="L388" s="610">
        <f t="shared" si="77"/>
        <v>0</v>
      </c>
      <c r="N388" s="1032">
        <f t="shared" si="76"/>
        <v>0</v>
      </c>
      <c r="AD388" s="395">
        <v>70</v>
      </c>
      <c r="AE388" s="815">
        <v>50</v>
      </c>
      <c r="AF388" s="283">
        <v>110</v>
      </c>
      <c r="AG388" s="282">
        <v>70</v>
      </c>
      <c r="AH388" s="895">
        <v>20</v>
      </c>
      <c r="AI388" s="895">
        <v>160</v>
      </c>
      <c r="AJ388" s="896">
        <v>70</v>
      </c>
      <c r="AK388" s="895">
        <v>20</v>
      </c>
      <c r="AL388" s="895">
        <v>120</v>
      </c>
      <c r="AN388" s="901">
        <v>20</v>
      </c>
      <c r="AO388" s="902">
        <v>120</v>
      </c>
      <c r="AP388" s="1011">
        <f t="shared" ref="AP388:AQ431" si="78">AK388-AN388</f>
        <v>0</v>
      </c>
      <c r="AQ388" s="1011">
        <f t="shared" si="78"/>
        <v>0</v>
      </c>
    </row>
    <row r="389" spans="1:43" ht="15" customHeight="1">
      <c r="B389" s="1037">
        <f>SUBTOTAL(3,$I$310:I389)</f>
        <v>59</v>
      </c>
      <c r="C389" s="627" t="s">
        <v>189</v>
      </c>
      <c r="D389" s="627"/>
      <c r="E389" s="627"/>
      <c r="F389" s="656"/>
      <c r="G389" s="627" t="str">
        <f t="shared" si="75"/>
        <v xml:space="preserve"> </v>
      </c>
      <c r="H389" s="608">
        <v>5</v>
      </c>
      <c r="I389" s="611">
        <f>IFERROR($AE$88,0)</f>
        <v>0</v>
      </c>
      <c r="J389" s="1013" t="s">
        <v>151</v>
      </c>
      <c r="K389" s="610"/>
      <c r="L389" s="610">
        <f t="shared" si="77"/>
        <v>0</v>
      </c>
      <c r="N389" s="1032">
        <f t="shared" si="76"/>
        <v>0</v>
      </c>
      <c r="AD389" s="395">
        <v>80</v>
      </c>
      <c r="AE389" s="283">
        <v>50</v>
      </c>
      <c r="AF389" s="815">
        <v>110</v>
      </c>
      <c r="AG389" s="282">
        <v>80</v>
      </c>
      <c r="AH389" s="895">
        <v>20</v>
      </c>
      <c r="AI389" s="895">
        <v>160</v>
      </c>
      <c r="AJ389" s="896">
        <v>80</v>
      </c>
      <c r="AK389" s="895">
        <v>20</v>
      </c>
      <c r="AL389" s="895">
        <v>120</v>
      </c>
      <c r="AN389" s="901">
        <v>20</v>
      </c>
      <c r="AO389" s="902">
        <v>120</v>
      </c>
      <c r="AP389" s="1011">
        <f t="shared" si="78"/>
        <v>0</v>
      </c>
      <c r="AQ389" s="1011">
        <f t="shared" si="78"/>
        <v>0</v>
      </c>
    </row>
    <row r="390" spans="1:43" ht="15" customHeight="1">
      <c r="B390" s="1037">
        <f>SUBTOTAL(3,$I$310:I390)</f>
        <v>60</v>
      </c>
      <c r="C390" s="627" t="s">
        <v>1459</v>
      </c>
      <c r="D390" s="627"/>
      <c r="E390" s="627"/>
      <c r="F390" s="656"/>
      <c r="G390" s="627" t="str">
        <f t="shared" si="75"/>
        <v xml:space="preserve"> </v>
      </c>
      <c r="H390" s="608">
        <v>5</v>
      </c>
      <c r="I390" s="611">
        <f>IFERROR($AD$88*H390*1.03,0)</f>
        <v>0</v>
      </c>
      <c r="J390" s="1013" t="s">
        <v>151</v>
      </c>
      <c r="K390" s="610"/>
      <c r="L390" s="610">
        <f t="shared" si="77"/>
        <v>0</v>
      </c>
      <c r="N390" s="1032">
        <f t="shared" si="76"/>
        <v>0</v>
      </c>
      <c r="AD390" s="395">
        <v>90</v>
      </c>
      <c r="AE390" s="283">
        <v>50</v>
      </c>
      <c r="AF390" s="283">
        <v>110</v>
      </c>
      <c r="AG390" s="282">
        <v>90</v>
      </c>
      <c r="AH390" s="895">
        <v>50</v>
      </c>
      <c r="AI390" s="895">
        <v>120</v>
      </c>
      <c r="AJ390" s="896">
        <v>90</v>
      </c>
      <c r="AK390" s="895">
        <v>50</v>
      </c>
      <c r="AL390" s="895">
        <v>100</v>
      </c>
      <c r="AN390" s="901">
        <v>50</v>
      </c>
      <c r="AO390" s="902">
        <v>100</v>
      </c>
      <c r="AP390" s="1011">
        <f t="shared" si="78"/>
        <v>0</v>
      </c>
      <c r="AQ390" s="1011">
        <f t="shared" si="78"/>
        <v>0</v>
      </c>
    </row>
    <row r="391" spans="1:43" ht="15" customHeight="1">
      <c r="B391" s="1037">
        <f>SUBTOTAL(3,$I$310:I391)</f>
        <v>61</v>
      </c>
      <c r="C391" s="627" t="s">
        <v>192</v>
      </c>
      <c r="D391" s="627"/>
      <c r="E391" s="627"/>
      <c r="F391" s="656"/>
      <c r="G391" s="627" t="str">
        <f t="shared" si="75"/>
        <v xml:space="preserve"> </v>
      </c>
      <c r="H391" s="608">
        <v>1.1000000000000001</v>
      </c>
      <c r="I391" s="609">
        <f>IFERROR(ROUNDUP($AB$88*H391,0),0)</f>
        <v>0</v>
      </c>
      <c r="J391" s="1013" t="s">
        <v>112</v>
      </c>
      <c r="K391" s="610"/>
      <c r="L391" s="610">
        <f t="shared" si="77"/>
        <v>0</v>
      </c>
      <c r="N391" s="1032">
        <f t="shared" si="76"/>
        <v>0</v>
      </c>
      <c r="AD391" s="395">
        <v>100</v>
      </c>
      <c r="AE391" s="815">
        <v>80</v>
      </c>
      <c r="AF391" s="283">
        <v>110</v>
      </c>
      <c r="AG391" s="282">
        <v>100</v>
      </c>
      <c r="AH391" s="895">
        <v>50</v>
      </c>
      <c r="AI391" s="895">
        <v>160</v>
      </c>
      <c r="AJ391" s="896">
        <v>100</v>
      </c>
      <c r="AK391" s="895">
        <v>50</v>
      </c>
      <c r="AL391" s="895">
        <v>120</v>
      </c>
      <c r="AN391" s="901">
        <v>50</v>
      </c>
      <c r="AO391" s="902">
        <v>120</v>
      </c>
      <c r="AP391" s="1011">
        <f t="shared" si="78"/>
        <v>0</v>
      </c>
      <c r="AQ391" s="1011">
        <f t="shared" si="78"/>
        <v>0</v>
      </c>
    </row>
    <row r="392" spans="1:43" ht="15" customHeight="1">
      <c r="B392" s="685"/>
      <c r="C392" s="627"/>
      <c r="D392" s="627"/>
      <c r="E392" s="627"/>
      <c r="F392" s="656"/>
      <c r="G392" s="627"/>
      <c r="H392" s="608"/>
      <c r="I392" s="611"/>
      <c r="J392" s="1013"/>
      <c r="K392" s="610"/>
      <c r="L392" s="610">
        <f t="shared" si="77"/>
        <v>0</v>
      </c>
      <c r="N392" s="1032">
        <f t="shared" si="76"/>
        <v>0</v>
      </c>
      <c r="AD392" s="395">
        <v>110</v>
      </c>
      <c r="AE392" s="283">
        <v>80</v>
      </c>
      <c r="AF392" s="815">
        <v>110</v>
      </c>
      <c r="AG392" s="282">
        <v>110</v>
      </c>
      <c r="AH392" s="895">
        <v>50</v>
      </c>
      <c r="AI392" s="895">
        <v>160</v>
      </c>
      <c r="AJ392" s="896">
        <v>110</v>
      </c>
      <c r="AK392" s="895">
        <v>50</v>
      </c>
      <c r="AL392" s="895">
        <v>120</v>
      </c>
      <c r="AN392" s="901">
        <v>50</v>
      </c>
      <c r="AO392" s="902">
        <v>120</v>
      </c>
      <c r="AP392" s="1011">
        <f t="shared" si="78"/>
        <v>0</v>
      </c>
      <c r="AQ392" s="1011">
        <f t="shared" si="78"/>
        <v>0</v>
      </c>
    </row>
    <row r="393" spans="1:43" ht="15" customHeight="1">
      <c r="B393" s="685"/>
      <c r="C393" s="627"/>
      <c r="D393" s="627"/>
      <c r="E393" s="627"/>
      <c r="F393" s="656"/>
      <c r="G393" s="627"/>
      <c r="H393" s="608"/>
      <c r="I393" s="611"/>
      <c r="J393" s="1013"/>
      <c r="K393" s="610"/>
      <c r="L393" s="610">
        <f t="shared" si="77"/>
        <v>0</v>
      </c>
      <c r="N393" s="1032">
        <f t="shared" si="76"/>
        <v>0</v>
      </c>
      <c r="AD393" s="395">
        <v>120</v>
      </c>
      <c r="AE393" s="283">
        <v>80</v>
      </c>
      <c r="AF393" s="283">
        <v>110</v>
      </c>
      <c r="AG393" s="282">
        <v>120</v>
      </c>
      <c r="AH393" s="895">
        <v>80</v>
      </c>
      <c r="AI393" s="895">
        <v>120</v>
      </c>
      <c r="AJ393" s="896">
        <v>120</v>
      </c>
      <c r="AK393" s="895">
        <v>80</v>
      </c>
      <c r="AL393" s="895">
        <v>100</v>
      </c>
      <c r="AN393" s="901">
        <v>80</v>
      </c>
      <c r="AO393" s="902">
        <v>100</v>
      </c>
      <c r="AP393" s="1011">
        <f t="shared" si="78"/>
        <v>0</v>
      </c>
      <c r="AQ393" s="1011">
        <f t="shared" si="78"/>
        <v>0</v>
      </c>
    </row>
    <row r="394" spans="1:43" ht="15" customHeight="1">
      <c r="B394" s="1037">
        <f>SUBTOTAL(3,$I$310:I394)</f>
        <v>62</v>
      </c>
      <c r="C394" s="627" t="e">
        <f>ПВХ_мембрана</f>
        <v>#N/A</v>
      </c>
      <c r="D394" s="627"/>
      <c r="E394" s="627"/>
      <c r="F394" s="656"/>
      <c r="G394" s="627" t="str">
        <f>" "</f>
        <v xml:space="preserve"> </v>
      </c>
      <c r="H394" s="608">
        <v>1.1499999999999999</v>
      </c>
      <c r="I394" s="609">
        <f>IFERROR(ROUNDUP($Y$88*H394,0),0)</f>
        <v>0</v>
      </c>
      <c r="J394" s="1013" t="s">
        <v>112</v>
      </c>
      <c r="K394" s="610"/>
      <c r="L394" s="610">
        <f t="shared" si="77"/>
        <v>0</v>
      </c>
      <c r="N394" s="1032">
        <f t="shared" si="76"/>
        <v>0</v>
      </c>
      <c r="AD394" s="395">
        <v>130</v>
      </c>
      <c r="AE394" s="283">
        <v>100</v>
      </c>
      <c r="AF394" s="815">
        <v>110</v>
      </c>
      <c r="AG394" s="282">
        <v>130</v>
      </c>
      <c r="AH394" s="895">
        <v>80</v>
      </c>
      <c r="AI394" s="895">
        <v>160</v>
      </c>
      <c r="AJ394" s="896">
        <v>130</v>
      </c>
      <c r="AK394" s="895">
        <v>80</v>
      </c>
      <c r="AL394" s="895">
        <v>120</v>
      </c>
      <c r="AN394" s="901">
        <v>80</v>
      </c>
      <c r="AO394" s="902">
        <v>120</v>
      </c>
      <c r="AP394" s="1011">
        <f t="shared" si="78"/>
        <v>0</v>
      </c>
      <c r="AQ394" s="1011">
        <f t="shared" si="78"/>
        <v>0</v>
      </c>
    </row>
    <row r="395" spans="1:43" ht="15" customHeight="1">
      <c r="B395" s="1037">
        <f>SUBTOTAL(3,$I$310:I395)</f>
        <v>63</v>
      </c>
      <c r="C395" s="627" t="s">
        <v>337</v>
      </c>
      <c r="D395" s="627"/>
      <c r="E395" s="627"/>
      <c r="F395" s="656">
        <f>$AG$88</f>
        <v>0</v>
      </c>
      <c r="G395" s="627" t="s">
        <v>150</v>
      </c>
      <c r="H395" s="608" t="str">
        <f>" "</f>
        <v xml:space="preserve"> </v>
      </c>
      <c r="I395" s="611">
        <f>IFERROR($AH$88,0)</f>
        <v>0</v>
      </c>
      <c r="J395" s="1013" t="s">
        <v>190</v>
      </c>
      <c r="K395" s="610"/>
      <c r="L395" s="610">
        <f t="shared" si="77"/>
        <v>0</v>
      </c>
      <c r="N395" s="1032">
        <f t="shared" si="76"/>
        <v>0</v>
      </c>
      <c r="AD395" s="395">
        <v>140</v>
      </c>
      <c r="AE395" s="815">
        <v>100</v>
      </c>
      <c r="AF395" s="815">
        <v>110</v>
      </c>
      <c r="AG395" s="282">
        <v>140</v>
      </c>
      <c r="AH395" s="895">
        <v>100</v>
      </c>
      <c r="AI395" s="895">
        <v>120</v>
      </c>
      <c r="AJ395" s="896">
        <v>140</v>
      </c>
      <c r="AK395" s="895">
        <v>100</v>
      </c>
      <c r="AL395" s="895">
        <v>100</v>
      </c>
      <c r="AN395" s="901">
        <v>100</v>
      </c>
      <c r="AO395" s="902">
        <v>100</v>
      </c>
      <c r="AP395" s="1011">
        <f t="shared" si="78"/>
        <v>0</v>
      </c>
      <c r="AQ395" s="1011">
        <f t="shared" si="78"/>
        <v>0</v>
      </c>
    </row>
    <row r="396" spans="1:43" ht="15" customHeight="1">
      <c r="B396" s="1037">
        <f>SUBTOTAL(3,$I$310:I396)</f>
        <v>64</v>
      </c>
      <c r="C396" s="627" t="s">
        <v>337</v>
      </c>
      <c r="D396" s="627"/>
      <c r="E396" s="627"/>
      <c r="F396" s="656">
        <f>$AK$88</f>
        <v>0</v>
      </c>
      <c r="G396" s="627" t="s">
        <v>150</v>
      </c>
      <c r="H396" s="608" t="str">
        <f>" "</f>
        <v xml:space="preserve"> </v>
      </c>
      <c r="I396" s="611">
        <v>0</v>
      </c>
      <c r="J396" s="1013" t="s">
        <v>190</v>
      </c>
      <c r="K396" s="610"/>
      <c r="L396" s="610">
        <f t="shared" si="77"/>
        <v>0</v>
      </c>
      <c r="N396" s="1032">
        <f t="shared" si="76"/>
        <v>0</v>
      </c>
      <c r="AD396" s="395">
        <v>150</v>
      </c>
      <c r="AE396" s="815">
        <v>120</v>
      </c>
      <c r="AF396" s="815">
        <v>110</v>
      </c>
      <c r="AG396" s="282">
        <v>150</v>
      </c>
      <c r="AH396" s="895">
        <v>100</v>
      </c>
      <c r="AI396" s="895">
        <v>160</v>
      </c>
      <c r="AJ396" s="896">
        <v>150</v>
      </c>
      <c r="AK396" s="895">
        <v>100</v>
      </c>
      <c r="AL396" s="895">
        <v>120</v>
      </c>
      <c r="AN396" s="901">
        <v>100</v>
      </c>
      <c r="AO396" s="902">
        <v>120</v>
      </c>
      <c r="AP396" s="1011">
        <f t="shared" si="78"/>
        <v>0</v>
      </c>
      <c r="AQ396" s="1011">
        <f t="shared" si="78"/>
        <v>0</v>
      </c>
    </row>
    <row r="397" spans="1:43" ht="15" customHeight="1">
      <c r="B397" s="1037">
        <f>SUBTOTAL(3,$I$310:I397)</f>
        <v>65</v>
      </c>
      <c r="C397" s="627" t="s">
        <v>268</v>
      </c>
      <c r="D397" s="627"/>
      <c r="E397" s="627"/>
      <c r="F397" s="656">
        <f>$AI$88</f>
        <v>0</v>
      </c>
      <c r="G397" s="627" t="s">
        <v>150</v>
      </c>
      <c r="H397" s="608" t="str">
        <f>" "</f>
        <v xml:space="preserve"> </v>
      </c>
      <c r="I397" s="611">
        <f>IFERROR($AJ$88,0)</f>
        <v>0</v>
      </c>
      <c r="J397" s="1013" t="s">
        <v>190</v>
      </c>
      <c r="K397" s="610"/>
      <c r="L397" s="610">
        <f t="shared" si="77"/>
        <v>0</v>
      </c>
      <c r="N397" s="1032">
        <f t="shared" si="76"/>
        <v>0</v>
      </c>
      <c r="AD397" s="395">
        <v>160</v>
      </c>
      <c r="AE397" s="815">
        <v>120</v>
      </c>
      <c r="AF397" s="815">
        <v>110</v>
      </c>
      <c r="AG397" s="282">
        <v>160</v>
      </c>
      <c r="AH397" s="895">
        <v>120</v>
      </c>
      <c r="AI397" s="895">
        <v>120</v>
      </c>
      <c r="AJ397" s="896">
        <v>160</v>
      </c>
      <c r="AK397" s="895">
        <v>120</v>
      </c>
      <c r="AL397" s="895">
        <v>100</v>
      </c>
      <c r="AN397" s="901">
        <v>120</v>
      </c>
      <c r="AO397" s="902">
        <v>100</v>
      </c>
      <c r="AP397" s="1011">
        <f t="shared" si="78"/>
        <v>0</v>
      </c>
      <c r="AQ397" s="1011">
        <f t="shared" si="78"/>
        <v>0</v>
      </c>
    </row>
    <row r="398" spans="1:43" ht="15" customHeight="1">
      <c r="B398" s="1037">
        <f>SUBTOTAL(3,$I$310:I398)</f>
        <v>66</v>
      </c>
      <c r="C398" s="627">
        <f>$W$88</f>
        <v>0</v>
      </c>
      <c r="D398" s="627"/>
      <c r="E398" s="627"/>
      <c r="F398" s="656">
        <f>$V$88</f>
        <v>0</v>
      </c>
      <c r="G398" s="627" t="s">
        <v>150</v>
      </c>
      <c r="H398" s="608">
        <v>1.03</v>
      </c>
      <c r="I398" s="609">
        <f>$AF$88</f>
        <v>0</v>
      </c>
      <c r="J398" s="1013" t="s">
        <v>178</v>
      </c>
      <c r="K398" s="610"/>
      <c r="L398" s="610">
        <f t="shared" si="77"/>
        <v>0</v>
      </c>
      <c r="N398" s="1032">
        <f t="shared" si="76"/>
        <v>0</v>
      </c>
      <c r="AD398" s="395">
        <v>170</v>
      </c>
      <c r="AE398" s="815">
        <v>140</v>
      </c>
      <c r="AF398" s="815">
        <v>110</v>
      </c>
      <c r="AG398" s="282">
        <v>170</v>
      </c>
      <c r="AH398" s="895">
        <v>130</v>
      </c>
      <c r="AI398" s="895">
        <v>120</v>
      </c>
      <c r="AJ398" s="896">
        <v>170</v>
      </c>
      <c r="AK398" s="895">
        <v>130</v>
      </c>
      <c r="AL398" s="895">
        <v>100</v>
      </c>
      <c r="AN398" s="901">
        <v>130</v>
      </c>
      <c r="AO398" s="902">
        <v>100</v>
      </c>
      <c r="AP398" s="1011">
        <f t="shared" si="78"/>
        <v>0</v>
      </c>
      <c r="AQ398" s="1011">
        <f t="shared" si="78"/>
        <v>0</v>
      </c>
    </row>
    <row r="399" spans="1:43" ht="30" customHeight="1">
      <c r="A399" s="158"/>
      <c r="B399" s="691"/>
      <c r="C399" s="1183" t="str">
        <f>CONCATENATE($P$89,$AE$9,$T$89,$AF$9)</f>
        <v>. Общая длина примыкания-  м.</v>
      </c>
      <c r="D399" s="1183"/>
      <c r="E399" s="1183"/>
      <c r="F399" s="1183"/>
      <c r="G399" s="1183"/>
      <c r="H399" s="1184"/>
      <c r="I399" s="1184"/>
      <c r="J399" s="1184"/>
      <c r="K399" s="1185"/>
      <c r="L399" s="684">
        <f>SUM(L400:L413)</f>
        <v>0</v>
      </c>
      <c r="N399" s="1032">
        <f>IF(SUM(I400:I413)&gt;0,1,0)</f>
        <v>0</v>
      </c>
      <c r="AD399" s="395">
        <v>180</v>
      </c>
      <c r="AE399" s="815">
        <v>140</v>
      </c>
      <c r="AF399" s="815">
        <v>110</v>
      </c>
      <c r="AG399" s="282">
        <v>180</v>
      </c>
      <c r="AH399" s="895">
        <v>140</v>
      </c>
      <c r="AI399" s="895">
        <v>120</v>
      </c>
      <c r="AJ399" s="896">
        <v>180</v>
      </c>
      <c r="AK399" s="895">
        <v>140</v>
      </c>
      <c r="AL399" s="895">
        <v>100</v>
      </c>
      <c r="AN399" s="901">
        <v>140</v>
      </c>
      <c r="AO399" s="902">
        <v>100</v>
      </c>
      <c r="AP399" s="1011">
        <f t="shared" si="78"/>
        <v>0</v>
      </c>
      <c r="AQ399" s="1011">
        <f t="shared" si="78"/>
        <v>0</v>
      </c>
    </row>
    <row r="400" spans="1:43" ht="15" customHeight="1">
      <c r="B400" s="1037">
        <f>SUBTOTAL(3,$I$310:I400)</f>
        <v>67</v>
      </c>
      <c r="C400" s="627" t="s">
        <v>207</v>
      </c>
      <c r="D400" s="627"/>
      <c r="E400" s="627"/>
      <c r="F400" s="656"/>
      <c r="G400" s="627" t="str">
        <f t="shared" ref="G400:G406" si="79">" "</f>
        <v xml:space="preserve"> </v>
      </c>
      <c r="H400" s="608">
        <v>5</v>
      </c>
      <c r="I400" s="611">
        <f>IFERROR($AA$89*H400*1.03,0)</f>
        <v>0</v>
      </c>
      <c r="J400" s="1013" t="s">
        <v>151</v>
      </c>
      <c r="K400" s="610"/>
      <c r="L400" s="610">
        <f>IFERROR(I400*K400,0)</f>
        <v>0</v>
      </c>
      <c r="N400" s="1032">
        <f t="shared" ref="N400:N413" si="80">IF(I400&gt;0,1,0)</f>
        <v>0</v>
      </c>
      <c r="AD400" s="395">
        <v>190</v>
      </c>
      <c r="AE400" s="815">
        <v>150</v>
      </c>
      <c r="AF400" s="815">
        <v>110</v>
      </c>
      <c r="AG400" s="282">
        <v>190</v>
      </c>
      <c r="AH400" s="895">
        <v>150</v>
      </c>
      <c r="AI400" s="895">
        <v>120</v>
      </c>
      <c r="AJ400" s="896">
        <v>190</v>
      </c>
      <c r="AK400" s="895">
        <v>150</v>
      </c>
      <c r="AL400" s="895">
        <v>100</v>
      </c>
      <c r="AN400" s="901">
        <v>150</v>
      </c>
      <c r="AO400" s="902">
        <v>100</v>
      </c>
      <c r="AP400" s="1011">
        <f t="shared" si="78"/>
        <v>0</v>
      </c>
      <c r="AQ400" s="1011">
        <f t="shared" si="78"/>
        <v>0</v>
      </c>
    </row>
    <row r="401" spans="1:43" ht="15" customHeight="1">
      <c r="B401" s="685"/>
      <c r="C401" s="627"/>
      <c r="D401" s="627"/>
      <c r="E401" s="627"/>
      <c r="F401" s="656"/>
      <c r="G401" s="627"/>
      <c r="H401" s="608"/>
      <c r="I401" s="611"/>
      <c r="J401" s="1013"/>
      <c r="K401" s="610"/>
      <c r="L401" s="610">
        <f>IFERROR(I401*K401,0)</f>
        <v>0</v>
      </c>
      <c r="N401" s="1032">
        <f t="shared" si="80"/>
        <v>0</v>
      </c>
      <c r="AD401" s="395">
        <v>200</v>
      </c>
      <c r="AE401" s="815">
        <v>150</v>
      </c>
      <c r="AF401" s="283">
        <v>110</v>
      </c>
      <c r="AG401" s="282">
        <v>200</v>
      </c>
      <c r="AH401" s="895">
        <v>150</v>
      </c>
      <c r="AI401" s="895">
        <v>160</v>
      </c>
      <c r="AJ401" s="896">
        <v>200</v>
      </c>
      <c r="AK401" s="895">
        <v>150</v>
      </c>
      <c r="AL401" s="895">
        <v>120</v>
      </c>
      <c r="AN401" s="901">
        <v>150</v>
      </c>
      <c r="AO401" s="902">
        <v>120</v>
      </c>
      <c r="AP401" s="1011">
        <f t="shared" si="78"/>
        <v>0</v>
      </c>
      <c r="AQ401" s="1011">
        <f t="shared" si="78"/>
        <v>0</v>
      </c>
    </row>
    <row r="402" spans="1:43" ht="15" customHeight="1">
      <c r="B402" s="1037">
        <f>SUBTOTAL(3,$I$310:I402)</f>
        <v>68</v>
      </c>
      <c r="C402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02" s="627"/>
      <c r="E402" s="627"/>
      <c r="F402" s="656"/>
      <c r="G402" s="627" t="str">
        <f t="shared" si="79"/>
        <v xml:space="preserve"> </v>
      </c>
      <c r="H402" s="608">
        <v>1.03</v>
      </c>
      <c r="I402" s="614">
        <f>IFERROR(ROUNDUP($Z$89*H402,2),0)</f>
        <v>0</v>
      </c>
      <c r="J402" s="1013" t="s">
        <v>264</v>
      </c>
      <c r="K402" s="610"/>
      <c r="L402" s="610">
        <f t="shared" ref="L402:L413" si="81">IFERROR(I402*K402,0)</f>
        <v>0</v>
      </c>
      <c r="N402" s="1032">
        <f t="shared" si="80"/>
        <v>0</v>
      </c>
      <c r="AD402" s="395">
        <v>210</v>
      </c>
      <c r="AE402" s="815">
        <v>170</v>
      </c>
      <c r="AF402" s="815">
        <v>110</v>
      </c>
      <c r="AG402" s="282">
        <v>210</v>
      </c>
      <c r="AH402" s="895">
        <v>170</v>
      </c>
      <c r="AI402" s="895">
        <v>120</v>
      </c>
      <c r="AJ402" s="896">
        <v>210</v>
      </c>
      <c r="AK402" s="895">
        <v>170</v>
      </c>
      <c r="AL402" s="895">
        <v>100</v>
      </c>
      <c r="AN402" s="901">
        <v>170</v>
      </c>
      <c r="AO402" s="902">
        <v>100</v>
      </c>
      <c r="AP402" s="1011">
        <f t="shared" si="78"/>
        <v>0</v>
      </c>
      <c r="AQ402" s="1011">
        <f t="shared" si="78"/>
        <v>0</v>
      </c>
    </row>
    <row r="403" spans="1:43" ht="15" customHeight="1">
      <c r="B403" s="1037">
        <f>SUBTOTAL(3,$I$310:I403)</f>
        <v>69</v>
      </c>
      <c r="C403" s="627" t="s">
        <v>559</v>
      </c>
      <c r="D403" s="627"/>
      <c r="E403" s="627"/>
      <c r="F403" s="656"/>
      <c r="G403" s="627" t="str">
        <f t="shared" si="79"/>
        <v xml:space="preserve"> </v>
      </c>
      <c r="H403" s="608">
        <v>5</v>
      </c>
      <c r="I403" s="611">
        <f>IFERROR($AC$89*H403*1.03,0)</f>
        <v>0</v>
      </c>
      <c r="J403" s="1013" t="s">
        <v>151</v>
      </c>
      <c r="K403" s="610"/>
      <c r="L403" s="610">
        <f t="shared" si="81"/>
        <v>0</v>
      </c>
      <c r="N403" s="1032">
        <f t="shared" si="80"/>
        <v>0</v>
      </c>
      <c r="AD403" s="395">
        <v>220</v>
      </c>
      <c r="AE403" s="283">
        <v>180</v>
      </c>
      <c r="AF403" s="283">
        <v>110</v>
      </c>
      <c r="AG403" s="282">
        <v>220</v>
      </c>
      <c r="AH403" s="895">
        <v>180</v>
      </c>
      <c r="AI403" s="895">
        <v>120</v>
      </c>
      <c r="AJ403" s="896">
        <v>220</v>
      </c>
      <c r="AK403" s="895">
        <v>180</v>
      </c>
      <c r="AL403" s="895">
        <v>100</v>
      </c>
      <c r="AN403" s="901">
        <v>180</v>
      </c>
      <c r="AO403" s="902">
        <v>100</v>
      </c>
      <c r="AP403" s="1011">
        <f t="shared" si="78"/>
        <v>0</v>
      </c>
      <c r="AQ403" s="1011">
        <f t="shared" si="78"/>
        <v>0</v>
      </c>
    </row>
    <row r="404" spans="1:43" ht="15" customHeight="1">
      <c r="B404" s="1037">
        <f>SUBTOTAL(3,$I$310:I404)</f>
        <v>70</v>
      </c>
      <c r="C404" s="627" t="s">
        <v>189</v>
      </c>
      <c r="D404" s="627"/>
      <c r="E404" s="627"/>
      <c r="F404" s="656"/>
      <c r="G404" s="627" t="str">
        <f t="shared" si="79"/>
        <v xml:space="preserve"> </v>
      </c>
      <c r="H404" s="608">
        <v>5</v>
      </c>
      <c r="I404" s="611">
        <f>IFERROR($AE$89,0)</f>
        <v>0</v>
      </c>
      <c r="J404" s="1013" t="s">
        <v>151</v>
      </c>
      <c r="K404" s="610"/>
      <c r="L404" s="610">
        <f t="shared" si="81"/>
        <v>0</v>
      </c>
      <c r="N404" s="1032">
        <f t="shared" si="80"/>
        <v>0</v>
      </c>
      <c r="AD404" s="395">
        <v>230</v>
      </c>
      <c r="AE404" s="283">
        <v>180</v>
      </c>
      <c r="AF404" s="815">
        <v>110</v>
      </c>
      <c r="AG404" s="282">
        <v>230</v>
      </c>
      <c r="AH404" s="895">
        <v>180</v>
      </c>
      <c r="AI404" s="895">
        <v>160</v>
      </c>
      <c r="AJ404" s="896">
        <v>230</v>
      </c>
      <c r="AK404" s="895">
        <v>180</v>
      </c>
      <c r="AL404" s="895">
        <v>120</v>
      </c>
      <c r="AN404" s="901">
        <v>180</v>
      </c>
      <c r="AO404" s="902">
        <v>120</v>
      </c>
      <c r="AP404" s="1011">
        <f t="shared" si="78"/>
        <v>0</v>
      </c>
      <c r="AQ404" s="1011">
        <f t="shared" si="78"/>
        <v>0</v>
      </c>
    </row>
    <row r="405" spans="1:43" ht="15" customHeight="1">
      <c r="B405" s="1037">
        <f>SUBTOTAL(3,$I$310:I405)</f>
        <v>71</v>
      </c>
      <c r="C405" s="627" t="s">
        <v>1459</v>
      </c>
      <c r="D405" s="627"/>
      <c r="E405" s="627"/>
      <c r="F405" s="656"/>
      <c r="G405" s="627" t="str">
        <f t="shared" si="79"/>
        <v xml:space="preserve"> </v>
      </c>
      <c r="H405" s="608">
        <v>5</v>
      </c>
      <c r="I405" s="611">
        <f>IFERROR($AD$89*H405*1.03,0)</f>
        <v>0</v>
      </c>
      <c r="J405" s="1013" t="s">
        <v>151</v>
      </c>
      <c r="K405" s="610"/>
      <c r="L405" s="610">
        <f t="shared" si="81"/>
        <v>0</v>
      </c>
      <c r="N405" s="1032">
        <f t="shared" si="80"/>
        <v>0</v>
      </c>
      <c r="AD405" s="395">
        <v>240</v>
      </c>
      <c r="AE405" s="815">
        <v>180</v>
      </c>
      <c r="AF405" s="816">
        <v>160</v>
      </c>
      <c r="AG405" s="282">
        <v>240</v>
      </c>
      <c r="AH405" s="895">
        <v>200</v>
      </c>
      <c r="AI405" s="895">
        <v>120</v>
      </c>
      <c r="AJ405" s="896">
        <v>240</v>
      </c>
      <c r="AK405" s="895">
        <v>200</v>
      </c>
      <c r="AL405" s="895">
        <v>100</v>
      </c>
      <c r="AN405" s="901">
        <v>200</v>
      </c>
      <c r="AO405" s="902">
        <v>100</v>
      </c>
      <c r="AP405" s="1011">
        <f t="shared" si="78"/>
        <v>0</v>
      </c>
      <c r="AQ405" s="1011">
        <f t="shared" si="78"/>
        <v>0</v>
      </c>
    </row>
    <row r="406" spans="1:43" ht="15" customHeight="1">
      <c r="B406" s="1037">
        <f>SUBTOTAL(3,$I$310:I406)</f>
        <v>72</v>
      </c>
      <c r="C406" s="627" t="s">
        <v>192</v>
      </c>
      <c r="D406" s="627"/>
      <c r="E406" s="627"/>
      <c r="F406" s="656"/>
      <c r="G406" s="627" t="str">
        <f t="shared" si="79"/>
        <v xml:space="preserve"> </v>
      </c>
      <c r="H406" s="608">
        <v>1.1000000000000001</v>
      </c>
      <c r="I406" s="609">
        <f>IFERROR(ROUNDUP($AB$89*H406,0),0)</f>
        <v>0</v>
      </c>
      <c r="J406" s="1013" t="s">
        <v>112</v>
      </c>
      <c r="K406" s="610"/>
      <c r="L406" s="610">
        <f t="shared" si="81"/>
        <v>0</v>
      </c>
      <c r="N406" s="1032">
        <f t="shared" si="80"/>
        <v>0</v>
      </c>
      <c r="AD406" s="395">
        <v>250</v>
      </c>
      <c r="AE406" s="815">
        <v>200</v>
      </c>
      <c r="AF406" s="816">
        <v>120</v>
      </c>
      <c r="AG406" s="282">
        <v>250</v>
      </c>
      <c r="AH406" s="895">
        <v>200</v>
      </c>
      <c r="AI406" s="895">
        <v>160</v>
      </c>
      <c r="AJ406" s="896">
        <v>250</v>
      </c>
      <c r="AK406" s="895">
        <v>200</v>
      </c>
      <c r="AL406" s="895">
        <v>120</v>
      </c>
      <c r="AN406" s="901">
        <v>200</v>
      </c>
      <c r="AO406" s="902">
        <v>120</v>
      </c>
      <c r="AP406" s="1011">
        <f t="shared" si="78"/>
        <v>0</v>
      </c>
      <c r="AQ406" s="1011">
        <f t="shared" si="78"/>
        <v>0</v>
      </c>
    </row>
    <row r="407" spans="1:43" ht="15" customHeight="1">
      <c r="B407" s="685"/>
      <c r="C407" s="627"/>
      <c r="D407" s="627"/>
      <c r="E407" s="627"/>
      <c r="F407" s="656"/>
      <c r="G407" s="627"/>
      <c r="H407" s="608"/>
      <c r="I407" s="611"/>
      <c r="J407" s="1013"/>
      <c r="K407" s="610"/>
      <c r="L407" s="610">
        <f t="shared" si="81"/>
        <v>0</v>
      </c>
      <c r="N407" s="1032">
        <f t="shared" si="80"/>
        <v>0</v>
      </c>
      <c r="AD407" s="395">
        <v>260</v>
      </c>
      <c r="AE407" s="815">
        <v>200</v>
      </c>
      <c r="AF407" s="816">
        <v>160</v>
      </c>
      <c r="AG407" s="282">
        <v>260</v>
      </c>
      <c r="AH407" s="895">
        <v>220</v>
      </c>
      <c r="AI407" s="895">
        <v>120</v>
      </c>
      <c r="AJ407" s="896">
        <v>260</v>
      </c>
      <c r="AK407" s="895">
        <v>220</v>
      </c>
      <c r="AL407" s="895">
        <v>100</v>
      </c>
      <c r="AN407" s="901">
        <v>220</v>
      </c>
      <c r="AO407" s="902">
        <v>100</v>
      </c>
      <c r="AP407" s="1011">
        <f t="shared" si="78"/>
        <v>0</v>
      </c>
      <c r="AQ407" s="1011">
        <f t="shared" si="78"/>
        <v>0</v>
      </c>
    </row>
    <row r="408" spans="1:43" ht="15" customHeight="1">
      <c r="B408" s="685"/>
      <c r="C408" s="627"/>
      <c r="D408" s="627"/>
      <c r="E408" s="627"/>
      <c r="F408" s="656"/>
      <c r="G408" s="627"/>
      <c r="H408" s="608"/>
      <c r="I408" s="611"/>
      <c r="J408" s="1013"/>
      <c r="K408" s="610"/>
      <c r="L408" s="610">
        <f t="shared" si="81"/>
        <v>0</v>
      </c>
      <c r="N408" s="1032">
        <f t="shared" si="80"/>
        <v>0</v>
      </c>
      <c r="AD408" s="395">
        <v>270</v>
      </c>
      <c r="AE408" s="815">
        <v>220</v>
      </c>
      <c r="AF408" s="816">
        <v>120</v>
      </c>
      <c r="AG408" s="282">
        <v>270</v>
      </c>
      <c r="AH408" s="895">
        <v>220</v>
      </c>
      <c r="AI408" s="895">
        <v>160</v>
      </c>
      <c r="AJ408" s="896">
        <v>270</v>
      </c>
      <c r="AK408" s="895">
        <v>220</v>
      </c>
      <c r="AL408" s="895">
        <v>120</v>
      </c>
      <c r="AN408" s="901">
        <v>220</v>
      </c>
      <c r="AO408" s="902">
        <v>120</v>
      </c>
      <c r="AP408" s="1011">
        <f t="shared" si="78"/>
        <v>0</v>
      </c>
      <c r="AQ408" s="1011">
        <f t="shared" si="78"/>
        <v>0</v>
      </c>
    </row>
    <row r="409" spans="1:43" ht="15" customHeight="1">
      <c r="B409" s="1037">
        <f>SUBTOTAL(3,$I$310:I409)</f>
        <v>73</v>
      </c>
      <c r="C409" s="627" t="e">
        <f>ПВХ_мембрана</f>
        <v>#N/A</v>
      </c>
      <c r="D409" s="627"/>
      <c r="E409" s="627"/>
      <c r="F409" s="656"/>
      <c r="G409" s="627" t="str">
        <f>" "</f>
        <v xml:space="preserve"> </v>
      </c>
      <c r="H409" s="608">
        <v>1.1499999999999999</v>
      </c>
      <c r="I409" s="609">
        <f>IFERROR(ROUNDUP($Y$89*H409,0),0)</f>
        <v>0</v>
      </c>
      <c r="J409" s="1013" t="s">
        <v>112</v>
      </c>
      <c r="K409" s="610"/>
      <c r="L409" s="610">
        <f t="shared" si="81"/>
        <v>0</v>
      </c>
      <c r="N409" s="1032">
        <f t="shared" si="80"/>
        <v>0</v>
      </c>
      <c r="AD409" s="395">
        <v>280</v>
      </c>
      <c r="AE409" s="815">
        <v>220</v>
      </c>
      <c r="AF409" s="816">
        <v>160</v>
      </c>
      <c r="AG409" s="282">
        <v>280</v>
      </c>
      <c r="AH409" s="895">
        <v>240</v>
      </c>
      <c r="AI409" s="895">
        <v>120</v>
      </c>
      <c r="AJ409" s="896">
        <v>280</v>
      </c>
      <c r="AK409" s="895">
        <v>240</v>
      </c>
      <c r="AL409" s="895">
        <v>100</v>
      </c>
      <c r="AN409" s="901">
        <v>240</v>
      </c>
      <c r="AO409" s="902">
        <v>100</v>
      </c>
      <c r="AP409" s="1011">
        <f t="shared" si="78"/>
        <v>0</v>
      </c>
      <c r="AQ409" s="1011">
        <f t="shared" si="78"/>
        <v>0</v>
      </c>
    </row>
    <row r="410" spans="1:43" ht="15" customHeight="1">
      <c r="B410" s="1037">
        <f>SUBTOTAL(3,$I$310:I410)</f>
        <v>74</v>
      </c>
      <c r="C410" s="627" t="s">
        <v>337</v>
      </c>
      <c r="D410" s="627"/>
      <c r="E410" s="627"/>
      <c r="F410" s="656">
        <f>$AG$89</f>
        <v>0</v>
      </c>
      <c r="G410" s="627" t="s">
        <v>150</v>
      </c>
      <c r="H410" s="608" t="str">
        <f>" "</f>
        <v xml:space="preserve"> </v>
      </c>
      <c r="I410" s="611">
        <f>IFERROR($AH$89,0)</f>
        <v>0</v>
      </c>
      <c r="J410" s="1013" t="s">
        <v>190</v>
      </c>
      <c r="K410" s="610"/>
      <c r="L410" s="610">
        <f t="shared" si="81"/>
        <v>0</v>
      </c>
      <c r="N410" s="1032">
        <f t="shared" si="80"/>
        <v>0</v>
      </c>
      <c r="AD410" s="395">
        <v>290</v>
      </c>
      <c r="AE410" s="815">
        <v>220</v>
      </c>
      <c r="AF410" s="816">
        <v>160</v>
      </c>
      <c r="AG410" s="282">
        <v>290</v>
      </c>
      <c r="AH410" s="895">
        <v>240</v>
      </c>
      <c r="AI410" s="895">
        <v>160</v>
      </c>
      <c r="AJ410" s="896">
        <v>290</v>
      </c>
      <c r="AK410" s="895">
        <v>240</v>
      </c>
      <c r="AL410" s="895">
        <v>120</v>
      </c>
      <c r="AN410" s="901">
        <v>240</v>
      </c>
      <c r="AO410" s="902">
        <v>120</v>
      </c>
      <c r="AP410" s="1011">
        <f t="shared" si="78"/>
        <v>0</v>
      </c>
      <c r="AQ410" s="1011">
        <f t="shared" si="78"/>
        <v>0</v>
      </c>
    </row>
    <row r="411" spans="1:43" ht="15" customHeight="1">
      <c r="B411" s="1037">
        <f>SUBTOTAL(3,$I$310:I411)</f>
        <v>75</v>
      </c>
      <c r="C411" s="627" t="s">
        <v>337</v>
      </c>
      <c r="D411" s="627"/>
      <c r="E411" s="627"/>
      <c r="F411" s="656">
        <f>$AK$89</f>
        <v>0</v>
      </c>
      <c r="G411" s="627" t="s">
        <v>150</v>
      </c>
      <c r="H411" s="608" t="str">
        <f>" "</f>
        <v xml:space="preserve"> </v>
      </c>
      <c r="I411" s="611">
        <v>0</v>
      </c>
      <c r="J411" s="1013" t="s">
        <v>190</v>
      </c>
      <c r="K411" s="610"/>
      <c r="L411" s="610">
        <f t="shared" si="81"/>
        <v>0</v>
      </c>
      <c r="N411" s="1032">
        <f t="shared" si="80"/>
        <v>0</v>
      </c>
      <c r="AD411" s="395">
        <v>300</v>
      </c>
      <c r="AE411" s="815">
        <v>240</v>
      </c>
      <c r="AF411" s="816">
        <v>160</v>
      </c>
      <c r="AG411" s="282">
        <v>300</v>
      </c>
      <c r="AH411" s="895">
        <v>260</v>
      </c>
      <c r="AI411" s="895">
        <v>120</v>
      </c>
      <c r="AJ411" s="896">
        <v>300</v>
      </c>
      <c r="AK411" s="895">
        <v>260</v>
      </c>
      <c r="AL411" s="895">
        <v>100</v>
      </c>
      <c r="AN411" s="901">
        <v>260</v>
      </c>
      <c r="AO411" s="902">
        <v>100</v>
      </c>
      <c r="AP411" s="1011">
        <f t="shared" si="78"/>
        <v>0</v>
      </c>
      <c r="AQ411" s="1011">
        <f t="shared" si="78"/>
        <v>0</v>
      </c>
    </row>
    <row r="412" spans="1:43" ht="15" customHeight="1">
      <c r="B412" s="1037">
        <f>SUBTOTAL(3,$I$310:I412)</f>
        <v>76</v>
      </c>
      <c r="C412" s="627" t="s">
        <v>268</v>
      </c>
      <c r="D412" s="627"/>
      <c r="E412" s="627"/>
      <c r="F412" s="656">
        <f>$AI$89</f>
        <v>0</v>
      </c>
      <c r="G412" s="627" t="s">
        <v>150</v>
      </c>
      <c r="H412" s="608" t="str">
        <f>" "</f>
        <v xml:space="preserve"> </v>
      </c>
      <c r="I412" s="611">
        <f>IFERROR($AJ$89,0)</f>
        <v>0</v>
      </c>
      <c r="J412" s="1013" t="s">
        <v>190</v>
      </c>
      <c r="K412" s="610"/>
      <c r="L412" s="610">
        <f t="shared" si="81"/>
        <v>0</v>
      </c>
      <c r="N412" s="1032">
        <f t="shared" si="80"/>
        <v>0</v>
      </c>
      <c r="AD412" s="395">
        <v>310</v>
      </c>
      <c r="AE412" s="286">
        <v>170</v>
      </c>
      <c r="AF412" s="816">
        <v>240</v>
      </c>
      <c r="AG412" s="282">
        <v>310</v>
      </c>
      <c r="AH412" s="895">
        <v>260</v>
      </c>
      <c r="AI412" s="895">
        <v>160</v>
      </c>
      <c r="AJ412" s="896">
        <v>310</v>
      </c>
      <c r="AK412" s="895">
        <v>260</v>
      </c>
      <c r="AL412" s="895">
        <v>120</v>
      </c>
      <c r="AN412" s="901">
        <v>260</v>
      </c>
      <c r="AO412" s="902">
        <v>120</v>
      </c>
      <c r="AP412" s="1011">
        <f t="shared" si="78"/>
        <v>0</v>
      </c>
      <c r="AQ412" s="1011">
        <f t="shared" si="78"/>
        <v>0</v>
      </c>
    </row>
    <row r="413" spans="1:43" ht="15" customHeight="1">
      <c r="B413" s="1037">
        <f>SUBTOTAL(3,$I$310:I413)</f>
        <v>77</v>
      </c>
      <c r="C413" s="627">
        <f>$W$89</f>
        <v>0</v>
      </c>
      <c r="D413" s="627"/>
      <c r="E413" s="627"/>
      <c r="F413" s="656">
        <f>$V$89</f>
        <v>0</v>
      </c>
      <c r="G413" s="627" t="s">
        <v>150</v>
      </c>
      <c r="H413" s="608">
        <v>1.03</v>
      </c>
      <c r="I413" s="609">
        <f>$AF$89</f>
        <v>0</v>
      </c>
      <c r="J413" s="1013" t="s">
        <v>178</v>
      </c>
      <c r="K413" s="610"/>
      <c r="L413" s="610">
        <f t="shared" si="81"/>
        <v>0</v>
      </c>
      <c r="N413" s="1032">
        <f t="shared" si="80"/>
        <v>0</v>
      </c>
      <c r="AD413" s="395">
        <v>320</v>
      </c>
      <c r="AE413" s="286">
        <v>180</v>
      </c>
      <c r="AF413" s="816">
        <v>240</v>
      </c>
      <c r="AG413" s="282">
        <v>320</v>
      </c>
      <c r="AH413" s="895">
        <v>260</v>
      </c>
      <c r="AI413" s="895">
        <v>160</v>
      </c>
      <c r="AJ413" s="896">
        <v>320</v>
      </c>
      <c r="AK413" s="895">
        <v>260</v>
      </c>
      <c r="AL413" s="895">
        <v>120</v>
      </c>
      <c r="AN413" s="901">
        <v>260</v>
      </c>
      <c r="AO413" s="902">
        <v>120</v>
      </c>
      <c r="AP413" s="1011">
        <f t="shared" si="78"/>
        <v>0</v>
      </c>
      <c r="AQ413" s="1011">
        <f t="shared" si="78"/>
        <v>0</v>
      </c>
    </row>
    <row r="414" spans="1:43" ht="30" customHeight="1">
      <c r="A414" s="158"/>
      <c r="B414" s="691"/>
      <c r="C414" s="1183" t="str">
        <f>CONCATENATE($P$90,$AE$9,$T$90,$AF$9)</f>
        <v>. Общая длина примыкания-  м.</v>
      </c>
      <c r="D414" s="1183"/>
      <c r="E414" s="1183"/>
      <c r="F414" s="1183"/>
      <c r="G414" s="1183"/>
      <c r="H414" s="1184"/>
      <c r="I414" s="1184"/>
      <c r="J414" s="1184"/>
      <c r="K414" s="1185"/>
      <c r="L414" s="684">
        <f>SUM(L415:L428)</f>
        <v>0</v>
      </c>
      <c r="N414" s="1032">
        <f>IF(SUM(I415:I428)&gt;0,1,0)</f>
        <v>0</v>
      </c>
      <c r="AD414" s="395">
        <v>330</v>
      </c>
      <c r="AE414" s="286">
        <v>200</v>
      </c>
      <c r="AF414" s="286">
        <v>200</v>
      </c>
      <c r="AG414" s="282">
        <v>330</v>
      </c>
      <c r="AH414" s="895">
        <v>260</v>
      </c>
      <c r="AI414" s="895">
        <v>160</v>
      </c>
      <c r="AJ414" s="896">
        <v>330</v>
      </c>
      <c r="AK414" s="895">
        <v>260</v>
      </c>
      <c r="AL414" s="895">
        <v>160</v>
      </c>
      <c r="AN414" s="901">
        <v>260</v>
      </c>
      <c r="AO414" s="902">
        <v>160</v>
      </c>
      <c r="AP414" s="1011">
        <f t="shared" si="78"/>
        <v>0</v>
      </c>
      <c r="AQ414" s="1011">
        <f t="shared" si="78"/>
        <v>0</v>
      </c>
    </row>
    <row r="415" spans="1:43" ht="15" customHeight="1">
      <c r="B415" s="1037">
        <f>SUBTOTAL(3,$I$310:I415)</f>
        <v>78</v>
      </c>
      <c r="C415" s="627" t="s">
        <v>207</v>
      </c>
      <c r="D415" s="627"/>
      <c r="E415" s="627"/>
      <c r="F415" s="656"/>
      <c r="G415" s="627" t="str">
        <f t="shared" ref="G415:G421" si="82">" "</f>
        <v xml:space="preserve"> </v>
      </c>
      <c r="H415" s="608">
        <v>5</v>
      </c>
      <c r="I415" s="611">
        <f>IFERROR($AA$90*H415*1.03,0)</f>
        <v>0</v>
      </c>
      <c r="J415" s="1013" t="s">
        <v>151</v>
      </c>
      <c r="K415" s="610"/>
      <c r="L415" s="610">
        <f>IFERROR(I415*K415,0)</f>
        <v>0</v>
      </c>
      <c r="N415" s="1032">
        <f t="shared" ref="N415:N428" si="83">IF(I415&gt;0,1,0)</f>
        <v>0</v>
      </c>
      <c r="AD415" s="395">
        <v>340</v>
      </c>
      <c r="AE415" s="286">
        <v>200</v>
      </c>
      <c r="AF415" s="816">
        <v>240</v>
      </c>
      <c r="AG415" s="282">
        <v>340</v>
      </c>
      <c r="AH415" s="895">
        <v>300</v>
      </c>
      <c r="AI415" s="895">
        <v>120</v>
      </c>
      <c r="AJ415" s="896">
        <v>340</v>
      </c>
      <c r="AK415" s="895">
        <v>300</v>
      </c>
      <c r="AL415" s="895">
        <v>100</v>
      </c>
      <c r="AN415" s="901">
        <v>300</v>
      </c>
      <c r="AO415" s="902">
        <v>100</v>
      </c>
      <c r="AP415" s="1011">
        <f t="shared" si="78"/>
        <v>0</v>
      </c>
      <c r="AQ415" s="1011">
        <f t="shared" si="78"/>
        <v>0</v>
      </c>
    </row>
    <row r="416" spans="1:43" ht="15" customHeight="1">
      <c r="B416" s="685"/>
      <c r="C416" s="627"/>
      <c r="D416" s="627"/>
      <c r="E416" s="627"/>
      <c r="F416" s="656"/>
      <c r="G416" s="627"/>
      <c r="H416" s="608"/>
      <c r="I416" s="611"/>
      <c r="J416" s="1013"/>
      <c r="K416" s="610"/>
      <c r="L416" s="610">
        <f>IFERROR(I416*K416,0)</f>
        <v>0</v>
      </c>
      <c r="N416" s="1032">
        <f t="shared" si="83"/>
        <v>0</v>
      </c>
      <c r="AD416" s="395">
        <v>350</v>
      </c>
      <c r="AE416" s="286">
        <v>220</v>
      </c>
      <c r="AF416" s="286">
        <v>200</v>
      </c>
      <c r="AG416" s="282">
        <v>350</v>
      </c>
      <c r="AH416" s="895">
        <v>300</v>
      </c>
      <c r="AI416" s="895">
        <v>160</v>
      </c>
      <c r="AJ416" s="896">
        <v>350</v>
      </c>
      <c r="AK416" s="895">
        <v>300</v>
      </c>
      <c r="AL416" s="895">
        <v>120</v>
      </c>
      <c r="AN416" s="901">
        <v>300</v>
      </c>
      <c r="AO416" s="902">
        <v>120</v>
      </c>
      <c r="AP416" s="1011">
        <f t="shared" si="78"/>
        <v>0</v>
      </c>
      <c r="AQ416" s="1011">
        <f t="shared" si="78"/>
        <v>0</v>
      </c>
    </row>
    <row r="417" spans="1:43" ht="15" customHeight="1">
      <c r="B417" s="1037">
        <f>SUBTOTAL(3,$I$310:I417)</f>
        <v>79</v>
      </c>
      <c r="C417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17" s="627"/>
      <c r="E417" s="627"/>
      <c r="F417" s="656"/>
      <c r="G417" s="627" t="str">
        <f t="shared" si="82"/>
        <v xml:space="preserve"> </v>
      </c>
      <c r="H417" s="608">
        <v>1.03</v>
      </c>
      <c r="I417" s="614">
        <f>IFERROR(ROUNDUP($Z$90*H417,2),0)</f>
        <v>0</v>
      </c>
      <c r="J417" s="1013" t="s">
        <v>264</v>
      </c>
      <c r="K417" s="610"/>
      <c r="L417" s="610">
        <f t="shared" ref="L417:L428" si="84">IFERROR(I417*K417,0)</f>
        <v>0</v>
      </c>
      <c r="N417" s="1032">
        <f t="shared" si="83"/>
        <v>0</v>
      </c>
      <c r="AD417" s="395">
        <v>360</v>
      </c>
      <c r="AE417" s="855">
        <v>300</v>
      </c>
      <c r="AF417" s="855">
        <v>120</v>
      </c>
      <c r="AG417" s="282">
        <v>360</v>
      </c>
      <c r="AH417" s="895">
        <v>300</v>
      </c>
      <c r="AI417" s="895">
        <v>160</v>
      </c>
      <c r="AJ417" s="896">
        <v>360</v>
      </c>
      <c r="AK417" s="895">
        <v>300</v>
      </c>
      <c r="AL417" s="895">
        <v>120</v>
      </c>
      <c r="AN417" s="901">
        <v>300</v>
      </c>
      <c r="AO417" s="902">
        <v>120</v>
      </c>
      <c r="AP417" s="1011">
        <f t="shared" si="78"/>
        <v>0</v>
      </c>
      <c r="AQ417" s="1011">
        <f t="shared" si="78"/>
        <v>0</v>
      </c>
    </row>
    <row r="418" spans="1:43" ht="15" customHeight="1">
      <c r="B418" s="1037">
        <f>SUBTOTAL(3,$I$310:I418)</f>
        <v>80</v>
      </c>
      <c r="C418" s="627" t="s">
        <v>559</v>
      </c>
      <c r="D418" s="627"/>
      <c r="E418" s="627"/>
      <c r="F418" s="656"/>
      <c r="G418" s="627" t="str">
        <f t="shared" si="82"/>
        <v xml:space="preserve"> </v>
      </c>
      <c r="H418" s="608">
        <v>5</v>
      </c>
      <c r="I418" s="611">
        <f>IFERROR($AC$90*H418*1.03,0)</f>
        <v>0</v>
      </c>
      <c r="J418" s="1013" t="s">
        <v>151</v>
      </c>
      <c r="K418" s="610"/>
      <c r="L418" s="610">
        <f t="shared" si="84"/>
        <v>0</v>
      </c>
      <c r="N418" s="1032">
        <f t="shared" si="83"/>
        <v>0</v>
      </c>
      <c r="AD418" s="395">
        <v>370</v>
      </c>
      <c r="AE418" s="855">
        <v>300</v>
      </c>
      <c r="AF418" s="855">
        <v>160</v>
      </c>
      <c r="AG418" s="282">
        <v>370</v>
      </c>
      <c r="AH418" s="895">
        <v>300</v>
      </c>
      <c r="AI418" s="895">
        <v>160</v>
      </c>
      <c r="AJ418" s="896">
        <v>370</v>
      </c>
      <c r="AK418" s="895">
        <v>300</v>
      </c>
      <c r="AL418" s="895">
        <v>160</v>
      </c>
      <c r="AN418" s="901">
        <v>300</v>
      </c>
      <c r="AO418" s="902">
        <v>160</v>
      </c>
      <c r="AP418" s="1011">
        <f t="shared" si="78"/>
        <v>0</v>
      </c>
      <c r="AQ418" s="1011">
        <f t="shared" si="78"/>
        <v>0</v>
      </c>
    </row>
    <row r="419" spans="1:43" ht="15" customHeight="1">
      <c r="B419" s="1037">
        <f>SUBTOTAL(3,$I$310:I419)</f>
        <v>81</v>
      </c>
      <c r="C419" s="627" t="s">
        <v>189</v>
      </c>
      <c r="D419" s="627"/>
      <c r="E419" s="627"/>
      <c r="F419" s="656"/>
      <c r="G419" s="627" t="str">
        <f t="shared" si="82"/>
        <v xml:space="preserve"> </v>
      </c>
      <c r="H419" s="608">
        <v>5</v>
      </c>
      <c r="I419" s="611">
        <f>IFERROR($AE$90,0)</f>
        <v>0</v>
      </c>
      <c r="J419" s="1013" t="s">
        <v>151</v>
      </c>
      <c r="K419" s="610"/>
      <c r="L419" s="610">
        <f t="shared" si="84"/>
        <v>0</v>
      </c>
      <c r="N419" s="1032">
        <f t="shared" si="83"/>
        <v>0</v>
      </c>
      <c r="AD419" s="395">
        <v>380</v>
      </c>
      <c r="AE419" s="856">
        <v>300</v>
      </c>
      <c r="AF419" s="856">
        <v>160</v>
      </c>
      <c r="AG419" s="239">
        <v>380</v>
      </c>
      <c r="AH419" s="895">
        <v>300</v>
      </c>
      <c r="AI419" s="895">
        <v>160</v>
      </c>
      <c r="AJ419" s="896">
        <v>380</v>
      </c>
      <c r="AK419" s="895">
        <v>300</v>
      </c>
      <c r="AL419" s="895">
        <v>160</v>
      </c>
      <c r="AN419" s="901">
        <v>300</v>
      </c>
      <c r="AO419" s="902">
        <v>160</v>
      </c>
      <c r="AP419" s="1011">
        <f t="shared" si="78"/>
        <v>0</v>
      </c>
      <c r="AQ419" s="1011">
        <f t="shared" si="78"/>
        <v>0</v>
      </c>
    </row>
    <row r="420" spans="1:43" ht="15" customHeight="1">
      <c r="B420" s="1037">
        <f>SUBTOTAL(3,$I$310:I420)</f>
        <v>82</v>
      </c>
      <c r="C420" s="627" t="s">
        <v>1459</v>
      </c>
      <c r="D420" s="627"/>
      <c r="E420" s="627"/>
      <c r="F420" s="656"/>
      <c r="G420" s="627" t="str">
        <f t="shared" si="82"/>
        <v xml:space="preserve"> </v>
      </c>
      <c r="H420" s="608">
        <v>5</v>
      </c>
      <c r="I420" s="611">
        <f>IFERROR($AD$90*H420*1.03,0)</f>
        <v>0</v>
      </c>
      <c r="J420" s="1013" t="s">
        <v>151</v>
      </c>
      <c r="K420" s="610"/>
      <c r="L420" s="610">
        <f t="shared" si="84"/>
        <v>0</v>
      </c>
      <c r="N420" s="1032">
        <f t="shared" si="83"/>
        <v>0</v>
      </c>
      <c r="AD420" s="395">
        <v>390</v>
      </c>
      <c r="AE420" s="856">
        <v>300</v>
      </c>
      <c r="AF420" s="856">
        <v>160</v>
      </c>
      <c r="AG420" s="282">
        <v>390</v>
      </c>
      <c r="AH420" s="895">
        <v>350</v>
      </c>
      <c r="AI420" s="895">
        <v>120</v>
      </c>
      <c r="AJ420" s="896">
        <v>390</v>
      </c>
      <c r="AK420" s="895">
        <v>350</v>
      </c>
      <c r="AL420" s="895">
        <v>100</v>
      </c>
      <c r="AN420" s="901">
        <v>350</v>
      </c>
      <c r="AO420" s="902">
        <v>100</v>
      </c>
      <c r="AP420" s="1011">
        <f t="shared" si="78"/>
        <v>0</v>
      </c>
      <c r="AQ420" s="1011">
        <f t="shared" si="78"/>
        <v>0</v>
      </c>
    </row>
    <row r="421" spans="1:43" ht="15" customHeight="1">
      <c r="B421" s="1037">
        <f>SUBTOTAL(3,$I$310:I421)</f>
        <v>83</v>
      </c>
      <c r="C421" s="627" t="s">
        <v>192</v>
      </c>
      <c r="D421" s="627"/>
      <c r="E421" s="627"/>
      <c r="F421" s="656"/>
      <c r="G421" s="627" t="str">
        <f t="shared" si="82"/>
        <v xml:space="preserve"> </v>
      </c>
      <c r="H421" s="608">
        <v>1.1000000000000001</v>
      </c>
      <c r="I421" s="609">
        <f>IFERROR(ROUNDUP($AB$90*H421,0),0)</f>
        <v>0</v>
      </c>
      <c r="J421" s="1013" t="s">
        <v>112</v>
      </c>
      <c r="K421" s="610"/>
      <c r="L421" s="610">
        <f t="shared" si="84"/>
        <v>0</v>
      </c>
      <c r="N421" s="1032">
        <f t="shared" si="83"/>
        <v>0</v>
      </c>
      <c r="AD421" s="395">
        <v>400</v>
      </c>
      <c r="AE421" s="856">
        <v>300</v>
      </c>
      <c r="AF421" s="856">
        <v>160</v>
      </c>
      <c r="AG421" s="239">
        <v>400</v>
      </c>
      <c r="AH421" s="895">
        <v>350</v>
      </c>
      <c r="AI421" s="895">
        <v>160</v>
      </c>
      <c r="AJ421" s="896">
        <v>400</v>
      </c>
      <c r="AK421" s="895">
        <v>350</v>
      </c>
      <c r="AL421" s="895">
        <v>120</v>
      </c>
      <c r="AN421" s="901">
        <v>350</v>
      </c>
      <c r="AO421" s="902">
        <v>120</v>
      </c>
      <c r="AP421" s="1011">
        <f t="shared" si="78"/>
        <v>0</v>
      </c>
      <c r="AQ421" s="1011">
        <f t="shared" si="78"/>
        <v>0</v>
      </c>
    </row>
    <row r="422" spans="1:43" ht="15" customHeight="1">
      <c r="B422" s="685"/>
      <c r="C422" s="627"/>
      <c r="D422" s="627"/>
      <c r="E422" s="627"/>
      <c r="F422" s="656"/>
      <c r="G422" s="627"/>
      <c r="H422" s="608"/>
      <c r="I422" s="611"/>
      <c r="J422" s="1013"/>
      <c r="K422" s="610"/>
      <c r="L422" s="610">
        <f t="shared" si="84"/>
        <v>0</v>
      </c>
      <c r="N422" s="1032">
        <f t="shared" si="83"/>
        <v>0</v>
      </c>
      <c r="AD422" s="395">
        <v>410</v>
      </c>
      <c r="AE422" s="856">
        <v>300</v>
      </c>
      <c r="AF422" s="856">
        <v>200</v>
      </c>
      <c r="AG422" s="282">
        <v>410</v>
      </c>
      <c r="AH422" s="895">
        <v>350</v>
      </c>
      <c r="AI422" s="895">
        <v>160</v>
      </c>
      <c r="AJ422" s="896">
        <v>410</v>
      </c>
      <c r="AK422" s="895">
        <v>350</v>
      </c>
      <c r="AL422" s="895">
        <v>120</v>
      </c>
      <c r="AN422" s="901">
        <v>350</v>
      </c>
      <c r="AO422" s="902">
        <v>120</v>
      </c>
      <c r="AP422" s="1011">
        <f t="shared" si="78"/>
        <v>0</v>
      </c>
      <c r="AQ422" s="1011">
        <f t="shared" si="78"/>
        <v>0</v>
      </c>
    </row>
    <row r="423" spans="1:43" ht="15" customHeight="1">
      <c r="B423" s="685"/>
      <c r="C423" s="627"/>
      <c r="D423" s="627"/>
      <c r="E423" s="627"/>
      <c r="F423" s="656"/>
      <c r="G423" s="627"/>
      <c r="H423" s="608"/>
      <c r="I423" s="611"/>
      <c r="J423" s="1013"/>
      <c r="K423" s="610"/>
      <c r="L423" s="610">
        <f t="shared" si="84"/>
        <v>0</v>
      </c>
      <c r="N423" s="1032">
        <f t="shared" si="83"/>
        <v>0</v>
      </c>
      <c r="AD423" s="395">
        <v>420</v>
      </c>
      <c r="AE423" s="856">
        <v>350</v>
      </c>
      <c r="AF423" s="856">
        <v>160</v>
      </c>
      <c r="AG423" s="239">
        <v>420</v>
      </c>
      <c r="AH423" s="895">
        <v>350</v>
      </c>
      <c r="AI423" s="895">
        <v>160</v>
      </c>
      <c r="AJ423" s="896">
        <v>420</v>
      </c>
      <c r="AK423" s="895">
        <v>350</v>
      </c>
      <c r="AL423" s="895">
        <v>160</v>
      </c>
      <c r="AN423" s="901">
        <v>350</v>
      </c>
      <c r="AO423" s="902">
        <v>160</v>
      </c>
      <c r="AP423" s="1011">
        <f t="shared" si="78"/>
        <v>0</v>
      </c>
      <c r="AQ423" s="1011">
        <f t="shared" si="78"/>
        <v>0</v>
      </c>
    </row>
    <row r="424" spans="1:43" ht="15" customHeight="1">
      <c r="B424" s="1037">
        <f>SUBTOTAL(3,$I$310:I424)</f>
        <v>84</v>
      </c>
      <c r="C424" s="627" t="e">
        <f>ПВХ_мембрана</f>
        <v>#N/A</v>
      </c>
      <c r="D424" s="627"/>
      <c r="E424" s="627"/>
      <c r="F424" s="656"/>
      <c r="G424" s="627" t="str">
        <f>" "</f>
        <v xml:space="preserve"> </v>
      </c>
      <c r="H424" s="608">
        <v>1.1499999999999999</v>
      </c>
      <c r="I424" s="609">
        <f>IFERROR(ROUNDUP($Y$90*H424,0),0)</f>
        <v>0</v>
      </c>
      <c r="J424" s="1013" t="s">
        <v>112</v>
      </c>
      <c r="K424" s="610"/>
      <c r="L424" s="610">
        <f t="shared" si="84"/>
        <v>0</v>
      </c>
      <c r="N424" s="1032">
        <f t="shared" si="83"/>
        <v>0</v>
      </c>
      <c r="AD424" s="395">
        <v>430</v>
      </c>
      <c r="AE424" s="856">
        <v>350</v>
      </c>
      <c r="AF424" s="856">
        <v>160</v>
      </c>
      <c r="AG424" s="282">
        <v>430</v>
      </c>
      <c r="AH424" s="895">
        <v>350</v>
      </c>
      <c r="AI424" s="895">
        <v>160</v>
      </c>
      <c r="AJ424" s="896">
        <v>430</v>
      </c>
      <c r="AK424" s="895">
        <v>350</v>
      </c>
      <c r="AL424" s="895">
        <v>160</v>
      </c>
      <c r="AN424" s="901">
        <v>350</v>
      </c>
      <c r="AO424" s="902">
        <v>160</v>
      </c>
      <c r="AP424" s="1011">
        <f t="shared" si="78"/>
        <v>0</v>
      </c>
      <c r="AQ424" s="1011">
        <f t="shared" si="78"/>
        <v>0</v>
      </c>
    </row>
    <row r="425" spans="1:43" ht="15" customHeight="1">
      <c r="B425" s="1037">
        <f>SUBTOTAL(3,$I$310:I425)</f>
        <v>85</v>
      </c>
      <c r="C425" s="627" t="s">
        <v>337</v>
      </c>
      <c r="D425" s="627"/>
      <c r="E425" s="627"/>
      <c r="F425" s="656">
        <f>$AG$90</f>
        <v>0</v>
      </c>
      <c r="G425" s="627" t="s">
        <v>150</v>
      </c>
      <c r="H425" s="608" t="str">
        <f>" "</f>
        <v xml:space="preserve"> </v>
      </c>
      <c r="I425" s="611">
        <f>IFERROR($AH$90,0)</f>
        <v>0</v>
      </c>
      <c r="J425" s="1013" t="s">
        <v>190</v>
      </c>
      <c r="K425" s="610"/>
      <c r="L425" s="610">
        <f t="shared" si="84"/>
        <v>0</v>
      </c>
      <c r="N425" s="1032">
        <f t="shared" si="83"/>
        <v>0</v>
      </c>
      <c r="AD425" s="395">
        <v>440</v>
      </c>
      <c r="AE425" s="856">
        <v>350</v>
      </c>
      <c r="AF425" s="856">
        <v>160</v>
      </c>
      <c r="AG425" s="239">
        <v>440</v>
      </c>
      <c r="AH425" s="895">
        <v>350</v>
      </c>
      <c r="AI425" s="895">
        <v>200</v>
      </c>
      <c r="AJ425" s="896">
        <v>440</v>
      </c>
      <c r="AK425" s="895">
        <v>350</v>
      </c>
      <c r="AL425" s="895">
        <v>160</v>
      </c>
      <c r="AN425" s="901">
        <v>350</v>
      </c>
      <c r="AO425" s="902">
        <v>160</v>
      </c>
      <c r="AP425" s="1011">
        <f t="shared" si="78"/>
        <v>0</v>
      </c>
      <c r="AQ425" s="1011">
        <f t="shared" si="78"/>
        <v>0</v>
      </c>
    </row>
    <row r="426" spans="1:43" ht="15" customHeight="1">
      <c r="B426" s="1037">
        <f>SUBTOTAL(3,$I$310:I426)</f>
        <v>86</v>
      </c>
      <c r="C426" s="627" t="s">
        <v>337</v>
      </c>
      <c r="D426" s="627"/>
      <c r="E426" s="627"/>
      <c r="F426" s="656">
        <f>$AK$90</f>
        <v>0</v>
      </c>
      <c r="G426" s="627" t="s">
        <v>150</v>
      </c>
      <c r="H426" s="608" t="str">
        <f>" "</f>
        <v xml:space="preserve"> </v>
      </c>
      <c r="I426" s="611">
        <v>0</v>
      </c>
      <c r="J426" s="1013" t="s">
        <v>190</v>
      </c>
      <c r="K426" s="610"/>
      <c r="L426" s="610">
        <f t="shared" si="84"/>
        <v>0</v>
      </c>
      <c r="N426" s="1032">
        <f t="shared" si="83"/>
        <v>0</v>
      </c>
      <c r="AD426" s="395">
        <v>450</v>
      </c>
      <c r="AE426" s="856">
        <v>350</v>
      </c>
      <c r="AF426" s="856">
        <v>160</v>
      </c>
      <c r="AG426" s="282">
        <v>450</v>
      </c>
      <c r="AH426" s="895">
        <v>350</v>
      </c>
      <c r="AI426" s="895">
        <v>200</v>
      </c>
      <c r="AJ426" s="896">
        <v>450</v>
      </c>
      <c r="AK426" s="895">
        <v>350</v>
      </c>
      <c r="AL426" s="895">
        <v>160</v>
      </c>
      <c r="AN426" s="901">
        <v>350</v>
      </c>
      <c r="AO426" s="902">
        <v>160</v>
      </c>
      <c r="AP426" s="1011">
        <f t="shared" si="78"/>
        <v>0</v>
      </c>
      <c r="AQ426" s="1011">
        <f t="shared" si="78"/>
        <v>0</v>
      </c>
    </row>
    <row r="427" spans="1:43" ht="15" customHeight="1">
      <c r="B427" s="1037">
        <f>SUBTOTAL(3,$I$310:I427)</f>
        <v>87</v>
      </c>
      <c r="C427" s="627" t="s">
        <v>268</v>
      </c>
      <c r="D427" s="627"/>
      <c r="E427" s="627"/>
      <c r="F427" s="656">
        <f>$AI$90</f>
        <v>0</v>
      </c>
      <c r="G427" s="627" t="s">
        <v>150</v>
      </c>
      <c r="H427" s="608" t="str">
        <f>" "</f>
        <v xml:space="preserve"> </v>
      </c>
      <c r="I427" s="611">
        <f>IFERROR($AJ$90,0)</f>
        <v>0</v>
      </c>
      <c r="J427" s="1013" t="s">
        <v>190</v>
      </c>
      <c r="K427" s="610"/>
      <c r="L427" s="610">
        <f t="shared" si="84"/>
        <v>0</v>
      </c>
      <c r="N427" s="1032">
        <f t="shared" si="83"/>
        <v>0</v>
      </c>
      <c r="AD427" s="395">
        <v>460</v>
      </c>
      <c r="AE427" s="856">
        <v>350</v>
      </c>
      <c r="AF427" s="856">
        <v>200</v>
      </c>
      <c r="AG427" s="239">
        <v>460</v>
      </c>
      <c r="AH427" s="895">
        <v>425</v>
      </c>
      <c r="AI427" s="895">
        <v>120</v>
      </c>
      <c r="AJ427" s="896">
        <v>460</v>
      </c>
      <c r="AK427" s="895">
        <v>425</v>
      </c>
      <c r="AL427" s="895">
        <v>100</v>
      </c>
      <c r="AN427" s="901">
        <v>350</v>
      </c>
      <c r="AO427" s="902">
        <v>200</v>
      </c>
      <c r="AP427" s="1011">
        <f t="shared" si="78"/>
        <v>75</v>
      </c>
      <c r="AQ427" s="1011">
        <f t="shared" si="78"/>
        <v>-100</v>
      </c>
    </row>
    <row r="428" spans="1:43" ht="15" customHeight="1">
      <c r="B428" s="1037">
        <f>SUBTOTAL(3,$I$310:I428)</f>
        <v>88</v>
      </c>
      <c r="C428" s="627">
        <f>$W$90</f>
        <v>0</v>
      </c>
      <c r="D428" s="627"/>
      <c r="E428" s="627"/>
      <c r="F428" s="656">
        <f>$V$90</f>
        <v>0</v>
      </c>
      <c r="G428" s="627" t="s">
        <v>150</v>
      </c>
      <c r="H428" s="608">
        <v>1.03</v>
      </c>
      <c r="I428" s="609">
        <f>$AF$90</f>
        <v>0</v>
      </c>
      <c r="J428" s="1013" t="s">
        <v>178</v>
      </c>
      <c r="K428" s="610"/>
      <c r="L428" s="610">
        <f t="shared" si="84"/>
        <v>0</v>
      </c>
      <c r="N428" s="1032">
        <f t="shared" si="83"/>
        <v>0</v>
      </c>
      <c r="AD428" s="395">
        <v>470</v>
      </c>
      <c r="AE428" s="856">
        <v>350</v>
      </c>
      <c r="AF428" s="856">
        <v>200</v>
      </c>
      <c r="AG428" s="282">
        <v>470</v>
      </c>
      <c r="AH428" s="895">
        <v>425</v>
      </c>
      <c r="AI428" s="895">
        <v>120</v>
      </c>
      <c r="AJ428" s="896">
        <v>470</v>
      </c>
      <c r="AK428" s="895">
        <v>425</v>
      </c>
      <c r="AL428" s="895">
        <v>100</v>
      </c>
      <c r="AN428" s="901">
        <v>350</v>
      </c>
      <c r="AO428" s="902">
        <v>200</v>
      </c>
      <c r="AP428" s="1011">
        <f t="shared" si="78"/>
        <v>75</v>
      </c>
      <c r="AQ428" s="1011">
        <f t="shared" si="78"/>
        <v>-100</v>
      </c>
    </row>
    <row r="429" spans="1:43" ht="30" customHeight="1">
      <c r="A429" s="158"/>
      <c r="B429" s="691"/>
      <c r="C429" s="1183" t="str">
        <f>CONCATENATE($P$91,$AE$9,$T$91,$AF$9)</f>
        <v>. Общая длина примыкания-  м.</v>
      </c>
      <c r="D429" s="1183"/>
      <c r="E429" s="1183"/>
      <c r="F429" s="1183"/>
      <c r="G429" s="1183"/>
      <c r="H429" s="1184"/>
      <c r="I429" s="1184"/>
      <c r="J429" s="1184"/>
      <c r="K429" s="1185"/>
      <c r="L429" s="684">
        <f>SUM(L430:L443)</f>
        <v>0</v>
      </c>
      <c r="N429" s="1032">
        <f>IF(SUM(I430:I443)&gt;0,1,0)</f>
        <v>0</v>
      </c>
      <c r="AD429" s="395">
        <v>480</v>
      </c>
      <c r="AE429" s="856">
        <v>350</v>
      </c>
      <c r="AF429" s="856">
        <v>200</v>
      </c>
      <c r="AG429" s="239">
        <v>480</v>
      </c>
      <c r="AH429" s="895">
        <v>425</v>
      </c>
      <c r="AI429" s="895">
        <v>160</v>
      </c>
      <c r="AJ429" s="896">
        <v>480</v>
      </c>
      <c r="AK429" s="895">
        <v>425</v>
      </c>
      <c r="AL429" s="895">
        <v>120</v>
      </c>
      <c r="AN429" s="901">
        <v>350</v>
      </c>
      <c r="AO429" s="902">
        <v>200</v>
      </c>
      <c r="AP429" s="1011">
        <f t="shared" si="78"/>
        <v>75</v>
      </c>
      <c r="AQ429" s="1011">
        <f t="shared" si="78"/>
        <v>-80</v>
      </c>
    </row>
    <row r="430" spans="1:43" ht="15" customHeight="1">
      <c r="B430" s="1037">
        <f>SUBTOTAL(3,$I$310:I430)</f>
        <v>89</v>
      </c>
      <c r="C430" s="627" t="s">
        <v>207</v>
      </c>
      <c r="D430" s="627"/>
      <c r="E430" s="627"/>
      <c r="F430" s="627"/>
      <c r="G430" s="627" t="str">
        <f t="shared" ref="G430:G436" si="85">" "</f>
        <v xml:space="preserve"> </v>
      </c>
      <c r="H430" s="608">
        <v>5</v>
      </c>
      <c r="I430" s="611">
        <f>IFERROR($AA$91*H430*1.03,0)</f>
        <v>0</v>
      </c>
      <c r="J430" s="1013" t="s">
        <v>151</v>
      </c>
      <c r="K430" s="610"/>
      <c r="L430" s="610">
        <f>IFERROR(I430*K430,0)</f>
        <v>0</v>
      </c>
      <c r="N430" s="1032">
        <f t="shared" ref="N430:N443" si="86">IF(I430&gt;0,1,0)</f>
        <v>0</v>
      </c>
      <c r="AD430" s="395">
        <v>490</v>
      </c>
      <c r="AE430" s="855">
        <v>350</v>
      </c>
      <c r="AF430" s="856">
        <v>200</v>
      </c>
      <c r="AG430" s="282">
        <v>490</v>
      </c>
      <c r="AH430" s="895">
        <v>425</v>
      </c>
      <c r="AI430" s="895">
        <v>160</v>
      </c>
      <c r="AJ430" s="896">
        <v>490</v>
      </c>
      <c r="AK430" s="895">
        <v>425</v>
      </c>
      <c r="AL430" s="895">
        <v>120</v>
      </c>
      <c r="AN430" s="901">
        <v>350</v>
      </c>
      <c r="AO430" s="902">
        <v>200</v>
      </c>
      <c r="AP430" s="1011">
        <f t="shared" si="78"/>
        <v>75</v>
      </c>
      <c r="AQ430" s="1011">
        <f t="shared" si="78"/>
        <v>-80</v>
      </c>
    </row>
    <row r="431" spans="1:43" ht="15" customHeight="1">
      <c r="B431" s="685"/>
      <c r="C431" s="627"/>
      <c r="D431" s="627"/>
      <c r="E431" s="627"/>
      <c r="F431" s="627"/>
      <c r="G431" s="627"/>
      <c r="H431" s="608"/>
      <c r="I431" s="611"/>
      <c r="J431" s="1013"/>
      <c r="K431" s="610"/>
      <c r="L431" s="610">
        <f>IFERROR(I431*K431,0)</f>
        <v>0</v>
      </c>
      <c r="N431" s="1032">
        <f t="shared" si="86"/>
        <v>0</v>
      </c>
      <c r="AD431" s="395">
        <v>500</v>
      </c>
      <c r="AE431" s="286">
        <v>425</v>
      </c>
      <c r="AF431" s="283">
        <v>160</v>
      </c>
      <c r="AG431" s="239">
        <v>500</v>
      </c>
      <c r="AH431" s="895">
        <v>425</v>
      </c>
      <c r="AI431" s="895">
        <v>160</v>
      </c>
      <c r="AJ431" s="896">
        <v>500</v>
      </c>
      <c r="AK431" s="895">
        <v>425</v>
      </c>
      <c r="AL431" s="895">
        <v>160</v>
      </c>
      <c r="AN431" s="901">
        <v>350</v>
      </c>
      <c r="AO431" s="902">
        <v>200</v>
      </c>
      <c r="AP431" s="1011">
        <f t="shared" si="78"/>
        <v>75</v>
      </c>
      <c r="AQ431" s="1011">
        <f t="shared" si="78"/>
        <v>-40</v>
      </c>
    </row>
    <row r="432" spans="1:43" ht="15" customHeight="1">
      <c r="B432" s="1037">
        <f>SUBTOTAL(3,$I$310:I432)</f>
        <v>90</v>
      </c>
      <c r="C432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32" s="627"/>
      <c r="E432" s="627"/>
      <c r="F432" s="627"/>
      <c r="G432" s="627" t="str">
        <f t="shared" si="85"/>
        <v xml:space="preserve"> </v>
      </c>
      <c r="H432" s="608">
        <v>1.03</v>
      </c>
      <c r="I432" s="614">
        <f>IFERROR(ROUNDUP($Z$91*H432,2),0)</f>
        <v>0</v>
      </c>
      <c r="J432" s="1013" t="s">
        <v>264</v>
      </c>
      <c r="K432" s="610"/>
      <c r="L432" s="610">
        <f t="shared" ref="L432:L443" si="87">IFERROR(I432*K432,0)</f>
        <v>0</v>
      </c>
      <c r="N432" s="1032">
        <f t="shared" si="86"/>
        <v>0</v>
      </c>
      <c r="AD432" s="395">
        <v>510</v>
      </c>
      <c r="AE432" s="286">
        <v>425</v>
      </c>
      <c r="AF432" s="283">
        <v>160</v>
      </c>
      <c r="AG432" s="282">
        <v>510</v>
      </c>
      <c r="AH432" s="895">
        <v>425</v>
      </c>
      <c r="AI432" s="895">
        <v>160</v>
      </c>
      <c r="AJ432" s="896">
        <v>510</v>
      </c>
      <c r="AK432" s="895">
        <v>425</v>
      </c>
      <c r="AL432" s="895">
        <v>160</v>
      </c>
    </row>
    <row r="433" spans="2:38" ht="15" customHeight="1">
      <c r="B433" s="1037">
        <f>SUBTOTAL(3,$I$310:I433)</f>
        <v>91</v>
      </c>
      <c r="C433" s="627" t="s">
        <v>559</v>
      </c>
      <c r="D433" s="627"/>
      <c r="E433" s="627"/>
      <c r="F433" s="627"/>
      <c r="G433" s="627" t="str">
        <f t="shared" si="85"/>
        <v xml:space="preserve"> </v>
      </c>
      <c r="H433" s="608">
        <v>5</v>
      </c>
      <c r="I433" s="611">
        <f>IFERROR($AC$91*H433*1.03,0)</f>
        <v>0</v>
      </c>
      <c r="J433" s="1013" t="s">
        <v>151</v>
      </c>
      <c r="K433" s="610"/>
      <c r="L433" s="610">
        <f t="shared" si="87"/>
        <v>0</v>
      </c>
      <c r="N433" s="1032">
        <f t="shared" si="86"/>
        <v>0</v>
      </c>
      <c r="AD433" s="395">
        <v>520</v>
      </c>
      <c r="AE433" s="286">
        <v>425</v>
      </c>
      <c r="AF433" s="817">
        <v>200</v>
      </c>
      <c r="AG433" s="239">
        <v>520</v>
      </c>
      <c r="AH433" s="895">
        <v>425</v>
      </c>
      <c r="AI433" s="895">
        <v>200</v>
      </c>
      <c r="AJ433" s="896">
        <v>520</v>
      </c>
      <c r="AK433" s="895">
        <v>425</v>
      </c>
      <c r="AL433" s="895">
        <v>160</v>
      </c>
    </row>
    <row r="434" spans="2:38" ht="15" customHeight="1">
      <c r="B434" s="1037">
        <f>SUBTOTAL(3,$I$310:I434)</f>
        <v>92</v>
      </c>
      <c r="C434" s="627" t="s">
        <v>189</v>
      </c>
      <c r="D434" s="627"/>
      <c r="E434" s="627"/>
      <c r="F434" s="627"/>
      <c r="G434" s="627" t="str">
        <f t="shared" si="85"/>
        <v xml:space="preserve"> </v>
      </c>
      <c r="H434" s="608">
        <v>5</v>
      </c>
      <c r="I434" s="611">
        <f>IFERROR($AE$91,0)</f>
        <v>0</v>
      </c>
      <c r="J434" s="1013" t="s">
        <v>151</v>
      </c>
      <c r="K434" s="610"/>
      <c r="L434" s="610">
        <f t="shared" si="87"/>
        <v>0</v>
      </c>
      <c r="N434" s="1032">
        <f t="shared" si="86"/>
        <v>0</v>
      </c>
      <c r="AD434" s="395">
        <v>530</v>
      </c>
      <c r="AE434" s="286">
        <v>425</v>
      </c>
      <c r="AF434" s="283">
        <v>200</v>
      </c>
      <c r="AG434" s="282">
        <v>530</v>
      </c>
      <c r="AH434" s="895">
        <v>425</v>
      </c>
      <c r="AI434" s="895">
        <v>200</v>
      </c>
      <c r="AJ434" s="896">
        <v>530</v>
      </c>
      <c r="AK434" s="895">
        <v>425</v>
      </c>
      <c r="AL434" s="895">
        <v>160</v>
      </c>
    </row>
    <row r="435" spans="2:38" ht="15" customHeight="1">
      <c r="B435" s="1037">
        <f>SUBTOTAL(3,$I$310:I435)</f>
        <v>93</v>
      </c>
      <c r="C435" s="627" t="s">
        <v>1459</v>
      </c>
      <c r="D435" s="627"/>
      <c r="E435" s="627"/>
      <c r="F435" s="627"/>
      <c r="G435" s="627" t="str">
        <f t="shared" si="85"/>
        <v xml:space="preserve"> </v>
      </c>
      <c r="H435" s="608">
        <v>5</v>
      </c>
      <c r="I435" s="611">
        <f>IFERROR($AD$91*H435*1.03,0)</f>
        <v>0</v>
      </c>
      <c r="J435" s="1013" t="s">
        <v>151</v>
      </c>
      <c r="K435" s="610"/>
      <c r="L435" s="610">
        <f t="shared" si="87"/>
        <v>0</v>
      </c>
      <c r="N435" s="1032">
        <f t="shared" si="86"/>
        <v>0</v>
      </c>
      <c r="AD435" s="395">
        <v>540</v>
      </c>
      <c r="AE435" s="286">
        <v>425</v>
      </c>
      <c r="AF435" s="283">
        <v>200</v>
      </c>
      <c r="AG435" s="239">
        <v>540</v>
      </c>
      <c r="AH435" s="895">
        <v>425</v>
      </c>
      <c r="AI435" s="895">
        <v>200</v>
      </c>
      <c r="AJ435" s="896">
        <v>540</v>
      </c>
      <c r="AK435" s="895">
        <v>425</v>
      </c>
      <c r="AL435" s="895">
        <v>200</v>
      </c>
    </row>
    <row r="436" spans="2:38" ht="15" customHeight="1">
      <c r="B436" s="1037">
        <f>SUBTOTAL(3,$I$310:I436)</f>
        <v>94</v>
      </c>
      <c r="C436" s="627" t="s">
        <v>192</v>
      </c>
      <c r="D436" s="627"/>
      <c r="E436" s="627"/>
      <c r="F436" s="627"/>
      <c r="G436" s="627" t="str">
        <f t="shared" si="85"/>
        <v xml:space="preserve"> </v>
      </c>
      <c r="H436" s="608">
        <v>1.1000000000000001</v>
      </c>
      <c r="I436" s="609">
        <f>IFERROR(ROUNDUP($AB$91*H436,0),0)</f>
        <v>0</v>
      </c>
      <c r="J436" s="1013" t="s">
        <v>112</v>
      </c>
      <c r="K436" s="610"/>
      <c r="L436" s="610">
        <f t="shared" si="87"/>
        <v>0</v>
      </c>
      <c r="N436" s="1032">
        <f t="shared" si="86"/>
        <v>0</v>
      </c>
      <c r="AD436" s="395">
        <v>550</v>
      </c>
      <c r="AE436" s="286">
        <v>425</v>
      </c>
      <c r="AF436" s="286">
        <v>200</v>
      </c>
      <c r="AG436" s="282">
        <v>550</v>
      </c>
      <c r="AH436" s="895">
        <v>425</v>
      </c>
      <c r="AI436" s="895">
        <v>200</v>
      </c>
      <c r="AJ436" s="896">
        <v>550</v>
      </c>
      <c r="AK436" s="895">
        <v>425</v>
      </c>
      <c r="AL436" s="895">
        <v>200</v>
      </c>
    </row>
    <row r="437" spans="2:38" ht="15" customHeight="1">
      <c r="B437" s="685"/>
      <c r="C437" s="627"/>
      <c r="D437" s="627"/>
      <c r="E437" s="627"/>
      <c r="F437" s="627"/>
      <c r="G437" s="627"/>
      <c r="H437" s="608"/>
      <c r="I437" s="611"/>
      <c r="J437" s="1013"/>
      <c r="K437" s="610"/>
      <c r="L437" s="610">
        <f t="shared" si="87"/>
        <v>0</v>
      </c>
      <c r="N437" s="1032">
        <f t="shared" si="86"/>
        <v>0</v>
      </c>
      <c r="AD437" s="395">
        <v>560</v>
      </c>
      <c r="AE437" s="286">
        <v>425</v>
      </c>
      <c r="AF437" s="816">
        <v>240</v>
      </c>
      <c r="AG437" s="239">
        <v>560</v>
      </c>
      <c r="AH437" s="895">
        <v>425</v>
      </c>
      <c r="AI437" s="895">
        <v>300</v>
      </c>
      <c r="AJ437" s="896">
        <v>560</v>
      </c>
      <c r="AK437" s="895">
        <v>425</v>
      </c>
      <c r="AL437" s="895">
        <v>200</v>
      </c>
    </row>
    <row r="438" spans="2:38" ht="15" customHeight="1">
      <c r="B438" s="685"/>
      <c r="C438" s="627"/>
      <c r="D438" s="627"/>
      <c r="E438" s="627"/>
      <c r="F438" s="627"/>
      <c r="G438" s="627"/>
      <c r="H438" s="608"/>
      <c r="I438" s="611"/>
      <c r="J438" s="1013"/>
      <c r="K438" s="610"/>
      <c r="L438" s="610">
        <f t="shared" si="87"/>
        <v>0</v>
      </c>
      <c r="N438" s="1032">
        <f t="shared" si="86"/>
        <v>0</v>
      </c>
      <c r="AD438" s="395">
        <v>570</v>
      </c>
      <c r="AE438" s="286">
        <v>425</v>
      </c>
      <c r="AF438" s="816">
        <v>240</v>
      </c>
      <c r="AG438" s="282">
        <v>570</v>
      </c>
      <c r="AH438" s="895">
        <v>425</v>
      </c>
      <c r="AI438" s="895">
        <v>300</v>
      </c>
      <c r="AJ438" s="896">
        <v>570</v>
      </c>
      <c r="AK438" s="895">
        <v>425</v>
      </c>
      <c r="AL438" s="895">
        <v>200</v>
      </c>
    </row>
    <row r="439" spans="2:38" ht="15" customHeight="1">
      <c r="B439" s="1037">
        <f>SUBTOTAL(3,$I$310:I439)</f>
        <v>95</v>
      </c>
      <c r="C439" s="627" t="e">
        <f>ПВХ_мембрана</f>
        <v>#N/A</v>
      </c>
      <c r="D439" s="627"/>
      <c r="E439" s="627"/>
      <c r="F439" s="627"/>
      <c r="G439" s="627" t="str">
        <f>" "</f>
        <v xml:space="preserve"> </v>
      </c>
      <c r="H439" s="608">
        <v>1.1499999999999999</v>
      </c>
      <c r="I439" s="609">
        <f>IFERROR(ROUNDUP($Y$91*H439,0),0)</f>
        <v>0</v>
      </c>
      <c r="J439" s="1013" t="s">
        <v>112</v>
      </c>
      <c r="K439" s="610"/>
      <c r="L439" s="610">
        <f t="shared" si="87"/>
        <v>0</v>
      </c>
      <c r="N439" s="1032">
        <f t="shared" si="86"/>
        <v>0</v>
      </c>
      <c r="AD439" s="395">
        <v>580</v>
      </c>
      <c r="AE439" s="286">
        <v>425</v>
      </c>
      <c r="AF439" s="286">
        <v>240</v>
      </c>
      <c r="AG439" s="239">
        <v>580</v>
      </c>
      <c r="AH439" s="895">
        <v>425</v>
      </c>
      <c r="AI439" s="895">
        <v>300</v>
      </c>
      <c r="AJ439" s="896">
        <v>580</v>
      </c>
      <c r="AK439" s="895">
        <v>425</v>
      </c>
      <c r="AL439" s="895">
        <v>300</v>
      </c>
    </row>
    <row r="440" spans="2:38" ht="15" customHeight="1">
      <c r="B440" s="1037">
        <f>SUBTOTAL(3,$I$310:I440)</f>
        <v>96</v>
      </c>
      <c r="C440" s="627" t="s">
        <v>337</v>
      </c>
      <c r="D440" s="627"/>
      <c r="E440" s="627"/>
      <c r="F440" s="627">
        <f>$AG$91</f>
        <v>0</v>
      </c>
      <c r="G440" s="627" t="s">
        <v>150</v>
      </c>
      <c r="H440" s="608" t="str">
        <f>" "</f>
        <v xml:space="preserve"> </v>
      </c>
      <c r="I440" s="611">
        <f>IFERROR($AH$91,0)</f>
        <v>0</v>
      </c>
      <c r="J440" s="1013" t="s">
        <v>190</v>
      </c>
      <c r="K440" s="610"/>
      <c r="L440" s="610">
        <f t="shared" si="87"/>
        <v>0</v>
      </c>
      <c r="N440" s="1032">
        <f t="shared" si="86"/>
        <v>0</v>
      </c>
      <c r="AD440" s="395">
        <v>590</v>
      </c>
      <c r="AE440" s="286">
        <v>425</v>
      </c>
      <c r="AF440" s="286">
        <v>240</v>
      </c>
      <c r="AG440" s="282">
        <v>590</v>
      </c>
      <c r="AH440" s="895">
        <v>425</v>
      </c>
      <c r="AI440" s="895">
        <v>300</v>
      </c>
      <c r="AJ440" s="896">
        <v>590</v>
      </c>
      <c r="AK440" s="895">
        <v>425</v>
      </c>
      <c r="AL440" s="895">
        <v>300</v>
      </c>
    </row>
    <row r="441" spans="2:38" ht="15" customHeight="1">
      <c r="B441" s="1037">
        <f>SUBTOTAL(3,$I$310:I441)</f>
        <v>97</v>
      </c>
      <c r="C441" s="627" t="s">
        <v>337</v>
      </c>
      <c r="D441" s="627"/>
      <c r="E441" s="627"/>
      <c r="F441" s="627">
        <f>$AK$91</f>
        <v>0</v>
      </c>
      <c r="G441" s="627" t="s">
        <v>150</v>
      </c>
      <c r="H441" s="608" t="str">
        <f>" "</f>
        <v xml:space="preserve"> </v>
      </c>
      <c r="I441" s="611">
        <v>0</v>
      </c>
      <c r="J441" s="1013" t="s">
        <v>190</v>
      </c>
      <c r="K441" s="610"/>
      <c r="L441" s="610">
        <f t="shared" si="87"/>
        <v>0</v>
      </c>
      <c r="N441" s="1032">
        <f t="shared" si="86"/>
        <v>0</v>
      </c>
      <c r="AD441" s="395">
        <v>600</v>
      </c>
      <c r="AE441" s="286">
        <v>425</v>
      </c>
      <c r="AF441" s="286">
        <v>240</v>
      </c>
      <c r="AG441" s="239">
        <v>600</v>
      </c>
      <c r="AH441" s="895">
        <v>425</v>
      </c>
      <c r="AI441" s="895">
        <v>300</v>
      </c>
      <c r="AJ441" s="896">
        <v>600</v>
      </c>
      <c r="AK441" s="895">
        <v>425</v>
      </c>
      <c r="AL441" s="895">
        <v>300</v>
      </c>
    </row>
    <row r="442" spans="2:38" ht="15" customHeight="1">
      <c r="B442" s="1037">
        <f>SUBTOTAL(3,$I$310:I442)</f>
        <v>98</v>
      </c>
      <c r="C442" s="627" t="s">
        <v>268</v>
      </c>
      <c r="D442" s="627"/>
      <c r="E442" s="627"/>
      <c r="F442" s="627">
        <f>$AI$91</f>
        <v>0</v>
      </c>
      <c r="G442" s="627" t="s">
        <v>150</v>
      </c>
      <c r="H442" s="608" t="str">
        <f>" "</f>
        <v xml:space="preserve"> </v>
      </c>
      <c r="I442" s="611">
        <f>IFERROR($AJ$91,0)</f>
        <v>0</v>
      </c>
      <c r="J442" s="1013" t="s">
        <v>190</v>
      </c>
      <c r="K442" s="610"/>
      <c r="L442" s="610">
        <f t="shared" si="87"/>
        <v>0</v>
      </c>
      <c r="N442" s="1032">
        <f t="shared" si="86"/>
        <v>0</v>
      </c>
      <c r="AD442" s="395">
        <v>610</v>
      </c>
      <c r="AE442" s="286">
        <v>425</v>
      </c>
      <c r="AF442" s="816">
        <v>300</v>
      </c>
      <c r="AG442" s="282">
        <v>610</v>
      </c>
      <c r="AH442" s="895">
        <v>425</v>
      </c>
      <c r="AI442" s="895">
        <v>300</v>
      </c>
      <c r="AJ442" s="896">
        <v>610</v>
      </c>
      <c r="AK442" s="895">
        <v>425</v>
      </c>
      <c r="AL442" s="895">
        <v>300</v>
      </c>
    </row>
    <row r="443" spans="2:38" ht="15" customHeight="1">
      <c r="B443" s="1037">
        <f>SUBTOTAL(3,$I$310:I443)</f>
        <v>99</v>
      </c>
      <c r="C443" s="627">
        <f>$W$91</f>
        <v>0</v>
      </c>
      <c r="D443" s="627"/>
      <c r="E443" s="627"/>
      <c r="F443" s="627">
        <f>$V$91</f>
        <v>0</v>
      </c>
      <c r="G443" s="627" t="s">
        <v>150</v>
      </c>
      <c r="H443" s="608">
        <v>1.03</v>
      </c>
      <c r="I443" s="609">
        <f>$AF$91</f>
        <v>0</v>
      </c>
      <c r="J443" s="1013" t="s">
        <v>178</v>
      </c>
      <c r="K443" s="610"/>
      <c r="L443" s="610">
        <f t="shared" si="87"/>
        <v>0</v>
      </c>
      <c r="N443" s="1032">
        <f t="shared" si="86"/>
        <v>0</v>
      </c>
      <c r="AD443" s="282">
        <v>620</v>
      </c>
      <c r="AE443" s="286">
        <v>425</v>
      </c>
      <c r="AF443" s="286">
        <v>300</v>
      </c>
      <c r="AG443" s="239">
        <v>620</v>
      </c>
      <c r="AH443" s="895">
        <v>425</v>
      </c>
      <c r="AI443" s="895">
        <v>300</v>
      </c>
      <c r="AJ443" s="896">
        <v>620</v>
      </c>
      <c r="AK443" s="895">
        <v>425</v>
      </c>
      <c r="AL443" s="895">
        <v>300</v>
      </c>
    </row>
    <row r="444" spans="2:38" ht="30" customHeight="1">
      <c r="B444" s="691"/>
      <c r="C444" s="1183" t="str">
        <f>CONCATENATE($P$92,$AE$9,$T$92,$AF$9)</f>
        <v>. Общая длина примыкания-  м.</v>
      </c>
      <c r="D444" s="1183"/>
      <c r="E444" s="1183"/>
      <c r="F444" s="1183"/>
      <c r="G444" s="1183"/>
      <c r="H444" s="1184"/>
      <c r="I444" s="1184"/>
      <c r="J444" s="1184"/>
      <c r="K444" s="1185"/>
      <c r="L444" s="684">
        <f>SUM(L445:L458)</f>
        <v>0</v>
      </c>
      <c r="N444" s="1032">
        <f>IF(SUM(I445:I458)&gt;0,1,0)</f>
        <v>0</v>
      </c>
      <c r="AD444" s="282">
        <v>630</v>
      </c>
      <c r="AE444" s="286">
        <v>425</v>
      </c>
      <c r="AF444" s="286">
        <v>300</v>
      </c>
      <c r="AG444" s="282">
        <v>630</v>
      </c>
      <c r="AH444" s="895">
        <v>425</v>
      </c>
      <c r="AI444" s="895">
        <v>300</v>
      </c>
      <c r="AJ444" s="896">
        <v>630</v>
      </c>
      <c r="AK444" s="895">
        <v>425</v>
      </c>
      <c r="AL444" s="895">
        <v>300</v>
      </c>
    </row>
    <row r="445" spans="2:38" ht="15" customHeight="1">
      <c r="B445" s="1037">
        <f>SUBTOTAL(3,$I$310:I445)</f>
        <v>100</v>
      </c>
      <c r="C445" s="627" t="s">
        <v>207</v>
      </c>
      <c r="D445" s="627"/>
      <c r="E445" s="627"/>
      <c r="F445" s="627"/>
      <c r="G445" s="627" t="str">
        <f t="shared" ref="G445:G451" si="88">" "</f>
        <v xml:space="preserve"> </v>
      </c>
      <c r="H445" s="608">
        <v>5</v>
      </c>
      <c r="I445" s="611">
        <f>IFERROR($AA$92*H445*1.03,0)</f>
        <v>0</v>
      </c>
      <c r="J445" s="1013" t="s">
        <v>151</v>
      </c>
      <c r="K445" s="610"/>
      <c r="L445" s="610">
        <f>IFERROR(I445*K445,0)</f>
        <v>0</v>
      </c>
      <c r="N445" s="1032">
        <f t="shared" ref="N445:N458" si="89">IF(I445&gt;0,1,0)</f>
        <v>0</v>
      </c>
      <c r="AD445" s="282">
        <v>640</v>
      </c>
      <c r="AE445" s="286">
        <v>425</v>
      </c>
      <c r="AF445" s="286">
        <v>300</v>
      </c>
      <c r="AG445" s="239">
        <v>640</v>
      </c>
      <c r="AH445" s="895">
        <v>425</v>
      </c>
      <c r="AI445" s="895">
        <v>300</v>
      </c>
      <c r="AJ445" s="896">
        <v>640</v>
      </c>
      <c r="AK445" s="895">
        <v>425</v>
      </c>
      <c r="AL445" s="895">
        <v>300</v>
      </c>
    </row>
    <row r="446" spans="2:38" ht="15" customHeight="1">
      <c r="B446" s="685"/>
      <c r="C446" s="627"/>
      <c r="D446" s="627"/>
      <c r="E446" s="627"/>
      <c r="F446" s="627"/>
      <c r="G446" s="627"/>
      <c r="H446" s="608"/>
      <c r="I446" s="611"/>
      <c r="J446" s="1013"/>
      <c r="K446" s="610"/>
      <c r="L446" s="610">
        <f>IFERROR(I446*K446,0)</f>
        <v>0</v>
      </c>
      <c r="N446" s="1032">
        <f t="shared" si="89"/>
        <v>0</v>
      </c>
      <c r="AD446" s="282">
        <v>650</v>
      </c>
      <c r="AE446" s="286">
        <v>425</v>
      </c>
      <c r="AF446" s="286">
        <v>300</v>
      </c>
      <c r="AG446" s="282">
        <v>650</v>
      </c>
      <c r="AH446" s="895">
        <v>425</v>
      </c>
      <c r="AI446" s="895">
        <v>300</v>
      </c>
      <c r="AJ446" s="896">
        <v>650</v>
      </c>
      <c r="AK446" s="895">
        <v>425</v>
      </c>
      <c r="AL446" s="895">
        <v>300</v>
      </c>
    </row>
    <row r="447" spans="2:38" ht="15" customHeight="1">
      <c r="B447" s="1037">
        <f>SUBTOTAL(3,$I$310:I447)</f>
        <v>101</v>
      </c>
      <c r="C447" s="627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47" s="627"/>
      <c r="E447" s="627"/>
      <c r="F447" s="627"/>
      <c r="G447" s="627" t="str">
        <f t="shared" si="88"/>
        <v xml:space="preserve"> </v>
      </c>
      <c r="H447" s="608">
        <v>1.03</v>
      </c>
      <c r="I447" s="614">
        <f>IFERROR(ROUNDUP($Z$92*H447,2),0)</f>
        <v>0</v>
      </c>
      <c r="J447" s="1013" t="s">
        <v>264</v>
      </c>
      <c r="K447" s="610"/>
      <c r="L447" s="610">
        <f t="shared" ref="L447:L458" si="90">IFERROR(I447*K447,0)</f>
        <v>0</v>
      </c>
      <c r="N447" s="1032">
        <f t="shared" si="89"/>
        <v>0</v>
      </c>
      <c r="AD447" s="282">
        <v>660</v>
      </c>
      <c r="AE447" s="286">
        <v>425</v>
      </c>
      <c r="AF447" s="286">
        <v>300</v>
      </c>
      <c r="AG447" s="239">
        <v>660</v>
      </c>
      <c r="AH447" s="895" t="s">
        <v>6</v>
      </c>
      <c r="AI447" s="895" t="s">
        <v>6</v>
      </c>
      <c r="AJ447" s="896">
        <v>660</v>
      </c>
      <c r="AK447" s="895">
        <v>425</v>
      </c>
      <c r="AL447" s="895">
        <v>300</v>
      </c>
    </row>
    <row r="448" spans="2:38" ht="15" customHeight="1">
      <c r="B448" s="1037">
        <f>SUBTOTAL(3,$I$310:I448)</f>
        <v>102</v>
      </c>
      <c r="C448" s="627" t="s">
        <v>559</v>
      </c>
      <c r="D448" s="627"/>
      <c r="E448" s="627"/>
      <c r="F448" s="627"/>
      <c r="G448" s="627" t="str">
        <f t="shared" si="88"/>
        <v xml:space="preserve"> </v>
      </c>
      <c r="H448" s="608">
        <v>5</v>
      </c>
      <c r="I448" s="611">
        <f>IFERROR($AC$92*H448*1.03,0)</f>
        <v>0</v>
      </c>
      <c r="J448" s="1013" t="s">
        <v>151</v>
      </c>
      <c r="K448" s="610"/>
      <c r="L448" s="610">
        <f t="shared" si="90"/>
        <v>0</v>
      </c>
      <c r="N448" s="1032">
        <f t="shared" si="89"/>
        <v>0</v>
      </c>
      <c r="AD448" s="239">
        <v>670</v>
      </c>
      <c r="AE448" s="286">
        <v>425</v>
      </c>
      <c r="AF448" s="286">
        <v>300</v>
      </c>
      <c r="AG448" s="282">
        <v>670</v>
      </c>
      <c r="AH448" s="895" t="s">
        <v>6</v>
      </c>
      <c r="AI448" s="895" t="s">
        <v>6</v>
      </c>
      <c r="AJ448" s="896">
        <v>670</v>
      </c>
      <c r="AK448" s="895">
        <v>425</v>
      </c>
      <c r="AL448" s="895">
        <v>300</v>
      </c>
    </row>
    <row r="449" spans="2:38" ht="15" customHeight="1">
      <c r="B449" s="1037">
        <f>SUBTOTAL(3,$I$310:I449)</f>
        <v>103</v>
      </c>
      <c r="C449" s="627" t="s">
        <v>189</v>
      </c>
      <c r="D449" s="627"/>
      <c r="E449" s="627"/>
      <c r="F449" s="627"/>
      <c r="G449" s="627" t="str">
        <f t="shared" si="88"/>
        <v xml:space="preserve"> </v>
      </c>
      <c r="H449" s="608">
        <v>5</v>
      </c>
      <c r="I449" s="611">
        <f>IFERROR($AE$92,0)</f>
        <v>0</v>
      </c>
      <c r="J449" s="1013" t="s">
        <v>151</v>
      </c>
      <c r="K449" s="610"/>
      <c r="L449" s="610">
        <f t="shared" si="90"/>
        <v>0</v>
      </c>
      <c r="N449" s="1032">
        <f t="shared" si="89"/>
        <v>0</v>
      </c>
      <c r="AD449" s="282">
        <v>680</v>
      </c>
      <c r="AE449" s="283" t="s">
        <v>6</v>
      </c>
      <c r="AF449" s="283" t="s">
        <v>6</v>
      </c>
      <c r="AG449" s="282">
        <v>680</v>
      </c>
      <c r="AH449" s="895" t="s">
        <v>6</v>
      </c>
      <c r="AI449" s="895" t="s">
        <v>6</v>
      </c>
      <c r="AJ449" s="896">
        <v>680</v>
      </c>
      <c r="AK449" s="895" t="s">
        <v>6</v>
      </c>
      <c r="AL449" s="895" t="s">
        <v>6</v>
      </c>
    </row>
    <row r="450" spans="2:38" ht="15" customHeight="1">
      <c r="B450" s="1037">
        <f>SUBTOTAL(3,$I$310:I450)</f>
        <v>104</v>
      </c>
      <c r="C450" s="627" t="s">
        <v>1459</v>
      </c>
      <c r="D450" s="627"/>
      <c r="E450" s="627"/>
      <c r="F450" s="627"/>
      <c r="G450" s="627" t="str">
        <f t="shared" si="88"/>
        <v xml:space="preserve"> </v>
      </c>
      <c r="H450" s="608">
        <v>5</v>
      </c>
      <c r="I450" s="611">
        <f>IFERROR($AD$92*H450*1.03,0)</f>
        <v>0</v>
      </c>
      <c r="J450" s="1013" t="s">
        <v>151</v>
      </c>
      <c r="K450" s="610"/>
      <c r="L450" s="610">
        <f t="shared" si="90"/>
        <v>0</v>
      </c>
      <c r="N450" s="1032">
        <f t="shared" si="89"/>
        <v>0</v>
      </c>
    </row>
    <row r="451" spans="2:38" ht="15" customHeight="1">
      <c r="B451" s="1037">
        <f>SUBTOTAL(3,$I$310:I451)</f>
        <v>105</v>
      </c>
      <c r="C451" s="627" t="s">
        <v>192</v>
      </c>
      <c r="D451" s="627"/>
      <c r="E451" s="627"/>
      <c r="F451" s="627"/>
      <c r="G451" s="627" t="str">
        <f t="shared" si="88"/>
        <v xml:space="preserve"> </v>
      </c>
      <c r="H451" s="608">
        <v>1.1000000000000001</v>
      </c>
      <c r="I451" s="609">
        <f>IFERROR(ROUNDUP($AB$92*H451,0),0)</f>
        <v>0</v>
      </c>
      <c r="J451" s="1013" t="s">
        <v>112</v>
      </c>
      <c r="K451" s="610"/>
      <c r="L451" s="610">
        <f t="shared" si="90"/>
        <v>0</v>
      </c>
      <c r="N451" s="1032">
        <f t="shared" si="89"/>
        <v>0</v>
      </c>
    </row>
    <row r="452" spans="2:38" ht="15" customHeight="1">
      <c r="B452" s="685"/>
      <c r="C452" s="627"/>
      <c r="D452" s="627"/>
      <c r="E452" s="627"/>
      <c r="F452" s="627"/>
      <c r="G452" s="627"/>
      <c r="H452" s="608"/>
      <c r="I452" s="611"/>
      <c r="J452" s="1013"/>
      <c r="K452" s="610"/>
      <c r="L452" s="610">
        <f t="shared" si="90"/>
        <v>0</v>
      </c>
      <c r="N452" s="1032">
        <f t="shared" si="89"/>
        <v>0</v>
      </c>
    </row>
    <row r="453" spans="2:38" ht="15" customHeight="1">
      <c r="B453" s="685"/>
      <c r="C453" s="627"/>
      <c r="D453" s="627"/>
      <c r="E453" s="627"/>
      <c r="F453" s="627"/>
      <c r="G453" s="627"/>
      <c r="H453" s="608"/>
      <c r="I453" s="611"/>
      <c r="J453" s="1013"/>
      <c r="K453" s="610"/>
      <c r="L453" s="610">
        <f t="shared" si="90"/>
        <v>0</v>
      </c>
      <c r="N453" s="1032">
        <f t="shared" si="89"/>
        <v>0</v>
      </c>
    </row>
    <row r="454" spans="2:38" ht="15" customHeight="1">
      <c r="B454" s="1037">
        <f>SUBTOTAL(3,$I$310:I454)</f>
        <v>106</v>
      </c>
      <c r="C454" s="627" t="e">
        <f>ПВХ_мембрана</f>
        <v>#N/A</v>
      </c>
      <c r="D454" s="627"/>
      <c r="E454" s="627"/>
      <c r="F454" s="627"/>
      <c r="G454" s="627" t="str">
        <f>" "</f>
        <v xml:space="preserve"> </v>
      </c>
      <c r="H454" s="608">
        <v>1.1499999999999999</v>
      </c>
      <c r="I454" s="609">
        <f>IFERROR(ROUNDUP($Y$92*H454,0),0)</f>
        <v>0</v>
      </c>
      <c r="J454" s="1013" t="s">
        <v>112</v>
      </c>
      <c r="K454" s="610"/>
      <c r="L454" s="610">
        <f t="shared" si="90"/>
        <v>0</v>
      </c>
      <c r="N454" s="1032">
        <f t="shared" si="89"/>
        <v>0</v>
      </c>
    </row>
    <row r="455" spans="2:38" ht="15" customHeight="1">
      <c r="B455" s="1037">
        <f>SUBTOTAL(3,$I$310:I455)</f>
        <v>107</v>
      </c>
      <c r="C455" s="627" t="s">
        <v>337</v>
      </c>
      <c r="D455" s="627"/>
      <c r="E455" s="627"/>
      <c r="F455" s="627">
        <f>$AG$92</f>
        <v>0</v>
      </c>
      <c r="G455" s="627" t="s">
        <v>150</v>
      </c>
      <c r="H455" s="608" t="str">
        <f>" "</f>
        <v xml:space="preserve"> </v>
      </c>
      <c r="I455" s="611">
        <f>IFERROR($AH$92,0)</f>
        <v>0</v>
      </c>
      <c r="J455" s="1013" t="s">
        <v>190</v>
      </c>
      <c r="K455" s="610"/>
      <c r="L455" s="610">
        <f t="shared" si="90"/>
        <v>0</v>
      </c>
      <c r="N455" s="1032">
        <f t="shared" si="89"/>
        <v>0</v>
      </c>
    </row>
    <row r="456" spans="2:38" ht="15" customHeight="1">
      <c r="B456" s="1037">
        <f>SUBTOTAL(3,$I$310:I456)</f>
        <v>108</v>
      </c>
      <c r="C456" s="627" t="s">
        <v>337</v>
      </c>
      <c r="D456" s="627"/>
      <c r="E456" s="627"/>
      <c r="F456" s="627">
        <f>$AK$92</f>
        <v>0</v>
      </c>
      <c r="G456" s="627" t="s">
        <v>150</v>
      </c>
      <c r="H456" s="608" t="str">
        <f>" "</f>
        <v xml:space="preserve"> </v>
      </c>
      <c r="I456" s="611">
        <v>0</v>
      </c>
      <c r="J456" s="1013" t="s">
        <v>190</v>
      </c>
      <c r="K456" s="610"/>
      <c r="L456" s="610">
        <f t="shared" si="90"/>
        <v>0</v>
      </c>
      <c r="N456" s="1032">
        <f t="shared" si="89"/>
        <v>0</v>
      </c>
    </row>
    <row r="457" spans="2:38" ht="15" customHeight="1">
      <c r="B457" s="1037">
        <f>SUBTOTAL(3,$I$310:I457)</f>
        <v>109</v>
      </c>
      <c r="C457" s="627" t="s">
        <v>268</v>
      </c>
      <c r="D457" s="627"/>
      <c r="E457" s="627"/>
      <c r="F457" s="627">
        <f>$AI$92</f>
        <v>0</v>
      </c>
      <c r="G457" s="627" t="s">
        <v>150</v>
      </c>
      <c r="H457" s="608" t="str">
        <f>" "</f>
        <v xml:space="preserve"> </v>
      </c>
      <c r="I457" s="611">
        <f>IFERROR($AJ$92,0)</f>
        <v>0</v>
      </c>
      <c r="J457" s="1013" t="s">
        <v>190</v>
      </c>
      <c r="K457" s="610"/>
      <c r="L457" s="610">
        <f t="shared" si="90"/>
        <v>0</v>
      </c>
      <c r="N457" s="1032">
        <f t="shared" si="89"/>
        <v>0</v>
      </c>
    </row>
    <row r="458" spans="2:38" ht="15" customHeight="1">
      <c r="B458" s="1037">
        <f>SUBTOTAL(3,$I$310:I458)</f>
        <v>110</v>
      </c>
      <c r="C458" s="627">
        <f>$W$92</f>
        <v>0</v>
      </c>
      <c r="D458" s="627"/>
      <c r="E458" s="627"/>
      <c r="F458" s="627">
        <f>$V$92</f>
        <v>0</v>
      </c>
      <c r="G458" s="627" t="s">
        <v>150</v>
      </c>
      <c r="H458" s="608">
        <v>1.03</v>
      </c>
      <c r="I458" s="609">
        <f>$AF$92</f>
        <v>0</v>
      </c>
      <c r="J458" s="1013" t="s">
        <v>178</v>
      </c>
      <c r="K458" s="610"/>
      <c r="L458" s="610">
        <f t="shared" si="90"/>
        <v>0</v>
      </c>
      <c r="N458" s="1032">
        <f t="shared" si="89"/>
        <v>0</v>
      </c>
    </row>
    <row r="459" spans="2:38" ht="30" customHeight="1">
      <c r="B459" s="691"/>
      <c r="C459" s="1183" t="str">
        <f>CONCATENATE($Q$95,$AE$9,$T$95,$AF$9)</f>
        <v>. Общая длина примыкания-  м.</v>
      </c>
      <c r="D459" s="1183"/>
      <c r="E459" s="1183"/>
      <c r="F459" s="1183"/>
      <c r="G459" s="1183"/>
      <c r="H459" s="1184"/>
      <c r="I459" s="1184"/>
      <c r="J459" s="1184"/>
      <c r="K459" s="1185"/>
      <c r="L459" s="684">
        <f>SUM(L460:L473)</f>
        <v>0</v>
      </c>
      <c r="N459" s="1032">
        <f>IF(SUM(I460:I473)&gt;0,1,0)</f>
        <v>0</v>
      </c>
    </row>
    <row r="460" spans="2:38" ht="15" customHeight="1">
      <c r="B460" s="685"/>
      <c r="C460" s="627"/>
      <c r="D460" s="627"/>
      <c r="E460" s="627"/>
      <c r="F460" s="627"/>
      <c r="G460" s="627"/>
      <c r="H460" s="608"/>
      <c r="I460" s="611"/>
      <c r="J460" s="1013"/>
      <c r="K460" s="610"/>
      <c r="L460" s="610">
        <f>IFERROR(I460*K460,0)</f>
        <v>0</v>
      </c>
      <c r="N460" s="1032">
        <f t="shared" ref="N460:N473" si="91">IF(I460&gt;0,1,0)</f>
        <v>0</v>
      </c>
    </row>
    <row r="461" spans="2:38" ht="15" customHeight="1">
      <c r="B461" s="1013">
        <f>SUBTOTAL(3,$I$310:I461)</f>
        <v>111</v>
      </c>
      <c r="C461" s="626" t="str">
        <f>IF(ТИП7!ПЛ&lt;1000,"Рейка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61" s="627"/>
      <c r="E461" s="627"/>
      <c r="F461" s="627"/>
      <c r="G461" s="627" t="str">
        <f t="shared" ref="G461:G467" si="92">" "</f>
        <v xml:space="preserve"> </v>
      </c>
      <c r="H461" s="608">
        <v>1.03</v>
      </c>
      <c r="I461" s="614">
        <f>IFERROR(ROUNDUP($AA$95*H461,2),0)</f>
        <v>0</v>
      </c>
      <c r="J461" s="1013" t="s">
        <v>264</v>
      </c>
      <c r="K461" s="610"/>
      <c r="L461" s="610">
        <f>IFERROR(I461*K461,0)</f>
        <v>0</v>
      </c>
      <c r="N461" s="1032">
        <f t="shared" si="91"/>
        <v>0</v>
      </c>
    </row>
    <row r="462" spans="2:38" ht="15" customHeight="1">
      <c r="B462" s="1013">
        <f>SUBTOTAL(3,$I$310:I462)</f>
        <v>112</v>
      </c>
      <c r="C462" s="626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62" s="627"/>
      <c r="E462" s="627"/>
      <c r="F462" s="627"/>
      <c r="G462" s="627" t="str">
        <f t="shared" si="92"/>
        <v xml:space="preserve"> </v>
      </c>
      <c r="H462" s="608">
        <v>1.03</v>
      </c>
      <c r="I462" s="614">
        <f>IFERROR(ROUNDUP($Z$95*H462,2),0)</f>
        <v>0</v>
      </c>
      <c r="J462" s="1013" t="s">
        <v>264</v>
      </c>
      <c r="K462" s="610"/>
      <c r="L462" s="610">
        <f t="shared" ref="L462:L473" si="93">IFERROR(I462*K462,0)</f>
        <v>0</v>
      </c>
      <c r="N462" s="1032">
        <f t="shared" si="91"/>
        <v>0</v>
      </c>
    </row>
    <row r="463" spans="2:38" ht="15" customHeight="1">
      <c r="B463" s="1013">
        <f>SUBTOTAL(3,$I$310:I463)</f>
        <v>113</v>
      </c>
      <c r="C463" s="627" t="s">
        <v>559</v>
      </c>
      <c r="D463" s="627"/>
      <c r="E463" s="627"/>
      <c r="F463" s="627"/>
      <c r="G463" s="627" t="str">
        <f t="shared" si="92"/>
        <v xml:space="preserve"> </v>
      </c>
      <c r="H463" s="608">
        <v>5</v>
      </c>
      <c r="I463" s="611">
        <f>IFERROR($AC$95*H463*1.03,0)</f>
        <v>0</v>
      </c>
      <c r="J463" s="1013" t="s">
        <v>151</v>
      </c>
      <c r="K463" s="610"/>
      <c r="L463" s="610">
        <f t="shared" si="93"/>
        <v>0</v>
      </c>
      <c r="N463" s="1032">
        <f t="shared" si="91"/>
        <v>0</v>
      </c>
    </row>
    <row r="464" spans="2:38" ht="15" customHeight="1">
      <c r="B464" s="1013">
        <f>SUBTOTAL(3,$I$310:I464)</f>
        <v>114</v>
      </c>
      <c r="C464" s="627" t="s">
        <v>189</v>
      </c>
      <c r="D464" s="627"/>
      <c r="E464" s="627"/>
      <c r="F464" s="627"/>
      <c r="G464" s="627" t="str">
        <f t="shared" si="92"/>
        <v xml:space="preserve"> </v>
      </c>
      <c r="H464" s="608">
        <v>5</v>
      </c>
      <c r="I464" s="611">
        <f>IFERROR($AE$95,0)</f>
        <v>0</v>
      </c>
      <c r="J464" s="1013" t="s">
        <v>151</v>
      </c>
      <c r="K464" s="610"/>
      <c r="L464" s="610">
        <f t="shared" si="93"/>
        <v>0</v>
      </c>
      <c r="N464" s="1032">
        <f t="shared" si="91"/>
        <v>0</v>
      </c>
    </row>
    <row r="465" spans="2:14" ht="15" customHeight="1">
      <c r="B465" s="1013">
        <f>SUBTOTAL(3,$I$310:I465)</f>
        <v>115</v>
      </c>
      <c r="C465" s="627" t="s">
        <v>1459</v>
      </c>
      <c r="D465" s="627"/>
      <c r="E465" s="627"/>
      <c r="F465" s="627"/>
      <c r="G465" s="627" t="str">
        <f t="shared" si="92"/>
        <v xml:space="preserve"> </v>
      </c>
      <c r="H465" s="608">
        <v>5</v>
      </c>
      <c r="I465" s="611">
        <f>IFERROR($AD$95*H465*1.03,0)</f>
        <v>0</v>
      </c>
      <c r="J465" s="1013" t="s">
        <v>151</v>
      </c>
      <c r="K465" s="610"/>
      <c r="L465" s="610">
        <f t="shared" si="93"/>
        <v>0</v>
      </c>
      <c r="N465" s="1032">
        <f t="shared" si="91"/>
        <v>0</v>
      </c>
    </row>
    <row r="466" spans="2:14" ht="15" customHeight="1">
      <c r="B466" s="1013">
        <f>SUBTOTAL(3,$I$310:I466)</f>
        <v>116</v>
      </c>
      <c r="C466" s="627" t="s">
        <v>192</v>
      </c>
      <c r="D466" s="627"/>
      <c r="E466" s="627"/>
      <c r="F466" s="627"/>
      <c r="G466" s="627" t="str">
        <f t="shared" si="92"/>
        <v xml:space="preserve"> </v>
      </c>
      <c r="H466" s="608">
        <v>1.1000000000000001</v>
      </c>
      <c r="I466" s="609">
        <f>IFERROR(ROUNDUP($AB$95*H466,0),0)</f>
        <v>0</v>
      </c>
      <c r="J466" s="1013" t="s">
        <v>112</v>
      </c>
      <c r="K466" s="610"/>
      <c r="L466" s="610">
        <f t="shared" si="93"/>
        <v>0</v>
      </c>
      <c r="N466" s="1032">
        <f t="shared" si="91"/>
        <v>0</v>
      </c>
    </row>
    <row r="467" spans="2:14" ht="15" customHeight="1">
      <c r="B467" s="1013">
        <f>SUBTOTAL(3,$I$310:I467)</f>
        <v>117</v>
      </c>
      <c r="C467" s="627" t="s">
        <v>936</v>
      </c>
      <c r="D467" s="627"/>
      <c r="E467" s="627"/>
      <c r="F467" s="627"/>
      <c r="G467" s="627" t="str">
        <f t="shared" si="92"/>
        <v xml:space="preserve"> </v>
      </c>
      <c r="H467" s="608">
        <v>0.15</v>
      </c>
      <c r="I467" s="611">
        <f>IFERROR(ROUNDUP($AA$95*H467/600*1000,0),0)</f>
        <v>0</v>
      </c>
      <c r="J467" s="1013" t="s">
        <v>151</v>
      </c>
      <c r="K467" s="610"/>
      <c r="L467" s="610">
        <f t="shared" si="93"/>
        <v>0</v>
      </c>
      <c r="N467" s="1032">
        <f t="shared" si="91"/>
        <v>0</v>
      </c>
    </row>
    <row r="468" spans="2:14" ht="15" customHeight="1">
      <c r="B468" s="685"/>
      <c r="C468" s="627"/>
      <c r="D468" s="627"/>
      <c r="E468" s="627"/>
      <c r="F468" s="627"/>
      <c r="G468" s="627"/>
      <c r="H468" s="608"/>
      <c r="I468" s="611"/>
      <c r="J468" s="1013"/>
      <c r="K468" s="610"/>
      <c r="L468" s="610">
        <f t="shared" si="93"/>
        <v>0</v>
      </c>
      <c r="N468" s="1032">
        <f t="shared" si="91"/>
        <v>0</v>
      </c>
    </row>
    <row r="469" spans="2:14" ht="15" customHeight="1">
      <c r="B469" s="1037">
        <f>SUBTOTAL(3,$I$310:I469)</f>
        <v>118</v>
      </c>
      <c r="C469" s="627" t="e">
        <f>ПВХ_мембрана</f>
        <v>#N/A</v>
      </c>
      <c r="D469" s="627"/>
      <c r="E469" s="627"/>
      <c r="F469" s="627"/>
      <c r="G469" s="627" t="str">
        <f>" "</f>
        <v xml:space="preserve"> </v>
      </c>
      <c r="H469" s="608">
        <v>1.1499999999999999</v>
      </c>
      <c r="I469" s="609">
        <f>IFERROR(ROUNDUP($Y$95*H469,0),0)</f>
        <v>0</v>
      </c>
      <c r="J469" s="1013" t="s">
        <v>112</v>
      </c>
      <c r="K469" s="610"/>
      <c r="L469" s="610">
        <f t="shared" si="93"/>
        <v>0</v>
      </c>
      <c r="N469" s="1032">
        <f t="shared" si="91"/>
        <v>0</v>
      </c>
    </row>
    <row r="470" spans="2:14" ht="15" customHeight="1">
      <c r="B470" s="1037">
        <f>SUBTOTAL(3,$I$310:I470)</f>
        <v>119</v>
      </c>
      <c r="C470" s="627" t="s">
        <v>337</v>
      </c>
      <c r="D470" s="627"/>
      <c r="E470" s="627"/>
      <c r="F470" s="627">
        <f>$AG$95</f>
        <v>0</v>
      </c>
      <c r="G470" s="627" t="s">
        <v>150</v>
      </c>
      <c r="H470" s="608" t="str">
        <f>" "</f>
        <v xml:space="preserve"> </v>
      </c>
      <c r="I470" s="611">
        <f>IFERROR($AH$95,0)</f>
        <v>0</v>
      </c>
      <c r="J470" s="1013" t="s">
        <v>190</v>
      </c>
      <c r="K470" s="610"/>
      <c r="L470" s="610">
        <f t="shared" si="93"/>
        <v>0</v>
      </c>
      <c r="N470" s="1032">
        <f t="shared" si="91"/>
        <v>0</v>
      </c>
    </row>
    <row r="471" spans="2:14" ht="15" customHeight="1">
      <c r="B471" s="1037">
        <f>SUBTOTAL(3,$I$310:I471)</f>
        <v>120</v>
      </c>
      <c r="C471" s="627" t="s">
        <v>337</v>
      </c>
      <c r="D471" s="627"/>
      <c r="E471" s="627"/>
      <c r="F471" s="627">
        <f>$AK$95</f>
        <v>0</v>
      </c>
      <c r="G471" s="627" t="s">
        <v>150</v>
      </c>
      <c r="H471" s="608" t="str">
        <f>" "</f>
        <v xml:space="preserve"> </v>
      </c>
      <c r="I471" s="611">
        <v>0</v>
      </c>
      <c r="J471" s="1013" t="s">
        <v>190</v>
      </c>
      <c r="K471" s="610"/>
      <c r="L471" s="610">
        <f t="shared" si="93"/>
        <v>0</v>
      </c>
      <c r="N471" s="1032">
        <f t="shared" si="91"/>
        <v>0</v>
      </c>
    </row>
    <row r="472" spans="2:14" ht="15" customHeight="1">
      <c r="B472" s="1037">
        <f>SUBTOTAL(3,$I$310:I472)</f>
        <v>121</v>
      </c>
      <c r="C472" s="627" t="s">
        <v>268</v>
      </c>
      <c r="D472" s="627"/>
      <c r="E472" s="627"/>
      <c r="F472" s="627">
        <f>$AI$95</f>
        <v>0</v>
      </c>
      <c r="G472" s="627" t="s">
        <v>150</v>
      </c>
      <c r="H472" s="608" t="str">
        <f>" "</f>
        <v xml:space="preserve"> </v>
      </c>
      <c r="I472" s="611">
        <f>IFERROR($AJ$95,0)</f>
        <v>0</v>
      </c>
      <c r="J472" s="1013" t="s">
        <v>190</v>
      </c>
      <c r="K472" s="610"/>
      <c r="L472" s="610">
        <f t="shared" si="93"/>
        <v>0</v>
      </c>
      <c r="N472" s="1032">
        <f t="shared" si="91"/>
        <v>0</v>
      </c>
    </row>
    <row r="473" spans="2:14" ht="15" customHeight="1">
      <c r="B473" s="1037">
        <f>SUBTOTAL(3,$I$310:I473)</f>
        <v>122</v>
      </c>
      <c r="C473" s="627">
        <f>$W$95</f>
        <v>0</v>
      </c>
      <c r="D473" s="627"/>
      <c r="E473" s="627"/>
      <c r="F473" s="627">
        <f>$V$95</f>
        <v>0</v>
      </c>
      <c r="G473" s="627" t="s">
        <v>150</v>
      </c>
      <c r="H473" s="608">
        <v>1.03</v>
      </c>
      <c r="I473" s="609">
        <f>$AF$95</f>
        <v>0</v>
      </c>
      <c r="J473" s="1013" t="s">
        <v>178</v>
      </c>
      <c r="K473" s="610"/>
      <c r="L473" s="610">
        <f t="shared" si="93"/>
        <v>0</v>
      </c>
      <c r="N473" s="1032">
        <f t="shared" si="91"/>
        <v>0</v>
      </c>
    </row>
    <row r="474" spans="2:14" ht="30" customHeight="1">
      <c r="B474" s="691"/>
      <c r="C474" s="1183" t="str">
        <f>CONCATENATE($Q$96,$AE$9,$T$96,$AF$9)</f>
        <v>. Общая длина примыкания-  м.</v>
      </c>
      <c r="D474" s="1183"/>
      <c r="E474" s="1183"/>
      <c r="F474" s="1183"/>
      <c r="G474" s="1183"/>
      <c r="H474" s="1184"/>
      <c r="I474" s="1184"/>
      <c r="J474" s="1184"/>
      <c r="K474" s="1185"/>
      <c r="L474" s="684">
        <f>SUM(L475:L488)</f>
        <v>0</v>
      </c>
      <c r="N474" s="1032">
        <f>IF(SUM(I475:I488)&gt;0,1,0)</f>
        <v>0</v>
      </c>
    </row>
    <row r="475" spans="2:14" ht="15" customHeight="1">
      <c r="B475" s="685"/>
      <c r="C475" s="627"/>
      <c r="D475" s="627"/>
      <c r="E475" s="627"/>
      <c r="F475" s="627"/>
      <c r="G475" s="627"/>
      <c r="H475" s="608"/>
      <c r="I475" s="611"/>
      <c r="J475" s="1013"/>
      <c r="K475" s="610"/>
      <c r="L475" s="610">
        <f>IFERROR(I475*K475,0)</f>
        <v>0</v>
      </c>
      <c r="N475" s="1032">
        <f t="shared" ref="N475:N488" si="94">IF(I475&gt;0,1,0)</f>
        <v>0</v>
      </c>
    </row>
    <row r="476" spans="2:14" ht="15" customHeight="1">
      <c r="B476" s="1013">
        <f>SUBTOTAL(3,$I$310:I476)</f>
        <v>123</v>
      </c>
      <c r="C476" s="626" t="str">
        <f>IF(ТИП7!ПЛ&lt;1000,"Рейка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76" s="627"/>
      <c r="E476" s="627"/>
      <c r="F476" s="627"/>
      <c r="G476" s="627" t="str">
        <f t="shared" ref="G476:G482" si="95">" "</f>
        <v xml:space="preserve"> </v>
      </c>
      <c r="H476" s="608">
        <v>1.03</v>
      </c>
      <c r="I476" s="614">
        <f>IFERROR(ROUNDUP($AA$96*H476,2),0)</f>
        <v>0</v>
      </c>
      <c r="J476" s="1013" t="s">
        <v>264</v>
      </c>
      <c r="K476" s="610"/>
      <c r="L476" s="610">
        <f>IFERROR(I476*K476,0)</f>
        <v>0</v>
      </c>
      <c r="N476" s="1032">
        <f t="shared" si="94"/>
        <v>0</v>
      </c>
    </row>
    <row r="477" spans="2:14" ht="15" customHeight="1">
      <c r="B477" s="1013">
        <f>SUBTOTAL(3,$I$310:I477)</f>
        <v>124</v>
      </c>
      <c r="C477" s="626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77" s="627"/>
      <c r="E477" s="627"/>
      <c r="F477" s="627"/>
      <c r="G477" s="627" t="str">
        <f t="shared" si="95"/>
        <v xml:space="preserve"> </v>
      </c>
      <c r="H477" s="608">
        <v>1.03</v>
      </c>
      <c r="I477" s="614">
        <f>IFERROR(ROUNDUP($Z$96*H477,2),0)</f>
        <v>0</v>
      </c>
      <c r="J477" s="1013" t="s">
        <v>264</v>
      </c>
      <c r="K477" s="610"/>
      <c r="L477" s="610">
        <f t="shared" ref="L477:L488" si="96">IFERROR(I477*K477,0)</f>
        <v>0</v>
      </c>
      <c r="N477" s="1032">
        <f t="shared" si="94"/>
        <v>0</v>
      </c>
    </row>
    <row r="478" spans="2:14" ht="15" customHeight="1">
      <c r="B478" s="1013">
        <f>SUBTOTAL(3,$I$310:I478)</f>
        <v>125</v>
      </c>
      <c r="C478" s="627" t="s">
        <v>559</v>
      </c>
      <c r="D478" s="627"/>
      <c r="E478" s="627"/>
      <c r="F478" s="627"/>
      <c r="G478" s="627" t="str">
        <f t="shared" si="95"/>
        <v xml:space="preserve"> </v>
      </c>
      <c r="H478" s="608">
        <v>5</v>
      </c>
      <c r="I478" s="611">
        <f>IFERROR($AC$96*H478*1.03,0)</f>
        <v>0</v>
      </c>
      <c r="J478" s="1013" t="s">
        <v>151</v>
      </c>
      <c r="K478" s="610"/>
      <c r="L478" s="610">
        <f t="shared" si="96"/>
        <v>0</v>
      </c>
      <c r="N478" s="1032">
        <f t="shared" si="94"/>
        <v>0</v>
      </c>
    </row>
    <row r="479" spans="2:14" ht="15" customHeight="1">
      <c r="B479" s="1013">
        <f>SUBTOTAL(3,$I$310:I479)</f>
        <v>126</v>
      </c>
      <c r="C479" s="627" t="s">
        <v>189</v>
      </c>
      <c r="D479" s="627"/>
      <c r="E479" s="627"/>
      <c r="F479" s="627"/>
      <c r="G479" s="627" t="str">
        <f t="shared" si="95"/>
        <v xml:space="preserve"> </v>
      </c>
      <c r="H479" s="608">
        <v>5</v>
      </c>
      <c r="I479" s="611">
        <f>IFERROR($AE$96,0)</f>
        <v>0</v>
      </c>
      <c r="J479" s="1013" t="s">
        <v>151</v>
      </c>
      <c r="K479" s="610"/>
      <c r="L479" s="610">
        <f t="shared" si="96"/>
        <v>0</v>
      </c>
      <c r="N479" s="1032">
        <f t="shared" si="94"/>
        <v>0</v>
      </c>
    </row>
    <row r="480" spans="2:14" ht="15" customHeight="1">
      <c r="B480" s="1013">
        <f>SUBTOTAL(3,$I$310:I480)</f>
        <v>127</v>
      </c>
      <c r="C480" s="627" t="s">
        <v>1459</v>
      </c>
      <c r="D480" s="627"/>
      <c r="E480" s="627"/>
      <c r="F480" s="627"/>
      <c r="G480" s="627" t="str">
        <f t="shared" si="95"/>
        <v xml:space="preserve"> </v>
      </c>
      <c r="H480" s="608">
        <v>5</v>
      </c>
      <c r="I480" s="611">
        <f>IFERROR($AD$96*H480*1.03,0)</f>
        <v>0</v>
      </c>
      <c r="J480" s="1013" t="s">
        <v>151</v>
      </c>
      <c r="K480" s="610"/>
      <c r="L480" s="610">
        <f t="shared" si="96"/>
        <v>0</v>
      </c>
      <c r="N480" s="1032">
        <f t="shared" si="94"/>
        <v>0</v>
      </c>
    </row>
    <row r="481" spans="2:14" ht="15" customHeight="1">
      <c r="B481" s="1013">
        <f>SUBTOTAL(3,$I$310:I481)</f>
        <v>128</v>
      </c>
      <c r="C481" s="627" t="s">
        <v>192</v>
      </c>
      <c r="D481" s="627"/>
      <c r="E481" s="627"/>
      <c r="F481" s="627"/>
      <c r="G481" s="627" t="str">
        <f t="shared" si="95"/>
        <v xml:space="preserve"> </v>
      </c>
      <c r="H481" s="608">
        <v>1.1000000000000001</v>
      </c>
      <c r="I481" s="609">
        <f>IFERROR(ROUNDUP($AB$96*H481,0),0)</f>
        <v>0</v>
      </c>
      <c r="J481" s="1013" t="s">
        <v>112</v>
      </c>
      <c r="K481" s="610"/>
      <c r="L481" s="610">
        <f t="shared" si="96"/>
        <v>0</v>
      </c>
      <c r="N481" s="1032">
        <f t="shared" si="94"/>
        <v>0</v>
      </c>
    </row>
    <row r="482" spans="2:14" ht="15" customHeight="1">
      <c r="B482" s="1013">
        <f>SUBTOTAL(3,$I$310:I482)</f>
        <v>129</v>
      </c>
      <c r="C482" s="627" t="s">
        <v>936</v>
      </c>
      <c r="D482" s="627"/>
      <c r="E482" s="627"/>
      <c r="F482" s="627"/>
      <c r="G482" s="627" t="str">
        <f t="shared" si="95"/>
        <v xml:space="preserve"> </v>
      </c>
      <c r="H482" s="608">
        <v>0.15</v>
      </c>
      <c r="I482" s="611">
        <f>IFERROR(ROUNDUP($AA$96*H482/600*1000,0),0)</f>
        <v>0</v>
      </c>
      <c r="J482" s="1013" t="s">
        <v>151</v>
      </c>
      <c r="K482" s="610"/>
      <c r="L482" s="610">
        <f t="shared" si="96"/>
        <v>0</v>
      </c>
      <c r="N482" s="1032">
        <f t="shared" si="94"/>
        <v>0</v>
      </c>
    </row>
    <row r="483" spans="2:14" ht="15" customHeight="1">
      <c r="B483" s="685"/>
      <c r="C483" s="627"/>
      <c r="D483" s="627"/>
      <c r="E483" s="627"/>
      <c r="F483" s="627"/>
      <c r="G483" s="627"/>
      <c r="H483" s="608"/>
      <c r="I483" s="611"/>
      <c r="J483" s="1013"/>
      <c r="K483" s="610"/>
      <c r="L483" s="610">
        <f t="shared" si="96"/>
        <v>0</v>
      </c>
      <c r="N483" s="1032">
        <f t="shared" si="94"/>
        <v>0</v>
      </c>
    </row>
    <row r="484" spans="2:14" ht="15" customHeight="1">
      <c r="B484" s="1037">
        <f>SUBTOTAL(3,$I$310:I484)</f>
        <v>130</v>
      </c>
      <c r="C484" s="627" t="e">
        <f>ПВХ_мембрана</f>
        <v>#N/A</v>
      </c>
      <c r="D484" s="627"/>
      <c r="E484" s="627"/>
      <c r="F484" s="627"/>
      <c r="G484" s="627" t="str">
        <f>" "</f>
        <v xml:space="preserve"> </v>
      </c>
      <c r="H484" s="608">
        <v>1.1499999999999999</v>
      </c>
      <c r="I484" s="609">
        <f>IFERROR(ROUNDUP($Y$96*H484,0),0)</f>
        <v>0</v>
      </c>
      <c r="J484" s="1013" t="s">
        <v>112</v>
      </c>
      <c r="K484" s="610"/>
      <c r="L484" s="610">
        <f t="shared" si="96"/>
        <v>0</v>
      </c>
      <c r="N484" s="1032">
        <f t="shared" si="94"/>
        <v>0</v>
      </c>
    </row>
    <row r="485" spans="2:14" ht="15" customHeight="1">
      <c r="B485" s="1037">
        <f>SUBTOTAL(3,$I$310:I485)</f>
        <v>131</v>
      </c>
      <c r="C485" s="627" t="s">
        <v>337</v>
      </c>
      <c r="D485" s="627"/>
      <c r="E485" s="627"/>
      <c r="F485" s="627">
        <f>$AG$96</f>
        <v>0</v>
      </c>
      <c r="G485" s="627" t="s">
        <v>150</v>
      </c>
      <c r="H485" s="608" t="str">
        <f>" "</f>
        <v xml:space="preserve"> </v>
      </c>
      <c r="I485" s="611">
        <f>IFERROR($AH$96,0)</f>
        <v>0</v>
      </c>
      <c r="J485" s="1013" t="s">
        <v>190</v>
      </c>
      <c r="K485" s="610"/>
      <c r="L485" s="610">
        <f t="shared" si="96"/>
        <v>0</v>
      </c>
      <c r="N485" s="1032">
        <f t="shared" si="94"/>
        <v>0</v>
      </c>
    </row>
    <row r="486" spans="2:14" ht="15" customHeight="1">
      <c r="B486" s="1037">
        <f>SUBTOTAL(3,$I$310:I486)</f>
        <v>132</v>
      </c>
      <c r="C486" s="627" t="s">
        <v>337</v>
      </c>
      <c r="D486" s="627"/>
      <c r="E486" s="627"/>
      <c r="F486" s="627">
        <f>$AK$96</f>
        <v>0</v>
      </c>
      <c r="G486" s="627" t="s">
        <v>150</v>
      </c>
      <c r="H486" s="608" t="str">
        <f>" "</f>
        <v xml:space="preserve"> </v>
      </c>
      <c r="I486" s="611">
        <v>0</v>
      </c>
      <c r="J486" s="1013" t="s">
        <v>190</v>
      </c>
      <c r="K486" s="610"/>
      <c r="L486" s="610">
        <f t="shared" si="96"/>
        <v>0</v>
      </c>
      <c r="N486" s="1032">
        <f t="shared" si="94"/>
        <v>0</v>
      </c>
    </row>
    <row r="487" spans="2:14" ht="15" customHeight="1">
      <c r="B487" s="1037">
        <f>SUBTOTAL(3,$I$310:I487)</f>
        <v>133</v>
      </c>
      <c r="C487" s="627" t="s">
        <v>268</v>
      </c>
      <c r="D487" s="627"/>
      <c r="E487" s="627"/>
      <c r="F487" s="627">
        <f>$AI$96</f>
        <v>0</v>
      </c>
      <c r="G487" s="627" t="s">
        <v>150</v>
      </c>
      <c r="H487" s="608" t="str">
        <f>" "</f>
        <v xml:space="preserve"> </v>
      </c>
      <c r="I487" s="611">
        <f>IFERROR($AJ$96,0)</f>
        <v>0</v>
      </c>
      <c r="J487" s="1013" t="s">
        <v>190</v>
      </c>
      <c r="K487" s="610"/>
      <c r="L487" s="610">
        <f t="shared" si="96"/>
        <v>0</v>
      </c>
      <c r="N487" s="1032">
        <f t="shared" si="94"/>
        <v>0</v>
      </c>
    </row>
    <row r="488" spans="2:14" ht="15" customHeight="1">
      <c r="B488" s="1037">
        <f>SUBTOTAL(3,$I$310:I488)</f>
        <v>134</v>
      </c>
      <c r="C488" s="627">
        <f>$W$96</f>
        <v>0</v>
      </c>
      <c r="D488" s="627"/>
      <c r="E488" s="627"/>
      <c r="F488" s="627">
        <f>$V$96</f>
        <v>0</v>
      </c>
      <c r="G488" s="627" t="s">
        <v>150</v>
      </c>
      <c r="H488" s="608">
        <v>1.03</v>
      </c>
      <c r="I488" s="609">
        <f>$AF$96</f>
        <v>0</v>
      </c>
      <c r="J488" s="1013" t="s">
        <v>178</v>
      </c>
      <c r="K488" s="610"/>
      <c r="L488" s="610">
        <f t="shared" si="96"/>
        <v>0</v>
      </c>
      <c r="N488" s="1032">
        <f t="shared" si="94"/>
        <v>0</v>
      </c>
    </row>
    <row r="489" spans="2:14" ht="30" customHeight="1">
      <c r="B489" s="691"/>
      <c r="C489" s="1183" t="str">
        <f>CONCATENATE($Q$97,$AE$9,$T$97,$AF$9)</f>
        <v>. Общая длина примыкания-  м.</v>
      </c>
      <c r="D489" s="1183"/>
      <c r="E489" s="1183"/>
      <c r="F489" s="1183"/>
      <c r="G489" s="1183"/>
      <c r="H489" s="1184"/>
      <c r="I489" s="1184"/>
      <c r="J489" s="1184"/>
      <c r="K489" s="1185"/>
      <c r="L489" s="684">
        <f>SUM(L490:L503)</f>
        <v>0</v>
      </c>
      <c r="N489" s="1032">
        <f>IF(SUM(I490:I503)&gt;0,1,0)</f>
        <v>0</v>
      </c>
    </row>
    <row r="490" spans="2:14" ht="15" customHeight="1">
      <c r="B490" s="685"/>
      <c r="C490" s="627"/>
      <c r="D490" s="627"/>
      <c r="E490" s="627"/>
      <c r="F490" s="627"/>
      <c r="G490" s="627"/>
      <c r="H490" s="608"/>
      <c r="I490" s="611"/>
      <c r="J490" s="1013"/>
      <c r="K490" s="692"/>
      <c r="L490" s="610">
        <f>IFERROR(I490*K490,0)</f>
        <v>0</v>
      </c>
      <c r="N490" s="1032">
        <f t="shared" ref="N490:N503" si="97">IF(I490&gt;0,1,0)</f>
        <v>0</v>
      </c>
    </row>
    <row r="491" spans="2:14" ht="15" customHeight="1">
      <c r="B491" s="1013">
        <f>SUBTOTAL(3,$I$310:I491)</f>
        <v>135</v>
      </c>
      <c r="C491" s="626" t="str">
        <f>IF(ТИП7!ПЛ&lt;1000,"Рейка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491" s="627"/>
      <c r="E491" s="627"/>
      <c r="F491" s="627"/>
      <c r="G491" s="627" t="str">
        <f t="shared" ref="G491:G497" si="98">" "</f>
        <v xml:space="preserve"> </v>
      </c>
      <c r="H491" s="608">
        <v>1.03</v>
      </c>
      <c r="I491" s="614">
        <f>IFERROR(ROUNDUP($AA$97*H491,2),0)</f>
        <v>0</v>
      </c>
      <c r="J491" s="1013" t="s">
        <v>264</v>
      </c>
      <c r="K491" s="692"/>
      <c r="L491" s="610">
        <f>IFERROR(I491*K491,0)</f>
        <v>0</v>
      </c>
      <c r="N491" s="1032">
        <f t="shared" si="97"/>
        <v>0</v>
      </c>
    </row>
    <row r="492" spans="2:14" ht="15" customHeight="1">
      <c r="B492" s="1013">
        <f>SUBTOTAL(3,$I$310:I492)</f>
        <v>136</v>
      </c>
      <c r="C492" s="626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492" s="627"/>
      <c r="E492" s="627"/>
      <c r="F492" s="627"/>
      <c r="G492" s="627" t="str">
        <f t="shared" si="98"/>
        <v xml:space="preserve"> </v>
      </c>
      <c r="H492" s="608">
        <v>1.03</v>
      </c>
      <c r="I492" s="614">
        <f>IFERROR(ROUNDUP($Z$97*H492,2),0)</f>
        <v>0</v>
      </c>
      <c r="J492" s="1013" t="s">
        <v>264</v>
      </c>
      <c r="K492" s="692"/>
      <c r="L492" s="610">
        <f t="shared" ref="L492:L503" si="99">IFERROR(I492*K492,0)</f>
        <v>0</v>
      </c>
      <c r="N492" s="1032">
        <f t="shared" si="97"/>
        <v>0</v>
      </c>
    </row>
    <row r="493" spans="2:14" ht="15" customHeight="1">
      <c r="B493" s="1013">
        <f>SUBTOTAL(3,$I$310:I493)</f>
        <v>137</v>
      </c>
      <c r="C493" s="627" t="s">
        <v>559</v>
      </c>
      <c r="D493" s="627"/>
      <c r="E493" s="627"/>
      <c r="F493" s="627"/>
      <c r="G493" s="627" t="str">
        <f t="shared" si="98"/>
        <v xml:space="preserve"> </v>
      </c>
      <c r="H493" s="608">
        <v>5</v>
      </c>
      <c r="I493" s="611">
        <f>IFERROR($AC$97*H493*1.03,0)</f>
        <v>0</v>
      </c>
      <c r="J493" s="1013" t="s">
        <v>151</v>
      </c>
      <c r="K493" s="692"/>
      <c r="L493" s="610">
        <f t="shared" si="99"/>
        <v>0</v>
      </c>
      <c r="N493" s="1032">
        <f t="shared" si="97"/>
        <v>0</v>
      </c>
    </row>
    <row r="494" spans="2:14" ht="15" customHeight="1">
      <c r="B494" s="1013">
        <f>SUBTOTAL(3,$I$310:I494)</f>
        <v>138</v>
      </c>
      <c r="C494" s="627" t="s">
        <v>189</v>
      </c>
      <c r="D494" s="627"/>
      <c r="E494" s="627"/>
      <c r="F494" s="627"/>
      <c r="G494" s="627" t="str">
        <f t="shared" si="98"/>
        <v xml:space="preserve"> </v>
      </c>
      <c r="H494" s="608">
        <v>5</v>
      </c>
      <c r="I494" s="611">
        <f>IFERROR($AE$97,0)</f>
        <v>0</v>
      </c>
      <c r="J494" s="1013" t="s">
        <v>151</v>
      </c>
      <c r="K494" s="692"/>
      <c r="L494" s="610">
        <f t="shared" si="99"/>
        <v>0</v>
      </c>
      <c r="N494" s="1032">
        <f t="shared" si="97"/>
        <v>0</v>
      </c>
    </row>
    <row r="495" spans="2:14" ht="15" customHeight="1">
      <c r="B495" s="1013">
        <f>SUBTOTAL(3,$I$310:I495)</f>
        <v>139</v>
      </c>
      <c r="C495" s="627" t="s">
        <v>1459</v>
      </c>
      <c r="D495" s="627"/>
      <c r="E495" s="627"/>
      <c r="F495" s="627"/>
      <c r="G495" s="627" t="str">
        <f t="shared" si="98"/>
        <v xml:space="preserve"> </v>
      </c>
      <c r="H495" s="608">
        <v>5</v>
      </c>
      <c r="I495" s="611">
        <f>IFERROR($AD$97*H495*1.03,0)</f>
        <v>0</v>
      </c>
      <c r="J495" s="1013" t="s">
        <v>151</v>
      </c>
      <c r="K495" s="692"/>
      <c r="L495" s="610">
        <f t="shared" si="99"/>
        <v>0</v>
      </c>
      <c r="N495" s="1032">
        <f t="shared" si="97"/>
        <v>0</v>
      </c>
    </row>
    <row r="496" spans="2:14" ht="15" customHeight="1">
      <c r="B496" s="1013">
        <f>SUBTOTAL(3,$I$310:I496)</f>
        <v>140</v>
      </c>
      <c r="C496" s="627" t="s">
        <v>192</v>
      </c>
      <c r="D496" s="627"/>
      <c r="E496" s="627"/>
      <c r="F496" s="627"/>
      <c r="G496" s="627" t="str">
        <f t="shared" si="98"/>
        <v xml:space="preserve"> </v>
      </c>
      <c r="H496" s="608">
        <v>1.1000000000000001</v>
      </c>
      <c r="I496" s="609">
        <f>IFERROR(ROUNDUP($AB$97*H496,0),0)</f>
        <v>0</v>
      </c>
      <c r="J496" s="1013" t="s">
        <v>112</v>
      </c>
      <c r="K496" s="692"/>
      <c r="L496" s="610">
        <f t="shared" si="99"/>
        <v>0</v>
      </c>
      <c r="N496" s="1032">
        <f t="shared" si="97"/>
        <v>0</v>
      </c>
    </row>
    <row r="497" spans="2:14" ht="15" customHeight="1">
      <c r="B497" s="1013">
        <f>SUBTOTAL(3,$I$310:I497)</f>
        <v>141</v>
      </c>
      <c r="C497" s="627" t="s">
        <v>936</v>
      </c>
      <c r="D497" s="627"/>
      <c r="E497" s="627"/>
      <c r="F497" s="627"/>
      <c r="G497" s="627" t="str">
        <f t="shared" si="98"/>
        <v xml:space="preserve"> </v>
      </c>
      <c r="H497" s="608">
        <v>0.15</v>
      </c>
      <c r="I497" s="611">
        <f>IFERROR(ROUNDUP($AA$97*H497/600*1000,0),0)</f>
        <v>0</v>
      </c>
      <c r="J497" s="1013" t="s">
        <v>151</v>
      </c>
      <c r="K497" s="692"/>
      <c r="L497" s="610">
        <f t="shared" si="99"/>
        <v>0</v>
      </c>
      <c r="N497" s="1032">
        <f t="shared" si="97"/>
        <v>0</v>
      </c>
    </row>
    <row r="498" spans="2:14" ht="15" customHeight="1">
      <c r="B498" s="685"/>
      <c r="C498" s="627"/>
      <c r="D498" s="627"/>
      <c r="E498" s="627"/>
      <c r="F498" s="627"/>
      <c r="G498" s="627"/>
      <c r="H498" s="608"/>
      <c r="I498" s="611"/>
      <c r="J498" s="1013"/>
      <c r="K498" s="692"/>
      <c r="L498" s="610">
        <f t="shared" si="99"/>
        <v>0</v>
      </c>
      <c r="N498" s="1032">
        <f t="shared" si="97"/>
        <v>0</v>
      </c>
    </row>
    <row r="499" spans="2:14" ht="15" customHeight="1">
      <c r="B499" s="1037">
        <f>SUBTOTAL(3,$I$310:I499)</f>
        <v>142</v>
      </c>
      <c r="C499" s="627" t="e">
        <f>ПВХ_мембрана</f>
        <v>#N/A</v>
      </c>
      <c r="D499" s="627"/>
      <c r="E499" s="627"/>
      <c r="F499" s="627"/>
      <c r="G499" s="627" t="str">
        <f>" "</f>
        <v xml:space="preserve"> </v>
      </c>
      <c r="H499" s="608">
        <v>1.1499999999999999</v>
      </c>
      <c r="I499" s="609">
        <f>IFERROR(ROUNDUP($Y$97*H499,0),0)</f>
        <v>0</v>
      </c>
      <c r="J499" s="1013" t="s">
        <v>112</v>
      </c>
      <c r="K499" s="692"/>
      <c r="L499" s="610">
        <f t="shared" si="99"/>
        <v>0</v>
      </c>
      <c r="N499" s="1032">
        <f t="shared" si="97"/>
        <v>0</v>
      </c>
    </row>
    <row r="500" spans="2:14" ht="15" customHeight="1">
      <c r="B500" s="1037">
        <f>SUBTOTAL(3,$I$310:I500)</f>
        <v>143</v>
      </c>
      <c r="C500" s="627" t="s">
        <v>337</v>
      </c>
      <c r="D500" s="627"/>
      <c r="E500" s="627"/>
      <c r="F500" s="627">
        <f>$AG$97</f>
        <v>0</v>
      </c>
      <c r="G500" s="627" t="s">
        <v>150</v>
      </c>
      <c r="H500" s="608" t="str">
        <f>" "</f>
        <v xml:space="preserve"> </v>
      </c>
      <c r="I500" s="611">
        <f>IFERROR($AH$97,0)</f>
        <v>0</v>
      </c>
      <c r="J500" s="1013" t="s">
        <v>190</v>
      </c>
      <c r="K500" s="692"/>
      <c r="L500" s="610">
        <f t="shared" si="99"/>
        <v>0</v>
      </c>
      <c r="N500" s="1032">
        <f t="shared" si="97"/>
        <v>0</v>
      </c>
    </row>
    <row r="501" spans="2:14" ht="15" customHeight="1">
      <c r="B501" s="1037">
        <f>SUBTOTAL(3,$I$310:I501)</f>
        <v>144</v>
      </c>
      <c r="C501" s="627" t="s">
        <v>337</v>
      </c>
      <c r="D501" s="627"/>
      <c r="E501" s="627"/>
      <c r="F501" s="627">
        <f>$AK$97</f>
        <v>0</v>
      </c>
      <c r="G501" s="627" t="s">
        <v>150</v>
      </c>
      <c r="H501" s="608" t="str">
        <f>" "</f>
        <v xml:space="preserve"> </v>
      </c>
      <c r="I501" s="611">
        <v>0</v>
      </c>
      <c r="J501" s="1013" t="s">
        <v>190</v>
      </c>
      <c r="K501" s="692"/>
      <c r="L501" s="610">
        <f t="shared" si="99"/>
        <v>0</v>
      </c>
      <c r="N501" s="1032">
        <f t="shared" si="97"/>
        <v>0</v>
      </c>
    </row>
    <row r="502" spans="2:14" ht="15" customHeight="1">
      <c r="B502" s="1037">
        <f>SUBTOTAL(3,$I$310:I502)</f>
        <v>145</v>
      </c>
      <c r="C502" s="627" t="s">
        <v>268</v>
      </c>
      <c r="D502" s="627"/>
      <c r="E502" s="627"/>
      <c r="F502" s="627">
        <f>$AI$97</f>
        <v>0</v>
      </c>
      <c r="G502" s="627" t="s">
        <v>150</v>
      </c>
      <c r="H502" s="608" t="str">
        <f>" "</f>
        <v xml:space="preserve"> </v>
      </c>
      <c r="I502" s="611">
        <f>IFERROR($AJ$97,0)</f>
        <v>0</v>
      </c>
      <c r="J502" s="1013" t="s">
        <v>190</v>
      </c>
      <c r="K502" s="692"/>
      <c r="L502" s="610">
        <f t="shared" si="99"/>
        <v>0</v>
      </c>
      <c r="N502" s="1032">
        <f t="shared" si="97"/>
        <v>0</v>
      </c>
    </row>
    <row r="503" spans="2:14" ht="15" customHeight="1">
      <c r="B503" s="1037">
        <f>SUBTOTAL(3,$I$310:I503)</f>
        <v>146</v>
      </c>
      <c r="C503" s="627">
        <f>$W$97</f>
        <v>0</v>
      </c>
      <c r="D503" s="627"/>
      <c r="E503" s="627"/>
      <c r="F503" s="627">
        <f>$V$97</f>
        <v>0</v>
      </c>
      <c r="G503" s="627" t="s">
        <v>150</v>
      </c>
      <c r="H503" s="608">
        <v>1.03</v>
      </c>
      <c r="I503" s="609">
        <f>$AF$97</f>
        <v>0</v>
      </c>
      <c r="J503" s="1013" t="s">
        <v>178</v>
      </c>
      <c r="K503" s="692"/>
      <c r="L503" s="610">
        <f t="shared" si="99"/>
        <v>0</v>
      </c>
      <c r="N503" s="1032">
        <f t="shared" si="97"/>
        <v>0</v>
      </c>
    </row>
    <row r="504" spans="2:14" ht="30" customHeight="1">
      <c r="B504" s="691"/>
      <c r="C504" s="1183" t="str">
        <f>CONCATENATE($Q$98,$AE$9,$T$98,$AF$9)</f>
        <v>. Общая длина примыкания-  м.</v>
      </c>
      <c r="D504" s="1183"/>
      <c r="E504" s="1183"/>
      <c r="F504" s="1183"/>
      <c r="G504" s="1183"/>
      <c r="H504" s="1184"/>
      <c r="I504" s="1184"/>
      <c r="J504" s="1184"/>
      <c r="K504" s="1185"/>
      <c r="L504" s="684">
        <f>SUM(L505:L518)</f>
        <v>0</v>
      </c>
      <c r="N504" s="1032">
        <f>IF(SUM(I505:I518)&gt;0,1,0)</f>
        <v>0</v>
      </c>
    </row>
    <row r="505" spans="2:14" ht="15" customHeight="1">
      <c r="B505" s="685"/>
      <c r="C505" s="627"/>
      <c r="D505" s="627"/>
      <c r="E505" s="627"/>
      <c r="F505" s="627"/>
      <c r="G505" s="627"/>
      <c r="H505" s="608"/>
      <c r="I505" s="611"/>
      <c r="J505" s="1013"/>
      <c r="K505" s="610"/>
      <c r="L505" s="610">
        <f>IFERROR(I505*K505,0)</f>
        <v>0</v>
      </c>
      <c r="N505" s="1032">
        <f t="shared" ref="N505:N518" si="100">IF(I505&gt;0,1,0)</f>
        <v>0</v>
      </c>
    </row>
    <row r="506" spans="2:14" ht="15" customHeight="1">
      <c r="B506" s="1013">
        <f>SUBTOTAL(3,$I$310:I506)</f>
        <v>147</v>
      </c>
      <c r="C506" s="626" t="str">
        <f>IF(ТИП7!ПЛ&lt;1000,"Рейка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06" s="627"/>
      <c r="E506" s="627"/>
      <c r="F506" s="627"/>
      <c r="G506" s="627" t="str">
        <f t="shared" ref="G506:G512" si="101">" "</f>
        <v xml:space="preserve"> </v>
      </c>
      <c r="H506" s="608">
        <v>1.03</v>
      </c>
      <c r="I506" s="614">
        <f>IFERROR(ROUNDUP($AA$98*H506,2),0)</f>
        <v>0</v>
      </c>
      <c r="J506" s="1013" t="s">
        <v>264</v>
      </c>
      <c r="K506" s="610"/>
      <c r="L506" s="610">
        <f>IFERROR(I506*K506,0)</f>
        <v>0</v>
      </c>
      <c r="N506" s="1032">
        <f t="shared" si="100"/>
        <v>0</v>
      </c>
    </row>
    <row r="507" spans="2:14" ht="15" customHeight="1">
      <c r="B507" s="1013">
        <f>SUBTOTAL(3,$I$310:I507)</f>
        <v>148</v>
      </c>
      <c r="C507" s="626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07" s="627"/>
      <c r="E507" s="627"/>
      <c r="F507" s="627"/>
      <c r="G507" s="627" t="str">
        <f t="shared" si="101"/>
        <v xml:space="preserve"> </v>
      </c>
      <c r="H507" s="608">
        <v>1.03</v>
      </c>
      <c r="I507" s="614">
        <f>IFERROR(ROUNDUP($Z$98*H507,2),0)</f>
        <v>0</v>
      </c>
      <c r="J507" s="1013" t="s">
        <v>264</v>
      </c>
      <c r="K507" s="610"/>
      <c r="L507" s="610">
        <f t="shared" ref="L507:L518" si="102">IFERROR(I507*K507,0)</f>
        <v>0</v>
      </c>
      <c r="N507" s="1032">
        <f t="shared" si="100"/>
        <v>0</v>
      </c>
    </row>
    <row r="508" spans="2:14" ht="15" customHeight="1">
      <c r="B508" s="1013">
        <f>SUBTOTAL(3,$I$310:I508)</f>
        <v>149</v>
      </c>
      <c r="C508" s="627" t="s">
        <v>559</v>
      </c>
      <c r="D508" s="627"/>
      <c r="E508" s="627"/>
      <c r="F508" s="627"/>
      <c r="G508" s="627" t="str">
        <f t="shared" si="101"/>
        <v xml:space="preserve"> </v>
      </c>
      <c r="H508" s="608">
        <v>5</v>
      </c>
      <c r="I508" s="611">
        <f>IFERROR($AC$98*H508*1.03,0)</f>
        <v>0</v>
      </c>
      <c r="J508" s="1013" t="s">
        <v>151</v>
      </c>
      <c r="K508" s="610"/>
      <c r="L508" s="610">
        <f t="shared" si="102"/>
        <v>0</v>
      </c>
      <c r="N508" s="1032">
        <f t="shared" si="100"/>
        <v>0</v>
      </c>
    </row>
    <row r="509" spans="2:14" ht="15" customHeight="1">
      <c r="B509" s="1013">
        <f>SUBTOTAL(3,$I$310:I509)</f>
        <v>150</v>
      </c>
      <c r="C509" s="627" t="s">
        <v>189</v>
      </c>
      <c r="D509" s="627"/>
      <c r="E509" s="627"/>
      <c r="F509" s="627"/>
      <c r="G509" s="627" t="str">
        <f t="shared" si="101"/>
        <v xml:space="preserve"> </v>
      </c>
      <c r="H509" s="608">
        <v>5</v>
      </c>
      <c r="I509" s="611">
        <f>IFERROR($AE$98,0)</f>
        <v>0</v>
      </c>
      <c r="J509" s="1013" t="s">
        <v>151</v>
      </c>
      <c r="K509" s="610"/>
      <c r="L509" s="610">
        <f t="shared" si="102"/>
        <v>0</v>
      </c>
      <c r="N509" s="1032">
        <f t="shared" si="100"/>
        <v>0</v>
      </c>
    </row>
    <row r="510" spans="2:14" ht="15" customHeight="1">
      <c r="B510" s="1013">
        <f>SUBTOTAL(3,$I$310:I510)</f>
        <v>151</v>
      </c>
      <c r="C510" s="627" t="s">
        <v>1459</v>
      </c>
      <c r="D510" s="627"/>
      <c r="E510" s="627"/>
      <c r="F510" s="627"/>
      <c r="G510" s="627" t="str">
        <f t="shared" si="101"/>
        <v xml:space="preserve"> </v>
      </c>
      <c r="H510" s="608">
        <v>5</v>
      </c>
      <c r="I510" s="611">
        <f>IFERROR($AD$98*H510*1.03,0)</f>
        <v>0</v>
      </c>
      <c r="J510" s="1013" t="s">
        <v>151</v>
      </c>
      <c r="K510" s="610"/>
      <c r="L510" s="610">
        <f t="shared" si="102"/>
        <v>0</v>
      </c>
      <c r="N510" s="1032">
        <f t="shared" si="100"/>
        <v>0</v>
      </c>
    </row>
    <row r="511" spans="2:14" ht="15" customHeight="1">
      <c r="B511" s="1013">
        <f>SUBTOTAL(3,$I$310:I511)</f>
        <v>152</v>
      </c>
      <c r="C511" s="627" t="s">
        <v>192</v>
      </c>
      <c r="D511" s="627"/>
      <c r="E511" s="627"/>
      <c r="F511" s="627"/>
      <c r="G511" s="627" t="str">
        <f t="shared" si="101"/>
        <v xml:space="preserve"> </v>
      </c>
      <c r="H511" s="608">
        <v>1.1000000000000001</v>
      </c>
      <c r="I511" s="609">
        <f>IFERROR(ROUNDUP($AB$98*H511,0),0)</f>
        <v>0</v>
      </c>
      <c r="J511" s="1013" t="s">
        <v>112</v>
      </c>
      <c r="K511" s="610"/>
      <c r="L511" s="610">
        <f t="shared" si="102"/>
        <v>0</v>
      </c>
      <c r="N511" s="1032">
        <f t="shared" si="100"/>
        <v>0</v>
      </c>
    </row>
    <row r="512" spans="2:14" ht="15" customHeight="1">
      <c r="B512" s="1013">
        <f>SUBTOTAL(3,$I$310:I512)</f>
        <v>153</v>
      </c>
      <c r="C512" s="627" t="s">
        <v>936</v>
      </c>
      <c r="D512" s="627"/>
      <c r="E512" s="627"/>
      <c r="F512" s="627"/>
      <c r="G512" s="627" t="str">
        <f t="shared" si="101"/>
        <v xml:space="preserve"> </v>
      </c>
      <c r="H512" s="608">
        <v>0.15</v>
      </c>
      <c r="I512" s="611">
        <f>IFERROR(ROUNDUP($AA$98*H512/600*1000,0),0)</f>
        <v>0</v>
      </c>
      <c r="J512" s="1013" t="s">
        <v>151</v>
      </c>
      <c r="K512" s="610"/>
      <c r="L512" s="610">
        <f t="shared" si="102"/>
        <v>0</v>
      </c>
      <c r="N512" s="1032">
        <f t="shared" si="100"/>
        <v>0</v>
      </c>
    </row>
    <row r="513" spans="1:14" ht="15" customHeight="1">
      <c r="B513" s="685"/>
      <c r="C513" s="627"/>
      <c r="D513" s="627"/>
      <c r="E513" s="627"/>
      <c r="F513" s="627"/>
      <c r="G513" s="627"/>
      <c r="H513" s="608"/>
      <c r="I513" s="611"/>
      <c r="J513" s="1013"/>
      <c r="K513" s="610"/>
      <c r="L513" s="610">
        <f t="shared" si="102"/>
        <v>0</v>
      </c>
      <c r="N513" s="1032">
        <f t="shared" si="100"/>
        <v>0</v>
      </c>
    </row>
    <row r="514" spans="1:14" ht="15" customHeight="1">
      <c r="B514" s="1037">
        <f>SUBTOTAL(3,$I$310:I514)</f>
        <v>154</v>
      </c>
      <c r="C514" s="627" t="e">
        <f>ПВХ_мембрана</f>
        <v>#N/A</v>
      </c>
      <c r="D514" s="627"/>
      <c r="E514" s="627"/>
      <c r="F514" s="627"/>
      <c r="G514" s="627" t="str">
        <f>" "</f>
        <v xml:space="preserve"> </v>
      </c>
      <c r="H514" s="608">
        <v>1.1499999999999999</v>
      </c>
      <c r="I514" s="609">
        <f>IFERROR(ROUNDUP($Y$98*H514,0),0)</f>
        <v>0</v>
      </c>
      <c r="J514" s="1013" t="s">
        <v>112</v>
      </c>
      <c r="K514" s="610"/>
      <c r="L514" s="610">
        <f t="shared" si="102"/>
        <v>0</v>
      </c>
      <c r="N514" s="1032">
        <f t="shared" si="100"/>
        <v>0</v>
      </c>
    </row>
    <row r="515" spans="1:14" ht="15" customHeight="1">
      <c r="B515" s="1037">
        <f>SUBTOTAL(3,$I$310:I515)</f>
        <v>155</v>
      </c>
      <c r="C515" s="627" t="s">
        <v>337</v>
      </c>
      <c r="D515" s="627"/>
      <c r="E515" s="627"/>
      <c r="F515" s="627">
        <f>$AG$98</f>
        <v>0</v>
      </c>
      <c r="G515" s="627" t="s">
        <v>150</v>
      </c>
      <c r="H515" s="608" t="str">
        <f>" "</f>
        <v xml:space="preserve"> </v>
      </c>
      <c r="I515" s="611">
        <f>IFERROR($AH$98,0)</f>
        <v>0</v>
      </c>
      <c r="J515" s="1013" t="s">
        <v>190</v>
      </c>
      <c r="K515" s="610"/>
      <c r="L515" s="610">
        <f t="shared" si="102"/>
        <v>0</v>
      </c>
      <c r="N515" s="1032">
        <f t="shared" si="100"/>
        <v>0</v>
      </c>
    </row>
    <row r="516" spans="1:14" ht="15" customHeight="1">
      <c r="B516" s="1037">
        <f>SUBTOTAL(3,$I$310:I516)</f>
        <v>156</v>
      </c>
      <c r="C516" s="627" t="s">
        <v>337</v>
      </c>
      <c r="D516" s="627"/>
      <c r="E516" s="627"/>
      <c r="F516" s="627">
        <f>$AK$98</f>
        <v>0</v>
      </c>
      <c r="G516" s="627" t="s">
        <v>150</v>
      </c>
      <c r="H516" s="608" t="str">
        <f>" "</f>
        <v xml:space="preserve"> </v>
      </c>
      <c r="I516" s="611">
        <v>0</v>
      </c>
      <c r="J516" s="1013" t="s">
        <v>190</v>
      </c>
      <c r="K516" s="610"/>
      <c r="L516" s="610">
        <f t="shared" si="102"/>
        <v>0</v>
      </c>
      <c r="N516" s="1032">
        <f t="shared" si="100"/>
        <v>0</v>
      </c>
    </row>
    <row r="517" spans="1:14" ht="15" customHeight="1">
      <c r="B517" s="1037">
        <f>SUBTOTAL(3,$I$310:I517)</f>
        <v>157</v>
      </c>
      <c r="C517" s="627" t="s">
        <v>268</v>
      </c>
      <c r="D517" s="627"/>
      <c r="E517" s="627"/>
      <c r="F517" s="627">
        <f>$AI$98</f>
        <v>0</v>
      </c>
      <c r="G517" s="627" t="s">
        <v>150</v>
      </c>
      <c r="H517" s="608" t="str">
        <f>" "</f>
        <v xml:space="preserve"> </v>
      </c>
      <c r="I517" s="611">
        <f>IFERROR($AJ$98,0)</f>
        <v>0</v>
      </c>
      <c r="J517" s="1013" t="s">
        <v>190</v>
      </c>
      <c r="K517" s="610"/>
      <c r="L517" s="610">
        <f t="shared" si="102"/>
        <v>0</v>
      </c>
      <c r="N517" s="1032">
        <f t="shared" si="100"/>
        <v>0</v>
      </c>
    </row>
    <row r="518" spans="1:14" ht="15" customHeight="1">
      <c r="B518" s="1037">
        <f>SUBTOTAL(3,$I$310:I518)</f>
        <v>158</v>
      </c>
      <c r="C518" s="627">
        <f>$W$98</f>
        <v>0</v>
      </c>
      <c r="D518" s="627"/>
      <c r="E518" s="627"/>
      <c r="F518" s="627">
        <f>$V$98</f>
        <v>0</v>
      </c>
      <c r="G518" s="627" t="s">
        <v>150</v>
      </c>
      <c r="H518" s="608">
        <v>1.03</v>
      </c>
      <c r="I518" s="609">
        <f>$AF$98</f>
        <v>0</v>
      </c>
      <c r="J518" s="1013" t="s">
        <v>178</v>
      </c>
      <c r="K518" s="610"/>
      <c r="L518" s="610">
        <f t="shared" si="102"/>
        <v>0</v>
      </c>
      <c r="N518" s="1032">
        <f t="shared" si="100"/>
        <v>0</v>
      </c>
    </row>
    <row r="519" spans="1:14" ht="30" customHeight="1">
      <c r="A519" s="106" t="s">
        <v>166</v>
      </c>
      <c r="B519" s="691"/>
      <c r="C519" s="1183" t="str">
        <f>CONCATENATE($Q$101,$AE$9,$S$101,$AF$9)</f>
        <v>. Общая длина примыкания-  м.</v>
      </c>
      <c r="D519" s="1183"/>
      <c r="E519" s="1183"/>
      <c r="F519" s="1183"/>
      <c r="G519" s="1183"/>
      <c r="H519" s="1184"/>
      <c r="I519" s="1184"/>
      <c r="J519" s="1184"/>
      <c r="K519" s="1185"/>
      <c r="L519" s="684">
        <f>SUM(L520:L533)</f>
        <v>0</v>
      </c>
      <c r="N519" s="1032">
        <f>IF(SUM(I520:I533)&gt;0,1,0)</f>
        <v>0</v>
      </c>
    </row>
    <row r="520" spans="1:14" ht="15" customHeight="1">
      <c r="B520" s="1013">
        <f>SUBTOTAL(3,$I$310:I520)</f>
        <v>159</v>
      </c>
      <c r="C520" s="627" t="s">
        <v>207</v>
      </c>
      <c r="D520" s="627"/>
      <c r="E520" s="627"/>
      <c r="F520" s="627"/>
      <c r="G520" s="627" t="str">
        <f t="shared" ref="G520:G525" si="103">" "</f>
        <v xml:space="preserve"> </v>
      </c>
      <c r="H520" s="608">
        <v>5</v>
      </c>
      <c r="I520" s="611">
        <f>IFERROR($Z$101*H520,0)</f>
        <v>0</v>
      </c>
      <c r="J520" s="1013" t="s">
        <v>151</v>
      </c>
      <c r="K520" s="610"/>
      <c r="L520" s="610">
        <f>IFERROR(I520*K520,0)</f>
        <v>0</v>
      </c>
      <c r="N520" s="1032">
        <f t="shared" ref="N520:N533" si="104">IF(I520&gt;0,1,0)</f>
        <v>0</v>
      </c>
    </row>
    <row r="521" spans="1:14" ht="15" customHeight="1">
      <c r="B521" s="685"/>
      <c r="C521" s="627"/>
      <c r="D521" s="627"/>
      <c r="E521" s="627"/>
      <c r="F521" s="627"/>
      <c r="G521" s="627"/>
      <c r="H521" s="608"/>
      <c r="I521" s="611"/>
      <c r="J521" s="1013"/>
      <c r="K521" s="610"/>
      <c r="L521" s="610">
        <f>IFERROR(I521*K521,0)</f>
        <v>0</v>
      </c>
      <c r="N521" s="1032">
        <f t="shared" si="104"/>
        <v>0</v>
      </c>
    </row>
    <row r="522" spans="1:14" ht="15" customHeight="1">
      <c r="B522" s="685"/>
      <c r="C522" s="627"/>
      <c r="D522" s="627"/>
      <c r="E522" s="627"/>
      <c r="F522" s="627"/>
      <c r="G522" s="627"/>
      <c r="H522" s="608"/>
      <c r="I522" s="611"/>
      <c r="J522" s="1013"/>
      <c r="K522" s="610"/>
      <c r="L522" s="610">
        <f t="shared" ref="L522:L533" si="105">IFERROR(I522*K522,0)</f>
        <v>0</v>
      </c>
      <c r="N522" s="1032">
        <f t="shared" si="104"/>
        <v>0</v>
      </c>
    </row>
    <row r="523" spans="1:14" ht="15" customHeight="1">
      <c r="B523" s="1013">
        <f>SUBTOTAL(3,$I$310:I523)</f>
        <v>160</v>
      </c>
      <c r="C523" s="627" t="s">
        <v>559</v>
      </c>
      <c r="D523" s="627"/>
      <c r="E523" s="627"/>
      <c r="F523" s="627"/>
      <c r="G523" s="627" t="str">
        <f t="shared" si="103"/>
        <v xml:space="preserve"> </v>
      </c>
      <c r="H523" s="608">
        <v>5</v>
      </c>
      <c r="I523" s="611">
        <f>IFERROR($AA$101*H523*1.03,0)</f>
        <v>0</v>
      </c>
      <c r="J523" s="1013" t="s">
        <v>151</v>
      </c>
      <c r="K523" s="610"/>
      <c r="L523" s="610">
        <f t="shared" si="105"/>
        <v>0</v>
      </c>
      <c r="N523" s="1032">
        <f t="shared" si="104"/>
        <v>0</v>
      </c>
    </row>
    <row r="524" spans="1:14" ht="15" customHeight="1">
      <c r="B524" s="1013">
        <f>SUBTOTAL(3,$I$310:I524)</f>
        <v>161</v>
      </c>
      <c r="C524" s="627" t="s">
        <v>189</v>
      </c>
      <c r="D524" s="627"/>
      <c r="E524" s="627"/>
      <c r="F524" s="627"/>
      <c r="G524" s="627" t="str">
        <f t="shared" si="103"/>
        <v xml:space="preserve"> </v>
      </c>
      <c r="H524" s="608">
        <v>5</v>
      </c>
      <c r="I524" s="611">
        <f>IFERROR($AC$101,0)</f>
        <v>0</v>
      </c>
      <c r="J524" s="1013" t="s">
        <v>151</v>
      </c>
      <c r="K524" s="610"/>
      <c r="L524" s="610">
        <f t="shared" si="105"/>
        <v>0</v>
      </c>
      <c r="N524" s="1032">
        <f t="shared" si="104"/>
        <v>0</v>
      </c>
    </row>
    <row r="525" spans="1:14" ht="15" customHeight="1">
      <c r="B525" s="1013">
        <f>SUBTOTAL(3,$I$310:I525)</f>
        <v>162</v>
      </c>
      <c r="C525" s="627" t="s">
        <v>1459</v>
      </c>
      <c r="D525" s="627"/>
      <c r="E525" s="627"/>
      <c r="F525" s="627"/>
      <c r="G525" s="627" t="str">
        <f t="shared" si="103"/>
        <v xml:space="preserve"> </v>
      </c>
      <c r="H525" s="608">
        <v>5</v>
      </c>
      <c r="I525" s="611">
        <f>IFERROR(ROUNDUP($AB$101*H525*1.03,0),0)</f>
        <v>0</v>
      </c>
      <c r="J525" s="1013" t="s">
        <v>151</v>
      </c>
      <c r="K525" s="610"/>
      <c r="L525" s="610">
        <f t="shared" si="105"/>
        <v>0</v>
      </c>
      <c r="N525" s="1032">
        <f t="shared" si="104"/>
        <v>0</v>
      </c>
    </row>
    <row r="526" spans="1:14" ht="15" customHeight="1">
      <c r="B526" s="685"/>
      <c r="C526" s="627"/>
      <c r="D526" s="627"/>
      <c r="E526" s="627"/>
      <c r="F526" s="627"/>
      <c r="G526" s="627"/>
      <c r="H526" s="608"/>
      <c r="I526" s="609"/>
      <c r="J526" s="1013"/>
      <c r="K526" s="610"/>
      <c r="L526" s="610">
        <f t="shared" si="105"/>
        <v>0</v>
      </c>
      <c r="N526" s="1032">
        <f t="shared" si="104"/>
        <v>0</v>
      </c>
    </row>
    <row r="527" spans="1:14" ht="15" customHeight="1">
      <c r="B527" s="685"/>
      <c r="C527" s="627"/>
      <c r="D527" s="627"/>
      <c r="E527" s="627"/>
      <c r="F527" s="627"/>
      <c r="G527" s="627"/>
      <c r="H527" s="608"/>
      <c r="I527" s="611"/>
      <c r="J527" s="1013"/>
      <c r="K527" s="610"/>
      <c r="L527" s="610">
        <f t="shared" si="105"/>
        <v>0</v>
      </c>
      <c r="N527" s="1032">
        <f t="shared" si="104"/>
        <v>0</v>
      </c>
    </row>
    <row r="528" spans="1:14" ht="15" customHeight="1">
      <c r="B528" s="1013">
        <f>SUBTOTAL(3,$I$310:I528)</f>
        <v>163</v>
      </c>
      <c r="C528" s="627" t="s">
        <v>208</v>
      </c>
      <c r="D528" s="627"/>
      <c r="E528" s="627"/>
      <c r="F528" s="627">
        <f>$S$101</f>
        <v>0</v>
      </c>
      <c r="G528" s="627" t="s">
        <v>240</v>
      </c>
      <c r="H528" s="608">
        <v>1.05</v>
      </c>
      <c r="I528" s="614">
        <f>ROUNDUP(F528*H528*0.33,2)</f>
        <v>0</v>
      </c>
      <c r="J528" s="1013" t="s">
        <v>112</v>
      </c>
      <c r="K528" s="610"/>
      <c r="L528" s="610">
        <f t="shared" si="105"/>
        <v>0</v>
      </c>
      <c r="N528" s="1032">
        <f t="shared" si="104"/>
        <v>0</v>
      </c>
    </row>
    <row r="529" spans="2:14" ht="15" customHeight="1">
      <c r="B529" s="1037">
        <f>SUBTOTAL(3,$I$310:I529)</f>
        <v>164</v>
      </c>
      <c r="C529" s="627" t="e">
        <f>ПВХ_мембрана</f>
        <v>#N/A</v>
      </c>
      <c r="D529" s="627"/>
      <c r="E529" s="627"/>
      <c r="F529" s="627"/>
      <c r="G529" s="627" t="str">
        <f>" "</f>
        <v xml:space="preserve"> </v>
      </c>
      <c r="H529" s="608">
        <v>1.1499999999999999</v>
      </c>
      <c r="I529" s="609">
        <f>IFERROR(ROUNDUP($Y$101*H529,0),0)</f>
        <v>0</v>
      </c>
      <c r="J529" s="1013" t="s">
        <v>112</v>
      </c>
      <c r="K529" s="610"/>
      <c r="L529" s="610">
        <f t="shared" si="105"/>
        <v>0</v>
      </c>
      <c r="N529" s="1032">
        <f t="shared" si="104"/>
        <v>0</v>
      </c>
    </row>
    <row r="530" spans="2:14" ht="15" customHeight="1">
      <c r="B530" s="685"/>
      <c r="C530" s="627"/>
      <c r="D530" s="627"/>
      <c r="E530" s="627"/>
      <c r="F530" s="627"/>
      <c r="G530" s="627"/>
      <c r="H530" s="608"/>
      <c r="I530" s="611"/>
      <c r="J530" s="1013"/>
      <c r="K530" s="610"/>
      <c r="L530" s="610">
        <f t="shared" si="105"/>
        <v>0</v>
      </c>
      <c r="N530" s="1032">
        <f t="shared" si="104"/>
        <v>0</v>
      </c>
    </row>
    <row r="531" spans="2:14" ht="15" customHeight="1">
      <c r="B531" s="685"/>
      <c r="C531" s="627"/>
      <c r="D531" s="627"/>
      <c r="E531" s="627"/>
      <c r="F531" s="627"/>
      <c r="G531" s="627"/>
      <c r="H531" s="608"/>
      <c r="I531" s="611"/>
      <c r="J531" s="1013"/>
      <c r="K531" s="610"/>
      <c r="L531" s="610">
        <f t="shared" si="105"/>
        <v>0</v>
      </c>
      <c r="N531" s="1032">
        <f t="shared" si="104"/>
        <v>0</v>
      </c>
    </row>
    <row r="532" spans="2:14" ht="15" customHeight="1">
      <c r="B532" s="685"/>
      <c r="C532" s="627"/>
      <c r="D532" s="627"/>
      <c r="E532" s="627"/>
      <c r="F532" s="627"/>
      <c r="G532" s="627"/>
      <c r="H532" s="608"/>
      <c r="I532" s="611"/>
      <c r="J532" s="1013"/>
      <c r="K532" s="610"/>
      <c r="L532" s="610">
        <f t="shared" si="105"/>
        <v>0</v>
      </c>
      <c r="N532" s="1032">
        <f t="shared" si="104"/>
        <v>0</v>
      </c>
    </row>
    <row r="533" spans="2:14" ht="15" customHeight="1">
      <c r="B533" s="696"/>
      <c r="C533" s="697"/>
      <c r="D533" s="697"/>
      <c r="E533" s="697"/>
      <c r="F533" s="697"/>
      <c r="G533" s="697"/>
      <c r="H533" s="694"/>
      <c r="I533" s="695"/>
      <c r="J533" s="696"/>
      <c r="K533" s="693"/>
      <c r="L533" s="693">
        <f t="shared" si="105"/>
        <v>0</v>
      </c>
      <c r="N533" s="1032">
        <f t="shared" si="104"/>
        <v>0</v>
      </c>
    </row>
    <row r="534" spans="2:14" ht="30" customHeight="1">
      <c r="B534" s="691"/>
      <c r="C534" s="1183" t="str">
        <f>CONCATENATE($P$103,$AE$9,$Q$106,$AF$9)</f>
        <v xml:space="preserve"> . Общая длина примыкания-  м.</v>
      </c>
      <c r="D534" s="1183"/>
      <c r="E534" s="1183"/>
      <c r="F534" s="1183"/>
      <c r="G534" s="1183"/>
      <c r="H534" s="1184"/>
      <c r="I534" s="1184"/>
      <c r="J534" s="1184"/>
      <c r="K534" s="1185"/>
      <c r="L534" s="684">
        <f>SUM(L535:L548)</f>
        <v>0</v>
      </c>
      <c r="N534" s="1032">
        <f>IF(SUM(I535:I548)&gt;0,1,0)</f>
        <v>0</v>
      </c>
    </row>
    <row r="535" spans="2:14" ht="15" customHeight="1">
      <c r="B535" s="1013">
        <f>SUBTOTAL(3,$I$310:I535)</f>
        <v>165</v>
      </c>
      <c r="C535" s="627" t="s">
        <v>207</v>
      </c>
      <c r="D535" s="627"/>
      <c r="E535" s="627"/>
      <c r="F535" s="627"/>
      <c r="G535" s="627" t="str">
        <f t="shared" ref="G535:G542" si="106">" "</f>
        <v xml:space="preserve"> </v>
      </c>
      <c r="H535" s="608">
        <v>5</v>
      </c>
      <c r="I535" s="611">
        <f>IFERROR($S$104*H535,0)</f>
        <v>0</v>
      </c>
      <c r="J535" s="1013" t="s">
        <v>151</v>
      </c>
      <c r="K535" s="610"/>
      <c r="L535" s="610">
        <f>IFERROR(I535*K535,0)</f>
        <v>0</v>
      </c>
      <c r="N535" s="1032">
        <f t="shared" ref="N535:N548" si="107">IF(I535&gt;0,1,0)</f>
        <v>0</v>
      </c>
    </row>
    <row r="536" spans="2:14" ht="15" customHeight="1">
      <c r="B536" s="1013">
        <f>SUBTOTAL(3,$I$310:I536)</f>
        <v>166</v>
      </c>
      <c r="C536" s="626" t="str">
        <f>IF(ТИП7!ПЛ&lt;1000,"Рейка краевая алюминиевая ТехноНИКОЛЬ PRO, 2 м","Рейка краевая алюминиевая ТехноНИКОЛЬ, 2 м")</f>
        <v>Рейка краевая алюминиевая ТехноНИКОЛЬ PRO, 2 м</v>
      </c>
      <c r="D536" s="627"/>
      <c r="E536" s="627"/>
      <c r="F536" s="627"/>
      <c r="G536" s="627" t="str">
        <f t="shared" si="106"/>
        <v xml:space="preserve"> </v>
      </c>
      <c r="H536" s="608">
        <v>1.03</v>
      </c>
      <c r="I536" s="614">
        <f>IFERROR(ROUNDUP($Q$105*H536,2),0)</f>
        <v>0</v>
      </c>
      <c r="J536" s="1013" t="s">
        <v>264</v>
      </c>
      <c r="K536" s="610"/>
      <c r="L536" s="610">
        <f>IFERROR(I536*K536,0)</f>
        <v>0</v>
      </c>
      <c r="N536" s="1032">
        <f t="shared" si="107"/>
        <v>0</v>
      </c>
    </row>
    <row r="537" spans="2:14" ht="15" customHeight="1">
      <c r="B537" s="1013">
        <f>SUBTOTAL(3,$I$310:I537)</f>
        <v>167</v>
      </c>
      <c r="C537" s="626" t="str">
        <f>IF(ТИП7!ПЛ&lt;1000,"Рейка прижимная алюминиевая ТехноНИКОЛЬ PRO, 2 м","Рейка прижимная алюминиевая ТехноНИКОЛЬ, 2 м")</f>
        <v>Рейка прижимная алюминиевая ТехноНИКОЛЬ PRO, 2 м</v>
      </c>
      <c r="D537" s="627"/>
      <c r="E537" s="627"/>
      <c r="F537" s="627"/>
      <c r="G537" s="627" t="str">
        <f t="shared" si="106"/>
        <v xml:space="preserve"> </v>
      </c>
      <c r="H537" s="608">
        <v>1.03</v>
      </c>
      <c r="I537" s="614">
        <f>IFERROR(ROUNDUP($Q$106*H537,2),0)</f>
        <v>0</v>
      </c>
      <c r="J537" s="1013" t="s">
        <v>264</v>
      </c>
      <c r="K537" s="610"/>
      <c r="L537" s="610">
        <f t="shared" ref="L537:L548" si="108">IFERROR(I537*K537,0)</f>
        <v>0</v>
      </c>
      <c r="N537" s="1032">
        <f t="shared" si="107"/>
        <v>0</v>
      </c>
    </row>
    <row r="538" spans="2:14" ht="15" customHeight="1">
      <c r="B538" s="1013">
        <f>SUBTOTAL(3,$I$310:I538)</f>
        <v>168</v>
      </c>
      <c r="C538" s="627" t="s">
        <v>559</v>
      </c>
      <c r="D538" s="627"/>
      <c r="E538" s="627"/>
      <c r="F538" s="627"/>
      <c r="G538" s="627" t="str">
        <f t="shared" si="106"/>
        <v xml:space="preserve"> </v>
      </c>
      <c r="H538" s="608">
        <v>5</v>
      </c>
      <c r="I538" s="611">
        <f>IFERROR($S$106*H538*1.03,0)</f>
        <v>0</v>
      </c>
      <c r="J538" s="1013" t="s">
        <v>151</v>
      </c>
      <c r="K538" s="610"/>
      <c r="L538" s="610">
        <f t="shared" si="108"/>
        <v>0</v>
      </c>
      <c r="N538" s="1032">
        <f t="shared" si="107"/>
        <v>0</v>
      </c>
    </row>
    <row r="539" spans="2:14" ht="15" customHeight="1">
      <c r="B539" s="1013">
        <f>SUBTOTAL(3,$I$310:I539)</f>
        <v>169</v>
      </c>
      <c r="C539" s="627" t="s">
        <v>189</v>
      </c>
      <c r="D539" s="627"/>
      <c r="E539" s="627"/>
      <c r="F539" s="627"/>
      <c r="G539" s="627" t="str">
        <f t="shared" si="106"/>
        <v xml:space="preserve"> </v>
      </c>
      <c r="H539" s="608">
        <v>5</v>
      </c>
      <c r="I539" s="611">
        <f>IFERROR($U$104*H539*1.03,0)</f>
        <v>0</v>
      </c>
      <c r="J539" s="1013" t="s">
        <v>151</v>
      </c>
      <c r="K539" s="610"/>
      <c r="L539" s="610">
        <f t="shared" si="108"/>
        <v>0</v>
      </c>
      <c r="N539" s="1032">
        <f t="shared" si="107"/>
        <v>0</v>
      </c>
    </row>
    <row r="540" spans="2:14" ht="15" customHeight="1">
      <c r="B540" s="1013">
        <f>SUBTOTAL(3,$I$310:I540)</f>
        <v>170</v>
      </c>
      <c r="C540" s="627" t="s">
        <v>1459</v>
      </c>
      <c r="D540" s="627"/>
      <c r="E540" s="627"/>
      <c r="F540" s="627"/>
      <c r="G540" s="627" t="str">
        <f t="shared" si="106"/>
        <v xml:space="preserve"> </v>
      </c>
      <c r="H540" s="608">
        <v>5</v>
      </c>
      <c r="I540" s="611">
        <f>IFERROR($U$105*H540*1.03,0)</f>
        <v>0</v>
      </c>
      <c r="J540" s="1013" t="s">
        <v>151</v>
      </c>
      <c r="K540" s="610"/>
      <c r="L540" s="610">
        <f t="shared" si="108"/>
        <v>0</v>
      </c>
      <c r="N540" s="1032">
        <f t="shared" si="107"/>
        <v>0</v>
      </c>
    </row>
    <row r="541" spans="2:14" ht="15" customHeight="1">
      <c r="B541" s="1013">
        <f>SUBTOTAL(3,$I$310:I541)</f>
        <v>171</v>
      </c>
      <c r="C541" s="627" t="s">
        <v>192</v>
      </c>
      <c r="D541" s="627"/>
      <c r="E541" s="627"/>
      <c r="F541" s="627"/>
      <c r="G541" s="627" t="str">
        <f t="shared" si="106"/>
        <v xml:space="preserve"> </v>
      </c>
      <c r="H541" s="608">
        <v>1.1000000000000001</v>
      </c>
      <c r="I541" s="609">
        <f>IFERROR(ROUNDUP($S$105*H541,0),0)</f>
        <v>0</v>
      </c>
      <c r="J541" s="1013" t="s">
        <v>112</v>
      </c>
      <c r="K541" s="610"/>
      <c r="L541" s="610">
        <f t="shared" si="108"/>
        <v>0</v>
      </c>
      <c r="N541" s="1032">
        <f t="shared" si="107"/>
        <v>0</v>
      </c>
    </row>
    <row r="542" spans="2:14" ht="15" customHeight="1">
      <c r="B542" s="1013">
        <f>SUBTOTAL(3,$I$310:I542)</f>
        <v>172</v>
      </c>
      <c r="C542" s="627" t="s">
        <v>936</v>
      </c>
      <c r="D542" s="627"/>
      <c r="E542" s="627"/>
      <c r="F542" s="627"/>
      <c r="G542" s="627" t="str">
        <f t="shared" si="106"/>
        <v xml:space="preserve"> </v>
      </c>
      <c r="H542" s="608">
        <v>0.15</v>
      </c>
      <c r="I542" s="611">
        <f>IFERROR(ROUNDUP($Q$105*H542/600*1000,0),0)</f>
        <v>0</v>
      </c>
      <c r="J542" s="1013" t="s">
        <v>151</v>
      </c>
      <c r="K542" s="610"/>
      <c r="L542" s="610">
        <f t="shared" si="108"/>
        <v>0</v>
      </c>
      <c r="N542" s="1032">
        <f t="shared" si="107"/>
        <v>0</v>
      </c>
    </row>
    <row r="543" spans="2:14" ht="15" customHeight="1">
      <c r="B543" s="1013">
        <f>SUBTOTAL(3,$I$310:I543)</f>
        <v>173</v>
      </c>
      <c r="C543" s="627" t="s">
        <v>208</v>
      </c>
      <c r="D543" s="627"/>
      <c r="E543" s="627"/>
      <c r="F543" s="627">
        <f>$U$106</f>
        <v>0</v>
      </c>
      <c r="G543" s="627" t="s">
        <v>240</v>
      </c>
      <c r="H543" s="608">
        <v>1.05</v>
      </c>
      <c r="I543" s="614">
        <f>ROUNDUP(F543*H543*0.33,2)</f>
        <v>0</v>
      </c>
      <c r="J543" s="1013" t="s">
        <v>112</v>
      </c>
      <c r="K543" s="610"/>
      <c r="L543" s="610">
        <f t="shared" si="108"/>
        <v>0</v>
      </c>
      <c r="N543" s="1032">
        <f t="shared" si="107"/>
        <v>0</v>
      </c>
    </row>
    <row r="544" spans="2:14" ht="15" customHeight="1">
      <c r="B544" s="1037">
        <f>SUBTOTAL(3,$I$310:I544)</f>
        <v>174</v>
      </c>
      <c r="C544" s="627" t="e">
        <f>ПВХ_мембрана</f>
        <v>#N/A</v>
      </c>
      <c r="D544" s="627"/>
      <c r="E544" s="627"/>
      <c r="F544" s="627"/>
      <c r="G544" s="627" t="str">
        <f>" "</f>
        <v xml:space="preserve"> </v>
      </c>
      <c r="H544" s="608">
        <v>1.1499999999999999</v>
      </c>
      <c r="I544" s="609">
        <f>IFERROR(ROUNDUP($Q$104*H544,0),0)</f>
        <v>0</v>
      </c>
      <c r="J544" s="1013" t="s">
        <v>112</v>
      </c>
      <c r="K544" s="610"/>
      <c r="L544" s="610">
        <f t="shared" si="108"/>
        <v>0</v>
      </c>
      <c r="N544" s="1032">
        <f t="shared" si="107"/>
        <v>0</v>
      </c>
    </row>
    <row r="545" spans="2:14" ht="15" customHeight="1">
      <c r="B545" s="685"/>
      <c r="C545" s="627"/>
      <c r="D545" s="627"/>
      <c r="E545" s="627"/>
      <c r="F545" s="627"/>
      <c r="G545" s="627"/>
      <c r="H545" s="608"/>
      <c r="I545" s="611"/>
      <c r="J545" s="1013"/>
      <c r="K545" s="610"/>
      <c r="L545" s="610">
        <f t="shared" si="108"/>
        <v>0</v>
      </c>
      <c r="N545" s="1032">
        <f t="shared" si="107"/>
        <v>0</v>
      </c>
    </row>
    <row r="546" spans="2:14" ht="15" customHeight="1">
      <c r="B546" s="685"/>
      <c r="C546" s="627"/>
      <c r="D546" s="627"/>
      <c r="E546" s="627"/>
      <c r="F546" s="627"/>
      <c r="G546" s="627"/>
      <c r="H546" s="608"/>
      <c r="I546" s="611"/>
      <c r="J546" s="1013"/>
      <c r="K546" s="610"/>
      <c r="L546" s="610">
        <f t="shared" si="108"/>
        <v>0</v>
      </c>
      <c r="N546" s="1032">
        <f t="shared" si="107"/>
        <v>0</v>
      </c>
    </row>
    <row r="547" spans="2:14" ht="15" customHeight="1">
      <c r="B547" s="685"/>
      <c r="C547" s="630"/>
      <c r="D547" s="630"/>
      <c r="E547" s="630"/>
      <c r="F547" s="630"/>
      <c r="G547" s="630"/>
      <c r="H547" s="608"/>
      <c r="I547" s="611"/>
      <c r="J547" s="1013"/>
      <c r="K547" s="610"/>
      <c r="L547" s="610">
        <f t="shared" si="108"/>
        <v>0</v>
      </c>
      <c r="N547" s="1032">
        <f t="shared" si="107"/>
        <v>0</v>
      </c>
    </row>
    <row r="548" spans="2:14" ht="15" customHeight="1">
      <c r="B548" s="696"/>
      <c r="C548" s="698"/>
      <c r="D548" s="697"/>
      <c r="E548" s="697"/>
      <c r="F548" s="699"/>
      <c r="G548" s="700"/>
      <c r="H548" s="694"/>
      <c r="I548" s="695"/>
      <c r="J548" s="696"/>
      <c r="K548" s="693"/>
      <c r="L548" s="693">
        <f t="shared" si="108"/>
        <v>0</v>
      </c>
      <c r="N548" s="1032">
        <f t="shared" si="107"/>
        <v>0</v>
      </c>
    </row>
    <row r="549" spans="2:14" ht="30" customHeight="1">
      <c r="B549" s="797" t="s">
        <v>834</v>
      </c>
      <c r="C549" s="1183" t="str">
        <f>CONCATENATE($P$133,$AE$9,$T$133,$AF$9)</f>
        <v>. Общая длина примыкания-  м.</v>
      </c>
      <c r="D549" s="1183"/>
      <c r="E549" s="1183"/>
      <c r="F549" s="1183"/>
      <c r="G549" s="1183"/>
      <c r="H549" s="1184"/>
      <c r="I549" s="1184"/>
      <c r="J549" s="1184"/>
      <c r="K549" s="1185"/>
      <c r="L549" s="684">
        <f>SUM(L550:L563)</f>
        <v>0</v>
      </c>
      <c r="N549" s="1032">
        <f>IF(SUM(I550:I563)&gt;0,1,0)</f>
        <v>0</v>
      </c>
    </row>
    <row r="550" spans="2:14" ht="15" customHeight="1">
      <c r="B550" s="685"/>
      <c r="C550" s="627"/>
      <c r="D550" s="627"/>
      <c r="E550" s="627"/>
      <c r="F550" s="627"/>
      <c r="G550" s="627"/>
      <c r="H550" s="608"/>
      <c r="I550" s="611"/>
      <c r="J550" s="1013"/>
      <c r="K550" s="610"/>
      <c r="L550" s="610">
        <f>IFERROR(I550*K550,0)</f>
        <v>0</v>
      </c>
      <c r="N550" s="1032">
        <f t="shared" ref="N550:N563" si="109">IF(I550&gt;0,1,0)</f>
        <v>0</v>
      </c>
    </row>
    <row r="551" spans="2:14" ht="15" customHeight="1">
      <c r="B551" s="685"/>
      <c r="C551" s="627"/>
      <c r="D551" s="627"/>
      <c r="E551" s="627"/>
      <c r="F551" s="627"/>
      <c r="G551" s="627"/>
      <c r="H551" s="608"/>
      <c r="I551" s="611"/>
      <c r="J551" s="1013"/>
      <c r="K551" s="610"/>
      <c r="L551" s="610">
        <f>IFERROR(I551*K551,0)</f>
        <v>0</v>
      </c>
      <c r="N551" s="1032">
        <f t="shared" si="109"/>
        <v>0</v>
      </c>
    </row>
    <row r="552" spans="2:14" ht="15" customHeight="1">
      <c r="B552" s="1013">
        <f>SUBTOTAL(3,$I$310:I552)</f>
        <v>175</v>
      </c>
      <c r="C552" s="627" t="s">
        <v>651</v>
      </c>
      <c r="D552" s="627"/>
      <c r="E552" s="627"/>
      <c r="F552" s="627"/>
      <c r="G552" s="627" t="str">
        <f>" "</f>
        <v xml:space="preserve"> </v>
      </c>
      <c r="H552" s="608">
        <v>1.03</v>
      </c>
      <c r="I552" s="614">
        <f>IFERROR(ROUNDUP($AA$133*H552,2),0)</f>
        <v>0</v>
      </c>
      <c r="J552" s="1013" t="s">
        <v>264</v>
      </c>
      <c r="K552" s="610"/>
      <c r="L552" s="610">
        <f t="shared" ref="L552:L563" si="110">IFERROR(I552*K552,0)</f>
        <v>0</v>
      </c>
      <c r="N552" s="1032">
        <f t="shared" si="109"/>
        <v>0</v>
      </c>
    </row>
    <row r="553" spans="2:14" ht="15" customHeight="1">
      <c r="B553" s="1013">
        <f>SUBTOTAL(3,$I$310:I553)</f>
        <v>176</v>
      </c>
      <c r="C553" s="627" t="s">
        <v>559</v>
      </c>
      <c r="D553" s="627"/>
      <c r="E553" s="627"/>
      <c r="F553" s="627"/>
      <c r="G553" s="627" t="str">
        <f>" "</f>
        <v xml:space="preserve"> </v>
      </c>
      <c r="H553" s="608">
        <v>5</v>
      </c>
      <c r="I553" s="611">
        <f>IFERROR($AB$133*H553*1.03,0)</f>
        <v>0</v>
      </c>
      <c r="J553" s="1013" t="s">
        <v>151</v>
      </c>
      <c r="K553" s="610"/>
      <c r="L553" s="610">
        <f t="shared" si="110"/>
        <v>0</v>
      </c>
      <c r="N553" s="1032">
        <f t="shared" si="109"/>
        <v>0</v>
      </c>
    </row>
    <row r="554" spans="2:14" ht="15" customHeight="1">
      <c r="B554" s="1013">
        <f>SUBTOTAL(3,$I$310:I554)</f>
        <v>177</v>
      </c>
      <c r="C554" s="627" t="s">
        <v>189</v>
      </c>
      <c r="D554" s="627"/>
      <c r="E554" s="627"/>
      <c r="F554" s="627"/>
      <c r="G554" s="627" t="str">
        <f>" "</f>
        <v xml:space="preserve"> </v>
      </c>
      <c r="H554" s="608">
        <v>5</v>
      </c>
      <c r="I554" s="611">
        <f>IFERROR($AD$133,0)</f>
        <v>0</v>
      </c>
      <c r="J554" s="1013" t="s">
        <v>151</v>
      </c>
      <c r="K554" s="610"/>
      <c r="L554" s="610">
        <f t="shared" si="110"/>
        <v>0</v>
      </c>
      <c r="N554" s="1032">
        <f t="shared" si="109"/>
        <v>0</v>
      </c>
    </row>
    <row r="555" spans="2:14" ht="15" customHeight="1">
      <c r="B555" s="1013">
        <f>SUBTOTAL(3,$I$310:I555)</f>
        <v>178</v>
      </c>
      <c r="C555" s="627" t="s">
        <v>1459</v>
      </c>
      <c r="D555" s="627"/>
      <c r="E555" s="627"/>
      <c r="F555" s="627"/>
      <c r="G555" s="627" t="str">
        <f>" "</f>
        <v xml:space="preserve"> </v>
      </c>
      <c r="H555" s="608">
        <v>5</v>
      </c>
      <c r="I555" s="611">
        <f>IFERROR($AC$133*H555*1.03,0)</f>
        <v>0</v>
      </c>
      <c r="J555" s="1013" t="s">
        <v>151</v>
      </c>
      <c r="K555" s="610"/>
      <c r="L555" s="610">
        <f t="shared" si="110"/>
        <v>0</v>
      </c>
      <c r="N555" s="1032">
        <f t="shared" si="109"/>
        <v>0</v>
      </c>
    </row>
    <row r="556" spans="2:14" ht="15" customHeight="1">
      <c r="B556" s="1013">
        <f>SUBTOTAL(3,$I$310:I556)</f>
        <v>179</v>
      </c>
      <c r="C556" s="627" t="s">
        <v>182</v>
      </c>
      <c r="D556" s="627"/>
      <c r="E556" s="627"/>
      <c r="F556" s="627"/>
      <c r="G556" s="627" t="str">
        <f>" "</f>
        <v xml:space="preserve"> </v>
      </c>
      <c r="H556" s="608">
        <v>0.25</v>
      </c>
      <c r="I556" s="609">
        <f>IFERROR(ROUNDUP($AE$133*H556,0),0)</f>
        <v>0</v>
      </c>
      <c r="J556" s="1013" t="s">
        <v>183</v>
      </c>
      <c r="K556" s="610"/>
      <c r="L556" s="610">
        <f t="shared" si="110"/>
        <v>0</v>
      </c>
      <c r="N556" s="1032">
        <f t="shared" si="109"/>
        <v>0</v>
      </c>
    </row>
    <row r="557" spans="2:14" ht="15" customHeight="1">
      <c r="B557" s="685"/>
      <c r="C557" s="627"/>
      <c r="D557" s="627"/>
      <c r="E557" s="627"/>
      <c r="F557" s="627"/>
      <c r="G557" s="627"/>
      <c r="H557" s="608"/>
      <c r="I557" s="611"/>
      <c r="J557" s="1013"/>
      <c r="K557" s="610"/>
      <c r="L557" s="610">
        <f t="shared" si="110"/>
        <v>0</v>
      </c>
      <c r="N557" s="1032">
        <f t="shared" si="109"/>
        <v>0</v>
      </c>
    </row>
    <row r="558" spans="2:14" ht="15" customHeight="1">
      <c r="B558" s="1013">
        <f>SUBTOTAL(3,$I$310:I558)</f>
        <v>180</v>
      </c>
      <c r="C558" s="627" t="e">
        <f>БРМ_НИЗ</f>
        <v>#N/A</v>
      </c>
      <c r="D558" s="627"/>
      <c r="E558" s="627"/>
      <c r="F558" s="627"/>
      <c r="G558" s="627" t="str">
        <f>" "</f>
        <v xml:space="preserve"> </v>
      </c>
      <c r="H558" s="608">
        <v>1.1499999999999999</v>
      </c>
      <c r="I558" s="609">
        <f>IFERROR(ROUNDUP($Z$133*H558,0),0)</f>
        <v>0</v>
      </c>
      <c r="J558" s="1013" t="s">
        <v>112</v>
      </c>
      <c r="K558" s="610"/>
      <c r="L558" s="610">
        <f t="shared" si="110"/>
        <v>0</v>
      </c>
      <c r="N558" s="1032">
        <f t="shared" si="109"/>
        <v>0</v>
      </c>
    </row>
    <row r="559" spans="2:14" ht="15" customHeight="1">
      <c r="B559" s="1013">
        <f>SUBTOTAL(3,$I$310:I559)</f>
        <v>181</v>
      </c>
      <c r="C559" s="627" t="e">
        <f>БРМ_ВЕРХ</f>
        <v>#N/A</v>
      </c>
      <c r="D559" s="627"/>
      <c r="E559" s="627"/>
      <c r="F559" s="627"/>
      <c r="G559" s="627" t="str">
        <f>" "</f>
        <v xml:space="preserve"> </v>
      </c>
      <c r="H559" s="608">
        <v>1.1499999999999999</v>
      </c>
      <c r="I559" s="609">
        <f>IFERROR(ROUNDUP($Y$133*H559,0),0)</f>
        <v>0</v>
      </c>
      <c r="J559" s="1013" t="s">
        <v>112</v>
      </c>
      <c r="K559" s="610"/>
      <c r="L559" s="610">
        <f t="shared" si="110"/>
        <v>0</v>
      </c>
      <c r="N559" s="1032">
        <f t="shared" si="109"/>
        <v>0</v>
      </c>
    </row>
    <row r="560" spans="2:14" ht="15" customHeight="1">
      <c r="B560" s="1013">
        <f>SUBTOTAL(3,$I$310:I560)</f>
        <v>182</v>
      </c>
      <c r="C560" s="627" t="s">
        <v>337</v>
      </c>
      <c r="D560" s="627"/>
      <c r="E560" s="627"/>
      <c r="F560" s="627" t="str">
        <f>$AG$133</f>
        <v>нет</v>
      </c>
      <c r="G560" s="627" t="s">
        <v>150</v>
      </c>
      <c r="H560" s="608" t="str">
        <f>" "</f>
        <v xml:space="preserve"> </v>
      </c>
      <c r="I560" s="611">
        <f>IFERROR($AH$133,0)</f>
        <v>0</v>
      </c>
      <c r="J560" s="1013" t="s">
        <v>190</v>
      </c>
      <c r="K560" s="610"/>
      <c r="L560" s="610">
        <f t="shared" si="110"/>
        <v>0</v>
      </c>
      <c r="N560" s="1032">
        <f t="shared" si="109"/>
        <v>0</v>
      </c>
    </row>
    <row r="561" spans="2:14" ht="15" customHeight="1">
      <c r="B561" s="1013">
        <f>SUBTOTAL(3,$I$310:I561)</f>
        <v>183</v>
      </c>
      <c r="C561" s="627" t="s">
        <v>337</v>
      </c>
      <c r="D561" s="627"/>
      <c r="E561" s="627"/>
      <c r="F561" s="627" t="str">
        <f>$AK$133</f>
        <v>нет</v>
      </c>
      <c r="G561" s="627" t="s">
        <v>150</v>
      </c>
      <c r="H561" s="608" t="str">
        <f>" "</f>
        <v xml:space="preserve"> </v>
      </c>
      <c r="I561" s="611">
        <f>IFERROR($AL$133,0)</f>
        <v>0</v>
      </c>
      <c r="J561" s="1013" t="s">
        <v>190</v>
      </c>
      <c r="K561" s="610"/>
      <c r="L561" s="610">
        <f t="shared" si="110"/>
        <v>0</v>
      </c>
      <c r="N561" s="1032">
        <f t="shared" si="109"/>
        <v>0</v>
      </c>
    </row>
    <row r="562" spans="2:14" ht="15" customHeight="1">
      <c r="B562" s="1013">
        <f>SUBTOTAL(3,$I$310:I562)</f>
        <v>184</v>
      </c>
      <c r="C562" s="627" t="s">
        <v>268</v>
      </c>
      <c r="D562" s="627"/>
      <c r="E562" s="627"/>
      <c r="F562" s="627" t="str">
        <f>$AI$133</f>
        <v>нет</v>
      </c>
      <c r="G562" s="627" t="s">
        <v>150</v>
      </c>
      <c r="H562" s="608" t="str">
        <f>" "</f>
        <v xml:space="preserve"> </v>
      </c>
      <c r="I562" s="611">
        <f>IFERROR($AJ$133,0)</f>
        <v>0</v>
      </c>
      <c r="J562" s="1013" t="s">
        <v>190</v>
      </c>
      <c r="K562" s="610"/>
      <c r="L562" s="610">
        <f t="shared" si="110"/>
        <v>0</v>
      </c>
      <c r="N562" s="1032">
        <f t="shared" si="109"/>
        <v>0</v>
      </c>
    </row>
    <row r="563" spans="2:14" ht="15" customHeight="1">
      <c r="B563" s="1013">
        <f>SUBTOTAL(3,$I$310:I563)</f>
        <v>185</v>
      </c>
      <c r="C563" s="627">
        <f>$W$133</f>
        <v>0</v>
      </c>
      <c r="D563" s="627"/>
      <c r="E563" s="627"/>
      <c r="F563" s="627">
        <f>$V$133</f>
        <v>0</v>
      </c>
      <c r="G563" s="627" t="s">
        <v>150</v>
      </c>
      <c r="H563" s="608">
        <v>1.03</v>
      </c>
      <c r="I563" s="609">
        <f>$AF$133</f>
        <v>0</v>
      </c>
      <c r="J563" s="1013" t="s">
        <v>178</v>
      </c>
      <c r="K563" s="610"/>
      <c r="L563" s="610">
        <f t="shared" si="110"/>
        <v>0</v>
      </c>
      <c r="N563" s="1032">
        <f t="shared" si="109"/>
        <v>0</v>
      </c>
    </row>
    <row r="564" spans="2:14" ht="30" customHeight="1">
      <c r="B564" s="691"/>
      <c r="C564" s="1183" t="str">
        <f>CONCATENATE($P$134,$AE$9,$T$134,$AF$9)</f>
        <v>. Общая длина примыкания-  м.</v>
      </c>
      <c r="D564" s="1183"/>
      <c r="E564" s="1183"/>
      <c r="F564" s="1183"/>
      <c r="G564" s="1183"/>
      <c r="H564" s="1184"/>
      <c r="I564" s="1184"/>
      <c r="J564" s="1184"/>
      <c r="K564" s="1185"/>
      <c r="L564" s="684">
        <f>SUM(L565:L578)</f>
        <v>0</v>
      </c>
      <c r="N564" s="1032">
        <f>IF(SUM(I565:I578)&gt;0,1,0)</f>
        <v>0</v>
      </c>
    </row>
    <row r="565" spans="2:14" ht="15" customHeight="1">
      <c r="B565" s="685"/>
      <c r="C565" s="627"/>
      <c r="D565" s="627"/>
      <c r="E565" s="627"/>
      <c r="F565" s="627"/>
      <c r="G565" s="627"/>
      <c r="H565" s="608"/>
      <c r="I565" s="611"/>
      <c r="J565" s="1013"/>
      <c r="K565" s="610"/>
      <c r="L565" s="610">
        <f>IFERROR(I565*K565,0)</f>
        <v>0</v>
      </c>
      <c r="N565" s="1032">
        <f t="shared" ref="N565:N578" si="111">IF(I565&gt;0,1,0)</f>
        <v>0</v>
      </c>
    </row>
    <row r="566" spans="2:14" ht="15" customHeight="1">
      <c r="B566" s="685"/>
      <c r="C566" s="627"/>
      <c r="D566" s="627"/>
      <c r="E566" s="627"/>
      <c r="F566" s="627"/>
      <c r="G566" s="627"/>
      <c r="H566" s="608"/>
      <c r="I566" s="611"/>
      <c r="J566" s="1013"/>
      <c r="K566" s="610"/>
      <c r="L566" s="610">
        <f>IFERROR(I566*K566,0)</f>
        <v>0</v>
      </c>
      <c r="N566" s="1032">
        <f t="shared" si="111"/>
        <v>0</v>
      </c>
    </row>
    <row r="567" spans="2:14" ht="15" customHeight="1">
      <c r="B567" s="1013">
        <f>SUBTOTAL(3,$I$310:I567)</f>
        <v>186</v>
      </c>
      <c r="C567" s="627" t="s">
        <v>651</v>
      </c>
      <c r="D567" s="627"/>
      <c r="E567" s="627"/>
      <c r="F567" s="627"/>
      <c r="G567" s="627" t="str">
        <f>" "</f>
        <v xml:space="preserve"> </v>
      </c>
      <c r="H567" s="608">
        <v>1.03</v>
      </c>
      <c r="I567" s="614">
        <f>IFERROR(ROUNDUP($AA$134*H567,2),0)</f>
        <v>0</v>
      </c>
      <c r="J567" s="1013" t="s">
        <v>264</v>
      </c>
      <c r="K567" s="610"/>
      <c r="L567" s="610">
        <f t="shared" ref="L567:L578" si="112">IFERROR(I567*K567,0)</f>
        <v>0</v>
      </c>
      <c r="N567" s="1032">
        <f t="shared" si="111"/>
        <v>0</v>
      </c>
    </row>
    <row r="568" spans="2:14" ht="15" customHeight="1">
      <c r="B568" s="1013">
        <f>SUBTOTAL(3,$I$310:I568)</f>
        <v>187</v>
      </c>
      <c r="C568" s="627" t="s">
        <v>559</v>
      </c>
      <c r="D568" s="627"/>
      <c r="E568" s="627"/>
      <c r="F568" s="627"/>
      <c r="G568" s="627" t="str">
        <f>" "</f>
        <v xml:space="preserve"> </v>
      </c>
      <c r="H568" s="608">
        <v>5</v>
      </c>
      <c r="I568" s="611">
        <f>IFERROR($AB$134*H568*1.03,0)</f>
        <v>0</v>
      </c>
      <c r="J568" s="1013" t="s">
        <v>151</v>
      </c>
      <c r="K568" s="610"/>
      <c r="L568" s="610">
        <f t="shared" si="112"/>
        <v>0</v>
      </c>
      <c r="N568" s="1032">
        <f t="shared" si="111"/>
        <v>0</v>
      </c>
    </row>
    <row r="569" spans="2:14" ht="15" customHeight="1">
      <c r="B569" s="1013">
        <f>SUBTOTAL(3,$I$310:I569)</f>
        <v>188</v>
      </c>
      <c r="C569" s="627" t="s">
        <v>189</v>
      </c>
      <c r="D569" s="627"/>
      <c r="E569" s="627"/>
      <c r="F569" s="627"/>
      <c r="G569" s="627" t="str">
        <f>" "</f>
        <v xml:space="preserve"> </v>
      </c>
      <c r="H569" s="608">
        <v>5</v>
      </c>
      <c r="I569" s="611">
        <f>IFERROR($AD$134,0)</f>
        <v>0</v>
      </c>
      <c r="J569" s="1013" t="s">
        <v>151</v>
      </c>
      <c r="K569" s="610"/>
      <c r="L569" s="610">
        <f t="shared" si="112"/>
        <v>0</v>
      </c>
      <c r="N569" s="1032">
        <f t="shared" si="111"/>
        <v>0</v>
      </c>
    </row>
    <row r="570" spans="2:14" ht="15" customHeight="1">
      <c r="B570" s="1013">
        <f>SUBTOTAL(3,$I$310:I570)</f>
        <v>189</v>
      </c>
      <c r="C570" s="627" t="s">
        <v>1459</v>
      </c>
      <c r="D570" s="627"/>
      <c r="E570" s="627"/>
      <c r="F570" s="627"/>
      <c r="G570" s="627" t="str">
        <f>" "</f>
        <v xml:space="preserve"> </v>
      </c>
      <c r="H570" s="608">
        <v>5</v>
      </c>
      <c r="I570" s="611">
        <f>IFERROR($AC$134*H570*1.03,0)</f>
        <v>0</v>
      </c>
      <c r="J570" s="1013" t="s">
        <v>151</v>
      </c>
      <c r="K570" s="610"/>
      <c r="L570" s="610">
        <f t="shared" si="112"/>
        <v>0</v>
      </c>
      <c r="N570" s="1032">
        <f t="shared" si="111"/>
        <v>0</v>
      </c>
    </row>
    <row r="571" spans="2:14" ht="15" customHeight="1">
      <c r="B571" s="1013">
        <f>SUBTOTAL(3,$I$310:I571)</f>
        <v>190</v>
      </c>
      <c r="C571" s="627" t="s">
        <v>182</v>
      </c>
      <c r="D571" s="627"/>
      <c r="E571" s="627"/>
      <c r="F571" s="627"/>
      <c r="G571" s="627" t="str">
        <f>" "</f>
        <v xml:space="preserve"> </v>
      </c>
      <c r="H571" s="608">
        <v>0.25</v>
      </c>
      <c r="I571" s="609">
        <f>IFERROR(ROUNDUP($AE$134*H571,0),0)</f>
        <v>0</v>
      </c>
      <c r="J571" s="1013" t="s">
        <v>183</v>
      </c>
      <c r="K571" s="610"/>
      <c r="L571" s="610">
        <f t="shared" si="112"/>
        <v>0</v>
      </c>
      <c r="N571" s="1032">
        <f t="shared" si="111"/>
        <v>0</v>
      </c>
    </row>
    <row r="572" spans="2:14" ht="15" customHeight="1">
      <c r="B572" s="685"/>
      <c r="C572" s="627"/>
      <c r="D572" s="627"/>
      <c r="E572" s="627"/>
      <c r="F572" s="627"/>
      <c r="G572" s="627"/>
      <c r="H572" s="608"/>
      <c r="I572" s="611"/>
      <c r="J572" s="1013"/>
      <c r="K572" s="610"/>
      <c r="L572" s="610">
        <f t="shared" si="112"/>
        <v>0</v>
      </c>
      <c r="N572" s="1032">
        <f t="shared" si="111"/>
        <v>0</v>
      </c>
    </row>
    <row r="573" spans="2:14" ht="15" customHeight="1">
      <c r="B573" s="1013">
        <f>SUBTOTAL(3,$I$310:I573)</f>
        <v>191</v>
      </c>
      <c r="C573" s="627" t="e">
        <f>БРМ_НИЗ</f>
        <v>#N/A</v>
      </c>
      <c r="D573" s="627"/>
      <c r="E573" s="627"/>
      <c r="F573" s="627"/>
      <c r="G573" s="627" t="str">
        <f>" "</f>
        <v xml:space="preserve"> </v>
      </c>
      <c r="H573" s="608">
        <v>1.1499999999999999</v>
      </c>
      <c r="I573" s="609">
        <f>IFERROR(ROUNDUP($Z$134*H573,0),0)</f>
        <v>0</v>
      </c>
      <c r="J573" s="1013" t="s">
        <v>112</v>
      </c>
      <c r="K573" s="610"/>
      <c r="L573" s="610">
        <f t="shared" si="112"/>
        <v>0</v>
      </c>
      <c r="N573" s="1032">
        <f t="shared" si="111"/>
        <v>0</v>
      </c>
    </row>
    <row r="574" spans="2:14" ht="15" customHeight="1">
      <c r="B574" s="1013">
        <f>SUBTOTAL(3,$I$310:I574)</f>
        <v>192</v>
      </c>
      <c r="C574" s="627" t="e">
        <f>БРМ_ВЕРХ</f>
        <v>#N/A</v>
      </c>
      <c r="D574" s="627"/>
      <c r="E574" s="627"/>
      <c r="F574" s="627"/>
      <c r="G574" s="627" t="str">
        <f>" "</f>
        <v xml:space="preserve"> </v>
      </c>
      <c r="H574" s="608">
        <v>1.1499999999999999</v>
      </c>
      <c r="I574" s="609">
        <f>IFERROR(ROUNDUP($Y$134*H574,0),0)</f>
        <v>0</v>
      </c>
      <c r="J574" s="1013" t="s">
        <v>112</v>
      </c>
      <c r="K574" s="610"/>
      <c r="L574" s="610">
        <f t="shared" si="112"/>
        <v>0</v>
      </c>
      <c r="N574" s="1032">
        <f t="shared" si="111"/>
        <v>0</v>
      </c>
    </row>
    <row r="575" spans="2:14" ht="15" customHeight="1">
      <c r="B575" s="1013">
        <f>SUBTOTAL(3,$I$310:I575)</f>
        <v>193</v>
      </c>
      <c r="C575" s="627" t="s">
        <v>337</v>
      </c>
      <c r="D575" s="627"/>
      <c r="E575" s="627"/>
      <c r="F575" s="627">
        <f>$AG$134</f>
        <v>0</v>
      </c>
      <c r="G575" s="627" t="s">
        <v>150</v>
      </c>
      <c r="H575" s="608" t="str">
        <f>" "</f>
        <v xml:space="preserve"> </v>
      </c>
      <c r="I575" s="611">
        <f>IFERROR($AH$134,0)</f>
        <v>0</v>
      </c>
      <c r="J575" s="1013" t="s">
        <v>190</v>
      </c>
      <c r="K575" s="610"/>
      <c r="L575" s="610">
        <f t="shared" si="112"/>
        <v>0</v>
      </c>
      <c r="N575" s="1032">
        <f t="shared" si="111"/>
        <v>0</v>
      </c>
    </row>
    <row r="576" spans="2:14" ht="15" customHeight="1">
      <c r="B576" s="1013">
        <f>SUBTOTAL(3,$I$310:I576)</f>
        <v>194</v>
      </c>
      <c r="C576" s="627" t="s">
        <v>337</v>
      </c>
      <c r="D576" s="627"/>
      <c r="E576" s="627"/>
      <c r="F576" s="627">
        <f>$AK$134</f>
        <v>0</v>
      </c>
      <c r="G576" s="627" t="s">
        <v>150</v>
      </c>
      <c r="H576" s="608" t="str">
        <f>" "</f>
        <v xml:space="preserve"> </v>
      </c>
      <c r="I576" s="611">
        <f>IFERROR($AL$134,0)</f>
        <v>0</v>
      </c>
      <c r="J576" s="1013" t="s">
        <v>190</v>
      </c>
      <c r="K576" s="610"/>
      <c r="L576" s="610">
        <f t="shared" si="112"/>
        <v>0</v>
      </c>
      <c r="N576" s="1032">
        <f t="shared" si="111"/>
        <v>0</v>
      </c>
    </row>
    <row r="577" spans="2:14" ht="15" customHeight="1">
      <c r="B577" s="1013">
        <f>SUBTOTAL(3,$I$310:I577)</f>
        <v>195</v>
      </c>
      <c r="C577" s="627" t="s">
        <v>268</v>
      </c>
      <c r="D577" s="627"/>
      <c r="E577" s="627"/>
      <c r="F577" s="627">
        <f>$AI$134</f>
        <v>0</v>
      </c>
      <c r="G577" s="627" t="s">
        <v>150</v>
      </c>
      <c r="H577" s="608" t="str">
        <f>" "</f>
        <v xml:space="preserve"> </v>
      </c>
      <c r="I577" s="611">
        <f>IFERROR($AJ$134,0)</f>
        <v>0</v>
      </c>
      <c r="J577" s="1013" t="s">
        <v>190</v>
      </c>
      <c r="K577" s="610"/>
      <c r="L577" s="610">
        <f t="shared" si="112"/>
        <v>0</v>
      </c>
      <c r="N577" s="1032">
        <f t="shared" si="111"/>
        <v>0</v>
      </c>
    </row>
    <row r="578" spans="2:14" ht="15" customHeight="1">
      <c r="B578" s="1013">
        <f>SUBTOTAL(3,$I$310:I578)</f>
        <v>196</v>
      </c>
      <c r="C578" s="627">
        <f>$W$134</f>
        <v>0</v>
      </c>
      <c r="D578" s="627"/>
      <c r="E578" s="627"/>
      <c r="F578" s="627">
        <f>$V$134</f>
        <v>0</v>
      </c>
      <c r="G578" s="627" t="s">
        <v>150</v>
      </c>
      <c r="H578" s="608">
        <v>1.03</v>
      </c>
      <c r="I578" s="609">
        <f>$AF$134</f>
        <v>0</v>
      </c>
      <c r="J578" s="1013" t="s">
        <v>178</v>
      </c>
      <c r="K578" s="610"/>
      <c r="L578" s="610">
        <f t="shared" si="112"/>
        <v>0</v>
      </c>
      <c r="N578" s="1032">
        <f t="shared" si="111"/>
        <v>0</v>
      </c>
    </row>
    <row r="579" spans="2:14" ht="30" customHeight="1">
      <c r="B579" s="691"/>
      <c r="C579" s="1183" t="str">
        <f>CONCATENATE($P$135,$AE$9,$T$135,$AF$9)</f>
        <v>. Общая длина примыкания-  м.</v>
      </c>
      <c r="D579" s="1183"/>
      <c r="E579" s="1183"/>
      <c r="F579" s="1183"/>
      <c r="G579" s="1183"/>
      <c r="H579" s="1184"/>
      <c r="I579" s="1184"/>
      <c r="J579" s="1184"/>
      <c r="K579" s="1185"/>
      <c r="L579" s="684">
        <f>SUM(L580:L593)</f>
        <v>0</v>
      </c>
      <c r="N579" s="1032">
        <f>IF(SUM(I580:I593)&gt;0,1,0)</f>
        <v>0</v>
      </c>
    </row>
    <row r="580" spans="2:14" ht="15" customHeight="1">
      <c r="B580" s="685"/>
      <c r="C580" s="627"/>
      <c r="D580" s="627"/>
      <c r="E580" s="627"/>
      <c r="F580" s="627"/>
      <c r="G580" s="627"/>
      <c r="H580" s="608"/>
      <c r="I580" s="611"/>
      <c r="J580" s="1013"/>
      <c r="K580" s="692"/>
      <c r="L580" s="610">
        <f>IFERROR(I580*K580,0)</f>
        <v>0</v>
      </c>
      <c r="N580" s="1032">
        <f t="shared" ref="N580:N593" si="113">IF(I580&gt;0,1,0)</f>
        <v>0</v>
      </c>
    </row>
    <row r="581" spans="2:14" ht="15" customHeight="1">
      <c r="B581" s="685"/>
      <c r="C581" s="627"/>
      <c r="D581" s="627"/>
      <c r="E581" s="627"/>
      <c r="F581" s="627"/>
      <c r="G581" s="627"/>
      <c r="H581" s="608"/>
      <c r="I581" s="611"/>
      <c r="J581" s="1013"/>
      <c r="K581" s="692"/>
      <c r="L581" s="610">
        <f>IFERROR(I581*K581,0)</f>
        <v>0</v>
      </c>
      <c r="N581" s="1032">
        <f t="shared" si="113"/>
        <v>0</v>
      </c>
    </row>
    <row r="582" spans="2:14" ht="15" customHeight="1">
      <c r="B582" s="1013">
        <f>SUBTOTAL(3,$I$310:I582)</f>
        <v>197</v>
      </c>
      <c r="C582" s="627" t="s">
        <v>651</v>
      </c>
      <c r="D582" s="627"/>
      <c r="E582" s="627"/>
      <c r="F582" s="627"/>
      <c r="G582" s="627" t="str">
        <f>" "</f>
        <v xml:space="preserve"> </v>
      </c>
      <c r="H582" s="608">
        <v>1.03</v>
      </c>
      <c r="I582" s="614">
        <f>IFERROR(ROUNDUP($AA$135*H582,2),0)</f>
        <v>0</v>
      </c>
      <c r="J582" s="1013" t="s">
        <v>264</v>
      </c>
      <c r="K582" s="692"/>
      <c r="L582" s="610">
        <f t="shared" ref="L582:L593" si="114">IFERROR(I582*K582,0)</f>
        <v>0</v>
      </c>
      <c r="N582" s="1032">
        <f t="shared" si="113"/>
        <v>0</v>
      </c>
    </row>
    <row r="583" spans="2:14" ht="15" customHeight="1">
      <c r="B583" s="1013">
        <f>SUBTOTAL(3,$I$310:I583)</f>
        <v>198</v>
      </c>
      <c r="C583" s="627" t="s">
        <v>559</v>
      </c>
      <c r="D583" s="627"/>
      <c r="E583" s="627"/>
      <c r="F583" s="627"/>
      <c r="G583" s="627" t="str">
        <f>" "</f>
        <v xml:space="preserve"> </v>
      </c>
      <c r="H583" s="608">
        <v>5</v>
      </c>
      <c r="I583" s="611">
        <f>IFERROR($AB$135*H583*1.03,0)</f>
        <v>0</v>
      </c>
      <c r="J583" s="1013" t="s">
        <v>151</v>
      </c>
      <c r="K583" s="692"/>
      <c r="L583" s="610">
        <f t="shared" si="114"/>
        <v>0</v>
      </c>
      <c r="N583" s="1032">
        <f t="shared" si="113"/>
        <v>0</v>
      </c>
    </row>
    <row r="584" spans="2:14" ht="15" customHeight="1">
      <c r="B584" s="1013">
        <f>SUBTOTAL(3,$I$310:I584)</f>
        <v>199</v>
      </c>
      <c r="C584" s="627" t="s">
        <v>189</v>
      </c>
      <c r="D584" s="627"/>
      <c r="E584" s="627"/>
      <c r="F584" s="627"/>
      <c r="G584" s="627" t="str">
        <f>" "</f>
        <v xml:space="preserve"> </v>
      </c>
      <c r="H584" s="608">
        <v>5</v>
      </c>
      <c r="I584" s="611">
        <f>IFERROR($AD$135,0)</f>
        <v>0</v>
      </c>
      <c r="J584" s="1013" t="s">
        <v>151</v>
      </c>
      <c r="K584" s="692"/>
      <c r="L584" s="610">
        <f t="shared" si="114"/>
        <v>0</v>
      </c>
      <c r="N584" s="1032">
        <f t="shared" si="113"/>
        <v>0</v>
      </c>
    </row>
    <row r="585" spans="2:14" ht="15" customHeight="1">
      <c r="B585" s="1013">
        <f>SUBTOTAL(3,$I$310:I585)</f>
        <v>200</v>
      </c>
      <c r="C585" s="627" t="s">
        <v>1459</v>
      </c>
      <c r="D585" s="627"/>
      <c r="E585" s="627"/>
      <c r="F585" s="627"/>
      <c r="G585" s="627" t="str">
        <f>" "</f>
        <v xml:space="preserve"> </v>
      </c>
      <c r="H585" s="608">
        <v>5</v>
      </c>
      <c r="I585" s="611">
        <f>IFERROR($AC$135*H585*1.03,0)</f>
        <v>0</v>
      </c>
      <c r="J585" s="1013" t="s">
        <v>151</v>
      </c>
      <c r="K585" s="692"/>
      <c r="L585" s="610">
        <f t="shared" si="114"/>
        <v>0</v>
      </c>
      <c r="N585" s="1032">
        <f t="shared" si="113"/>
        <v>0</v>
      </c>
    </row>
    <row r="586" spans="2:14" ht="15" customHeight="1">
      <c r="B586" s="1013">
        <f>SUBTOTAL(3,$I$310:I586)</f>
        <v>201</v>
      </c>
      <c r="C586" s="627" t="s">
        <v>182</v>
      </c>
      <c r="D586" s="627"/>
      <c r="E586" s="627"/>
      <c r="F586" s="627"/>
      <c r="G586" s="627" t="str">
        <f>" "</f>
        <v xml:space="preserve"> </v>
      </c>
      <c r="H586" s="608">
        <v>0.25</v>
      </c>
      <c r="I586" s="609">
        <f>IFERROR(ROUNDUP($AE$135*H586,0),0)</f>
        <v>0</v>
      </c>
      <c r="J586" s="1013" t="s">
        <v>183</v>
      </c>
      <c r="K586" s="692"/>
      <c r="L586" s="610">
        <f t="shared" si="114"/>
        <v>0</v>
      </c>
      <c r="N586" s="1032">
        <f t="shared" si="113"/>
        <v>0</v>
      </c>
    </row>
    <row r="587" spans="2:14" ht="15" customHeight="1">
      <c r="B587" s="685"/>
      <c r="C587" s="627"/>
      <c r="D587" s="627"/>
      <c r="E587" s="627"/>
      <c r="F587" s="627"/>
      <c r="G587" s="627"/>
      <c r="H587" s="608"/>
      <c r="I587" s="611"/>
      <c r="J587" s="1013"/>
      <c r="K587" s="692"/>
      <c r="L587" s="610">
        <f t="shared" si="114"/>
        <v>0</v>
      </c>
      <c r="N587" s="1032">
        <f t="shared" si="113"/>
        <v>0</v>
      </c>
    </row>
    <row r="588" spans="2:14" ht="15" customHeight="1">
      <c r="B588" s="1013">
        <f>SUBTOTAL(3,$I$310:I588)</f>
        <v>202</v>
      </c>
      <c r="C588" s="627" t="e">
        <f>БРМ_НИЗ</f>
        <v>#N/A</v>
      </c>
      <c r="D588" s="627"/>
      <c r="E588" s="627"/>
      <c r="F588" s="627"/>
      <c r="G588" s="627" t="str">
        <f>" "</f>
        <v xml:space="preserve"> </v>
      </c>
      <c r="H588" s="608">
        <v>1.1499999999999999</v>
      </c>
      <c r="I588" s="609">
        <f>IFERROR(ROUNDUP($Z$135*H588,0),0)</f>
        <v>0</v>
      </c>
      <c r="J588" s="1013" t="s">
        <v>112</v>
      </c>
      <c r="K588" s="692"/>
      <c r="L588" s="610">
        <f t="shared" si="114"/>
        <v>0</v>
      </c>
      <c r="N588" s="1032">
        <f t="shared" si="113"/>
        <v>0</v>
      </c>
    </row>
    <row r="589" spans="2:14" ht="15" customHeight="1">
      <c r="B589" s="1013">
        <f>SUBTOTAL(3,$I$310:I589)</f>
        <v>203</v>
      </c>
      <c r="C589" s="627" t="e">
        <f>БРМ_ВЕРХ</f>
        <v>#N/A</v>
      </c>
      <c r="D589" s="627"/>
      <c r="E589" s="627"/>
      <c r="F589" s="627"/>
      <c r="G589" s="627" t="str">
        <f>" "</f>
        <v xml:space="preserve"> </v>
      </c>
      <c r="H589" s="608">
        <v>1.1499999999999999</v>
      </c>
      <c r="I589" s="609">
        <f>IFERROR(ROUNDUP($Y$135*H589,0),0)</f>
        <v>0</v>
      </c>
      <c r="J589" s="1013" t="s">
        <v>112</v>
      </c>
      <c r="K589" s="692"/>
      <c r="L589" s="610">
        <f t="shared" si="114"/>
        <v>0</v>
      </c>
      <c r="N589" s="1032">
        <f t="shared" si="113"/>
        <v>0</v>
      </c>
    </row>
    <row r="590" spans="2:14" ht="15" customHeight="1">
      <c r="B590" s="1013">
        <f>SUBTOTAL(3,$I$310:I590)</f>
        <v>204</v>
      </c>
      <c r="C590" s="627" t="s">
        <v>337</v>
      </c>
      <c r="D590" s="627"/>
      <c r="E590" s="627"/>
      <c r="F590" s="627">
        <f>$AG$135</f>
        <v>0</v>
      </c>
      <c r="G590" s="627" t="s">
        <v>150</v>
      </c>
      <c r="H590" s="608" t="str">
        <f>" "</f>
        <v xml:space="preserve"> </v>
      </c>
      <c r="I590" s="611">
        <f>IFERROR($AH$135,0)</f>
        <v>0</v>
      </c>
      <c r="J590" s="1013" t="s">
        <v>190</v>
      </c>
      <c r="K590" s="692"/>
      <c r="L590" s="610">
        <f t="shared" si="114"/>
        <v>0</v>
      </c>
      <c r="N590" s="1032">
        <f t="shared" si="113"/>
        <v>0</v>
      </c>
    </row>
    <row r="591" spans="2:14" ht="15" customHeight="1">
      <c r="B591" s="1013">
        <f>SUBTOTAL(3,$I$310:I591)</f>
        <v>205</v>
      </c>
      <c r="C591" s="627" t="s">
        <v>337</v>
      </c>
      <c r="D591" s="627"/>
      <c r="E591" s="627"/>
      <c r="F591" s="627">
        <f>$AK$135</f>
        <v>0</v>
      </c>
      <c r="G591" s="627" t="s">
        <v>150</v>
      </c>
      <c r="H591" s="608" t="str">
        <f>" "</f>
        <v xml:space="preserve"> </v>
      </c>
      <c r="I591" s="611">
        <f>IFERROR($AL$135,0)</f>
        <v>0</v>
      </c>
      <c r="J591" s="1013" t="s">
        <v>190</v>
      </c>
      <c r="K591" s="692"/>
      <c r="L591" s="610">
        <f t="shared" si="114"/>
        <v>0</v>
      </c>
      <c r="N591" s="1032">
        <f t="shared" si="113"/>
        <v>0</v>
      </c>
    </row>
    <row r="592" spans="2:14" ht="15" customHeight="1">
      <c r="B592" s="1013">
        <f>SUBTOTAL(3,$I$310:I592)</f>
        <v>206</v>
      </c>
      <c r="C592" s="627" t="s">
        <v>268</v>
      </c>
      <c r="D592" s="627"/>
      <c r="E592" s="627"/>
      <c r="F592" s="627">
        <f>$AI$135</f>
        <v>0</v>
      </c>
      <c r="G592" s="627" t="s">
        <v>150</v>
      </c>
      <c r="H592" s="608" t="str">
        <f>" "</f>
        <v xml:space="preserve"> </v>
      </c>
      <c r="I592" s="611">
        <f>IFERROR($AJ$135,0)</f>
        <v>0</v>
      </c>
      <c r="J592" s="1013" t="s">
        <v>190</v>
      </c>
      <c r="K592" s="692"/>
      <c r="L592" s="610">
        <f t="shared" si="114"/>
        <v>0</v>
      </c>
      <c r="N592" s="1032">
        <f t="shared" si="113"/>
        <v>0</v>
      </c>
    </row>
    <row r="593" spans="2:14" ht="15" customHeight="1">
      <c r="B593" s="1013">
        <f>SUBTOTAL(3,$I$310:I593)</f>
        <v>207</v>
      </c>
      <c r="C593" s="627">
        <f>$W$135</f>
        <v>0</v>
      </c>
      <c r="D593" s="627"/>
      <c r="E593" s="627"/>
      <c r="F593" s="627">
        <f>$V$135</f>
        <v>0</v>
      </c>
      <c r="G593" s="627" t="s">
        <v>150</v>
      </c>
      <c r="H593" s="608">
        <v>1.03</v>
      </c>
      <c r="I593" s="609">
        <f>$AF$135</f>
        <v>0</v>
      </c>
      <c r="J593" s="1013" t="s">
        <v>178</v>
      </c>
      <c r="K593" s="692"/>
      <c r="L593" s="610">
        <f t="shared" si="114"/>
        <v>0</v>
      </c>
      <c r="N593" s="1032">
        <f t="shared" si="113"/>
        <v>0</v>
      </c>
    </row>
    <row r="594" spans="2:14" ht="30" customHeight="1">
      <c r="B594" s="691"/>
      <c r="C594" s="1183" t="str">
        <f>CONCATENATE($P$136,$AE$9,$T$136,$AF$9)</f>
        <v>. Общая длина примыкания-  м.</v>
      </c>
      <c r="D594" s="1183"/>
      <c r="E594" s="1183"/>
      <c r="F594" s="1183"/>
      <c r="G594" s="1183"/>
      <c r="H594" s="1184"/>
      <c r="I594" s="1184"/>
      <c r="J594" s="1184"/>
      <c r="K594" s="1185"/>
      <c r="L594" s="684">
        <f>SUM(L595:L608)</f>
        <v>0</v>
      </c>
      <c r="N594" s="1032">
        <f>IF(SUM(I595:I608)&gt;0,1,0)</f>
        <v>0</v>
      </c>
    </row>
    <row r="595" spans="2:14" ht="15" customHeight="1">
      <c r="B595" s="685"/>
      <c r="C595" s="627"/>
      <c r="D595" s="627"/>
      <c r="E595" s="627"/>
      <c r="F595" s="627"/>
      <c r="G595" s="627"/>
      <c r="H595" s="608"/>
      <c r="I595" s="611"/>
      <c r="J595" s="1013"/>
      <c r="K595" s="610"/>
      <c r="L595" s="610">
        <f>IFERROR(I595*K595,0)</f>
        <v>0</v>
      </c>
      <c r="N595" s="1032">
        <f t="shared" ref="N595:N608" si="115">IF(I595&gt;0,1,0)</f>
        <v>0</v>
      </c>
    </row>
    <row r="596" spans="2:14" ht="15" customHeight="1">
      <c r="B596" s="685"/>
      <c r="C596" s="627"/>
      <c r="D596" s="627"/>
      <c r="E596" s="627"/>
      <c r="F596" s="627"/>
      <c r="G596" s="627"/>
      <c r="H596" s="608"/>
      <c r="I596" s="611"/>
      <c r="J596" s="1013"/>
      <c r="K596" s="610"/>
      <c r="L596" s="610">
        <f>IFERROR(I596*K596,0)</f>
        <v>0</v>
      </c>
      <c r="N596" s="1032">
        <f t="shared" si="115"/>
        <v>0</v>
      </c>
    </row>
    <row r="597" spans="2:14" ht="15" customHeight="1">
      <c r="B597" s="1013">
        <f>SUBTOTAL(3,$I$310:I597)</f>
        <v>208</v>
      </c>
      <c r="C597" s="627" t="s">
        <v>651</v>
      </c>
      <c r="D597" s="627"/>
      <c r="E597" s="627"/>
      <c r="F597" s="627"/>
      <c r="G597" s="627" t="str">
        <f>" "</f>
        <v xml:space="preserve"> </v>
      </c>
      <c r="H597" s="608">
        <v>1.03</v>
      </c>
      <c r="I597" s="614">
        <f>IFERROR(ROUNDUP($AA$136*H597,2),0)</f>
        <v>0</v>
      </c>
      <c r="J597" s="1013" t="s">
        <v>264</v>
      </c>
      <c r="K597" s="610"/>
      <c r="L597" s="610">
        <f t="shared" ref="L597:L608" si="116">IFERROR(I597*K597,0)</f>
        <v>0</v>
      </c>
      <c r="N597" s="1032">
        <f t="shared" si="115"/>
        <v>0</v>
      </c>
    </row>
    <row r="598" spans="2:14" ht="15" customHeight="1">
      <c r="B598" s="1013">
        <f>SUBTOTAL(3,$I$310:I598)</f>
        <v>209</v>
      </c>
      <c r="C598" s="627" t="s">
        <v>559</v>
      </c>
      <c r="D598" s="627"/>
      <c r="E598" s="627"/>
      <c r="F598" s="627"/>
      <c r="G598" s="627" t="str">
        <f>" "</f>
        <v xml:space="preserve"> </v>
      </c>
      <c r="H598" s="608">
        <v>5</v>
      </c>
      <c r="I598" s="611">
        <f>IFERROR($AB$136*H598*1.03,0)</f>
        <v>0</v>
      </c>
      <c r="J598" s="1013" t="s">
        <v>151</v>
      </c>
      <c r="K598" s="610"/>
      <c r="L598" s="610">
        <f t="shared" si="116"/>
        <v>0</v>
      </c>
      <c r="N598" s="1032">
        <f t="shared" si="115"/>
        <v>0</v>
      </c>
    </row>
    <row r="599" spans="2:14" ht="15" customHeight="1">
      <c r="B599" s="1013">
        <f>SUBTOTAL(3,$I$310:I599)</f>
        <v>210</v>
      </c>
      <c r="C599" s="627" t="s">
        <v>189</v>
      </c>
      <c r="D599" s="627"/>
      <c r="E599" s="627"/>
      <c r="F599" s="627"/>
      <c r="G599" s="627" t="str">
        <f>" "</f>
        <v xml:space="preserve"> </v>
      </c>
      <c r="H599" s="608">
        <v>5</v>
      </c>
      <c r="I599" s="611">
        <f>IFERROR($AD$136,0)</f>
        <v>0</v>
      </c>
      <c r="J599" s="1013" t="s">
        <v>151</v>
      </c>
      <c r="K599" s="610"/>
      <c r="L599" s="610">
        <f t="shared" si="116"/>
        <v>0</v>
      </c>
      <c r="N599" s="1032">
        <f t="shared" si="115"/>
        <v>0</v>
      </c>
    </row>
    <row r="600" spans="2:14" ht="15" customHeight="1">
      <c r="B600" s="1013">
        <f>SUBTOTAL(3,$I$310:I600)</f>
        <v>211</v>
      </c>
      <c r="C600" s="627" t="s">
        <v>1459</v>
      </c>
      <c r="D600" s="627"/>
      <c r="E600" s="627"/>
      <c r="F600" s="627"/>
      <c r="G600" s="627" t="str">
        <f>" "</f>
        <v xml:space="preserve"> </v>
      </c>
      <c r="H600" s="608">
        <v>5</v>
      </c>
      <c r="I600" s="611">
        <f>IFERROR($AC$136*H600*1.03,0)</f>
        <v>0</v>
      </c>
      <c r="J600" s="1013" t="s">
        <v>151</v>
      </c>
      <c r="K600" s="610"/>
      <c r="L600" s="610">
        <f t="shared" si="116"/>
        <v>0</v>
      </c>
      <c r="N600" s="1032">
        <f t="shared" si="115"/>
        <v>0</v>
      </c>
    </row>
    <row r="601" spans="2:14" ht="15" customHeight="1">
      <c r="B601" s="1013">
        <f>SUBTOTAL(3,$I$310:I601)</f>
        <v>212</v>
      </c>
      <c r="C601" s="627" t="s">
        <v>182</v>
      </c>
      <c r="D601" s="627"/>
      <c r="E601" s="627"/>
      <c r="F601" s="627"/>
      <c r="G601" s="627" t="str">
        <f>" "</f>
        <v xml:space="preserve"> </v>
      </c>
      <c r="H601" s="608">
        <v>0.25</v>
      </c>
      <c r="I601" s="609">
        <f>IFERROR(ROUNDUP($AE$136*H601,0),0)</f>
        <v>0</v>
      </c>
      <c r="J601" s="1013" t="s">
        <v>183</v>
      </c>
      <c r="K601" s="610"/>
      <c r="L601" s="610">
        <f t="shared" si="116"/>
        <v>0</v>
      </c>
      <c r="N601" s="1032">
        <f t="shared" si="115"/>
        <v>0</v>
      </c>
    </row>
    <row r="602" spans="2:14" ht="15" customHeight="1">
      <c r="B602" s="685"/>
      <c r="C602" s="627"/>
      <c r="D602" s="627"/>
      <c r="E602" s="627"/>
      <c r="F602" s="627"/>
      <c r="G602" s="627"/>
      <c r="H602" s="608"/>
      <c r="I602" s="611"/>
      <c r="J602" s="1013"/>
      <c r="K602" s="610"/>
      <c r="L602" s="610">
        <f t="shared" si="116"/>
        <v>0</v>
      </c>
      <c r="N602" s="1032">
        <f t="shared" si="115"/>
        <v>0</v>
      </c>
    </row>
    <row r="603" spans="2:14" ht="15" customHeight="1">
      <c r="B603" s="1013">
        <f>SUBTOTAL(3,$I$310:I603)</f>
        <v>213</v>
      </c>
      <c r="C603" s="627" t="e">
        <f>БРМ_НИЗ</f>
        <v>#N/A</v>
      </c>
      <c r="D603" s="627"/>
      <c r="E603" s="627"/>
      <c r="F603" s="627"/>
      <c r="G603" s="627" t="str">
        <f>" "</f>
        <v xml:space="preserve"> </v>
      </c>
      <c r="H603" s="608">
        <v>1.1499999999999999</v>
      </c>
      <c r="I603" s="609">
        <f>IFERROR(ROUNDUP($Z$136*H603,0),0)</f>
        <v>0</v>
      </c>
      <c r="J603" s="1013" t="s">
        <v>112</v>
      </c>
      <c r="K603" s="610"/>
      <c r="L603" s="610">
        <f t="shared" si="116"/>
        <v>0</v>
      </c>
      <c r="N603" s="1032">
        <f t="shared" si="115"/>
        <v>0</v>
      </c>
    </row>
    <row r="604" spans="2:14" ht="15" customHeight="1">
      <c r="B604" s="1013">
        <f>SUBTOTAL(3,$I$310:I604)</f>
        <v>214</v>
      </c>
      <c r="C604" s="627" t="e">
        <f>БРМ_ВЕРХ</f>
        <v>#N/A</v>
      </c>
      <c r="D604" s="627"/>
      <c r="E604" s="627"/>
      <c r="F604" s="627"/>
      <c r="G604" s="627" t="str">
        <f>" "</f>
        <v xml:space="preserve"> </v>
      </c>
      <c r="H604" s="608">
        <v>1.1499999999999999</v>
      </c>
      <c r="I604" s="609">
        <f>IFERROR(ROUNDUP($Y$136*H604,0),0)</f>
        <v>0</v>
      </c>
      <c r="J604" s="1013" t="s">
        <v>112</v>
      </c>
      <c r="K604" s="610"/>
      <c r="L604" s="610">
        <f t="shared" si="116"/>
        <v>0</v>
      </c>
      <c r="N604" s="1032">
        <f t="shared" si="115"/>
        <v>0</v>
      </c>
    </row>
    <row r="605" spans="2:14" ht="15" customHeight="1">
      <c r="B605" s="1013">
        <f>SUBTOTAL(3,$I$310:I605)</f>
        <v>215</v>
      </c>
      <c r="C605" s="627" t="s">
        <v>337</v>
      </c>
      <c r="D605" s="627"/>
      <c r="E605" s="627"/>
      <c r="F605" s="627">
        <f>$AG$136</f>
        <v>0</v>
      </c>
      <c r="G605" s="627" t="s">
        <v>150</v>
      </c>
      <c r="H605" s="608" t="str">
        <f>" "</f>
        <v xml:space="preserve"> </v>
      </c>
      <c r="I605" s="611">
        <f>IFERROR($AH$136,0)</f>
        <v>0</v>
      </c>
      <c r="J605" s="1013" t="s">
        <v>190</v>
      </c>
      <c r="K605" s="610"/>
      <c r="L605" s="610">
        <f t="shared" si="116"/>
        <v>0</v>
      </c>
      <c r="N605" s="1032">
        <f t="shared" si="115"/>
        <v>0</v>
      </c>
    </row>
    <row r="606" spans="2:14" ht="15" customHeight="1">
      <c r="B606" s="1013">
        <f>SUBTOTAL(3,$I$310:I606)</f>
        <v>216</v>
      </c>
      <c r="C606" s="627" t="s">
        <v>337</v>
      </c>
      <c r="D606" s="627"/>
      <c r="E606" s="627"/>
      <c r="F606" s="627">
        <f>$AK$136</f>
        <v>0</v>
      </c>
      <c r="G606" s="627" t="s">
        <v>150</v>
      </c>
      <c r="H606" s="608" t="str">
        <f>" "</f>
        <v xml:space="preserve"> </v>
      </c>
      <c r="I606" s="611">
        <f>IFERROR($AL$136,0)</f>
        <v>0</v>
      </c>
      <c r="J606" s="1013" t="s">
        <v>190</v>
      </c>
      <c r="K606" s="610"/>
      <c r="L606" s="610">
        <f t="shared" si="116"/>
        <v>0</v>
      </c>
      <c r="N606" s="1032">
        <f t="shared" si="115"/>
        <v>0</v>
      </c>
    </row>
    <row r="607" spans="2:14" ht="15" customHeight="1">
      <c r="B607" s="1013">
        <f>SUBTOTAL(3,$I$310:I607)</f>
        <v>217</v>
      </c>
      <c r="C607" s="627" t="s">
        <v>268</v>
      </c>
      <c r="D607" s="627"/>
      <c r="E607" s="627"/>
      <c r="F607" s="627">
        <f>$AI$136</f>
        <v>0</v>
      </c>
      <c r="G607" s="627" t="s">
        <v>150</v>
      </c>
      <c r="H607" s="608" t="str">
        <f>" "</f>
        <v xml:space="preserve"> </v>
      </c>
      <c r="I607" s="611">
        <f>IFERROR($AJ$136,0)</f>
        <v>0</v>
      </c>
      <c r="J607" s="1013" t="s">
        <v>190</v>
      </c>
      <c r="K607" s="610"/>
      <c r="L607" s="610">
        <f t="shared" si="116"/>
        <v>0</v>
      </c>
      <c r="N607" s="1032">
        <f t="shared" si="115"/>
        <v>0</v>
      </c>
    </row>
    <row r="608" spans="2:14" ht="15" customHeight="1">
      <c r="B608" s="1013">
        <f>SUBTOTAL(3,$I$310:I608)</f>
        <v>218</v>
      </c>
      <c r="C608" s="627">
        <f>$W$136</f>
        <v>0</v>
      </c>
      <c r="D608" s="627"/>
      <c r="E608" s="627"/>
      <c r="F608" s="627">
        <f>$V$136</f>
        <v>0</v>
      </c>
      <c r="G608" s="627" t="s">
        <v>150</v>
      </c>
      <c r="H608" s="608">
        <v>1.03</v>
      </c>
      <c r="I608" s="609">
        <f>$AF$136</f>
        <v>0</v>
      </c>
      <c r="J608" s="1013" t="s">
        <v>178</v>
      </c>
      <c r="K608" s="610"/>
      <c r="L608" s="610">
        <f t="shared" si="116"/>
        <v>0</v>
      </c>
      <c r="N608" s="1032">
        <f t="shared" si="115"/>
        <v>0</v>
      </c>
    </row>
    <row r="609" spans="2:14" ht="30" customHeight="1">
      <c r="B609" s="691"/>
      <c r="C609" s="1183" t="str">
        <f>CONCATENATE($P$137,$AE$9,$T$137,$AF$9)</f>
        <v>. Общая длина примыкания-  м.</v>
      </c>
      <c r="D609" s="1183"/>
      <c r="E609" s="1183"/>
      <c r="F609" s="1183"/>
      <c r="G609" s="1183"/>
      <c r="H609" s="1184"/>
      <c r="I609" s="1184"/>
      <c r="J609" s="1184"/>
      <c r="K609" s="1185"/>
      <c r="L609" s="684">
        <f>SUM(L610:L623)</f>
        <v>0</v>
      </c>
      <c r="N609" s="1032">
        <f>IF(SUM(I610:I623)&gt;0,1,0)</f>
        <v>0</v>
      </c>
    </row>
    <row r="610" spans="2:14" ht="15" customHeight="1">
      <c r="B610" s="685"/>
      <c r="C610" s="627"/>
      <c r="D610" s="627"/>
      <c r="E610" s="627"/>
      <c r="F610" s="627"/>
      <c r="G610" s="627"/>
      <c r="H610" s="608"/>
      <c r="I610" s="611"/>
      <c r="J610" s="1013"/>
      <c r="K610" s="610"/>
      <c r="L610" s="610">
        <f>IFERROR(I610*K610,0)</f>
        <v>0</v>
      </c>
      <c r="N610" s="1032">
        <f t="shared" ref="N610:N623" si="117">IF(I610&gt;0,1,0)</f>
        <v>0</v>
      </c>
    </row>
    <row r="611" spans="2:14" ht="15" customHeight="1">
      <c r="B611" s="685"/>
      <c r="C611" s="627"/>
      <c r="D611" s="627"/>
      <c r="E611" s="627"/>
      <c r="F611" s="627"/>
      <c r="G611" s="627"/>
      <c r="H611" s="608"/>
      <c r="I611" s="611"/>
      <c r="J611" s="1013"/>
      <c r="K611" s="610"/>
      <c r="L611" s="610">
        <f>IFERROR(I611*K611,0)</f>
        <v>0</v>
      </c>
      <c r="N611" s="1032">
        <f t="shared" si="117"/>
        <v>0</v>
      </c>
    </row>
    <row r="612" spans="2:14" ht="15" customHeight="1">
      <c r="B612" s="1013">
        <f>SUBTOTAL(3,$I$310:I612)</f>
        <v>219</v>
      </c>
      <c r="C612" s="627" t="s">
        <v>651</v>
      </c>
      <c r="D612" s="627"/>
      <c r="E612" s="627"/>
      <c r="F612" s="627"/>
      <c r="G612" s="627" t="str">
        <f>" "</f>
        <v xml:space="preserve"> </v>
      </c>
      <c r="H612" s="608">
        <v>1.03</v>
      </c>
      <c r="I612" s="614">
        <f>IFERROR(ROUNDUP($AA$137*H612,2),0)</f>
        <v>0</v>
      </c>
      <c r="J612" s="1013" t="s">
        <v>264</v>
      </c>
      <c r="K612" s="610"/>
      <c r="L612" s="610">
        <f t="shared" ref="L612:L623" si="118">IFERROR(I612*K612,0)</f>
        <v>0</v>
      </c>
      <c r="N612" s="1032">
        <f t="shared" si="117"/>
        <v>0</v>
      </c>
    </row>
    <row r="613" spans="2:14" ht="15" customHeight="1">
      <c r="B613" s="1013">
        <f>SUBTOTAL(3,$I$310:I613)</f>
        <v>220</v>
      </c>
      <c r="C613" s="627" t="s">
        <v>559</v>
      </c>
      <c r="D613" s="627"/>
      <c r="E613" s="627"/>
      <c r="F613" s="627"/>
      <c r="G613" s="627" t="str">
        <f>" "</f>
        <v xml:space="preserve"> </v>
      </c>
      <c r="H613" s="608">
        <v>5</v>
      </c>
      <c r="I613" s="611">
        <f>IFERROR($AB$137*H613*1.03,0)</f>
        <v>0</v>
      </c>
      <c r="J613" s="1013" t="s">
        <v>151</v>
      </c>
      <c r="K613" s="610"/>
      <c r="L613" s="610">
        <f t="shared" si="118"/>
        <v>0</v>
      </c>
      <c r="N613" s="1032">
        <f t="shared" si="117"/>
        <v>0</v>
      </c>
    </row>
    <row r="614" spans="2:14" ht="15" customHeight="1">
      <c r="B614" s="1013">
        <f>SUBTOTAL(3,$I$310:I614)</f>
        <v>221</v>
      </c>
      <c r="C614" s="627" t="s">
        <v>189</v>
      </c>
      <c r="D614" s="627"/>
      <c r="E614" s="627"/>
      <c r="F614" s="627"/>
      <c r="G614" s="627" t="str">
        <f>" "</f>
        <v xml:space="preserve"> </v>
      </c>
      <c r="H614" s="608">
        <v>5</v>
      </c>
      <c r="I614" s="611">
        <f>IFERROR($AD$137,0)</f>
        <v>0</v>
      </c>
      <c r="J614" s="1013" t="s">
        <v>151</v>
      </c>
      <c r="K614" s="610"/>
      <c r="L614" s="610">
        <f t="shared" si="118"/>
        <v>0</v>
      </c>
      <c r="N614" s="1032">
        <f t="shared" si="117"/>
        <v>0</v>
      </c>
    </row>
    <row r="615" spans="2:14" ht="15" customHeight="1">
      <c r="B615" s="1013">
        <f>SUBTOTAL(3,$I$310:I615)</f>
        <v>222</v>
      </c>
      <c r="C615" s="627" t="s">
        <v>1459</v>
      </c>
      <c r="D615" s="627"/>
      <c r="E615" s="627"/>
      <c r="F615" s="627"/>
      <c r="G615" s="627" t="str">
        <f>" "</f>
        <v xml:space="preserve"> </v>
      </c>
      <c r="H615" s="608">
        <v>5</v>
      </c>
      <c r="I615" s="611">
        <f>IFERROR($AC$137*H615*1.03,0)</f>
        <v>0</v>
      </c>
      <c r="J615" s="1013" t="s">
        <v>151</v>
      </c>
      <c r="K615" s="610"/>
      <c r="L615" s="610">
        <f t="shared" si="118"/>
        <v>0</v>
      </c>
      <c r="N615" s="1032">
        <f t="shared" si="117"/>
        <v>0</v>
      </c>
    </row>
    <row r="616" spans="2:14" ht="15" customHeight="1">
      <c r="B616" s="1013">
        <f>SUBTOTAL(3,$I$310:I616)</f>
        <v>223</v>
      </c>
      <c r="C616" s="627" t="s">
        <v>182</v>
      </c>
      <c r="D616" s="627"/>
      <c r="E616" s="627"/>
      <c r="F616" s="627"/>
      <c r="G616" s="627" t="str">
        <f>" "</f>
        <v xml:space="preserve"> </v>
      </c>
      <c r="H616" s="608">
        <v>0.25</v>
      </c>
      <c r="I616" s="609">
        <f>IFERROR(ROUNDUP($AE$137*H616,0),0)</f>
        <v>0</v>
      </c>
      <c r="J616" s="1013" t="s">
        <v>183</v>
      </c>
      <c r="K616" s="610"/>
      <c r="L616" s="610">
        <f t="shared" si="118"/>
        <v>0</v>
      </c>
      <c r="N616" s="1032">
        <f t="shared" si="117"/>
        <v>0</v>
      </c>
    </row>
    <row r="617" spans="2:14" ht="15" customHeight="1">
      <c r="B617" s="685"/>
      <c r="C617" s="627"/>
      <c r="D617" s="627"/>
      <c r="E617" s="627"/>
      <c r="F617" s="627"/>
      <c r="G617" s="627"/>
      <c r="H617" s="608"/>
      <c r="I617" s="611"/>
      <c r="J617" s="1013"/>
      <c r="K617" s="610"/>
      <c r="L617" s="610">
        <f t="shared" si="118"/>
        <v>0</v>
      </c>
      <c r="N617" s="1032">
        <f t="shared" si="117"/>
        <v>0</v>
      </c>
    </row>
    <row r="618" spans="2:14" ht="15" customHeight="1">
      <c r="B618" s="1013">
        <f>SUBTOTAL(3,$I$310:I618)</f>
        <v>224</v>
      </c>
      <c r="C618" s="627" t="e">
        <f>БРМ_НИЗ</f>
        <v>#N/A</v>
      </c>
      <c r="D618" s="627"/>
      <c r="E618" s="627"/>
      <c r="F618" s="627"/>
      <c r="G618" s="627" t="str">
        <f>" "</f>
        <v xml:space="preserve"> </v>
      </c>
      <c r="H618" s="608">
        <v>1.1499999999999999</v>
      </c>
      <c r="I618" s="609">
        <f>IFERROR(ROUNDUP($Z$137*H618,0),0)</f>
        <v>0</v>
      </c>
      <c r="J618" s="1013" t="s">
        <v>112</v>
      </c>
      <c r="K618" s="610"/>
      <c r="L618" s="610">
        <f t="shared" si="118"/>
        <v>0</v>
      </c>
      <c r="N618" s="1032">
        <f t="shared" si="117"/>
        <v>0</v>
      </c>
    </row>
    <row r="619" spans="2:14" ht="15" customHeight="1">
      <c r="B619" s="1013">
        <f>SUBTOTAL(3,$I$310:I619)</f>
        <v>225</v>
      </c>
      <c r="C619" s="627" t="e">
        <f>БРМ_ВЕРХ</f>
        <v>#N/A</v>
      </c>
      <c r="D619" s="627"/>
      <c r="E619" s="627"/>
      <c r="F619" s="627"/>
      <c r="G619" s="627" t="str">
        <f>" "</f>
        <v xml:space="preserve"> </v>
      </c>
      <c r="H619" s="608">
        <v>1.1499999999999999</v>
      </c>
      <c r="I619" s="609">
        <f>IFERROR(ROUNDUP($Y$137*H619,0),0)</f>
        <v>0</v>
      </c>
      <c r="J619" s="1013" t="s">
        <v>112</v>
      </c>
      <c r="K619" s="610"/>
      <c r="L619" s="610">
        <f t="shared" si="118"/>
        <v>0</v>
      </c>
      <c r="N619" s="1032">
        <f t="shared" si="117"/>
        <v>0</v>
      </c>
    </row>
    <row r="620" spans="2:14" ht="15" customHeight="1">
      <c r="B620" s="1013">
        <f>SUBTOTAL(3,$I$310:I620)</f>
        <v>226</v>
      </c>
      <c r="C620" s="627" t="s">
        <v>337</v>
      </c>
      <c r="D620" s="627"/>
      <c r="E620" s="627"/>
      <c r="F620" s="627">
        <f>$AG$137</f>
        <v>0</v>
      </c>
      <c r="G620" s="627" t="s">
        <v>150</v>
      </c>
      <c r="H620" s="608" t="str">
        <f>" "</f>
        <v xml:space="preserve"> </v>
      </c>
      <c r="I620" s="611">
        <f>IFERROR($AH$137,0)</f>
        <v>0</v>
      </c>
      <c r="J620" s="1013" t="s">
        <v>190</v>
      </c>
      <c r="K620" s="610"/>
      <c r="L620" s="610">
        <f t="shared" si="118"/>
        <v>0</v>
      </c>
      <c r="N620" s="1032">
        <f t="shared" si="117"/>
        <v>0</v>
      </c>
    </row>
    <row r="621" spans="2:14" ht="15" customHeight="1">
      <c r="B621" s="1013">
        <f>SUBTOTAL(3,$I$310:I621)</f>
        <v>227</v>
      </c>
      <c r="C621" s="627" t="s">
        <v>337</v>
      </c>
      <c r="D621" s="627"/>
      <c r="E621" s="627"/>
      <c r="F621" s="627">
        <f>$AK$137</f>
        <v>0</v>
      </c>
      <c r="G621" s="627" t="s">
        <v>150</v>
      </c>
      <c r="H621" s="608" t="str">
        <f>" "</f>
        <v xml:space="preserve"> </v>
      </c>
      <c r="I621" s="611">
        <f>IFERROR($AL$137,0)</f>
        <v>0</v>
      </c>
      <c r="J621" s="1013" t="s">
        <v>190</v>
      </c>
      <c r="K621" s="610"/>
      <c r="L621" s="610">
        <f t="shared" si="118"/>
        <v>0</v>
      </c>
      <c r="N621" s="1032">
        <f t="shared" si="117"/>
        <v>0</v>
      </c>
    </row>
    <row r="622" spans="2:14" ht="15" customHeight="1">
      <c r="B622" s="1013">
        <f>SUBTOTAL(3,$I$310:I622)</f>
        <v>228</v>
      </c>
      <c r="C622" s="627" t="s">
        <v>268</v>
      </c>
      <c r="D622" s="627"/>
      <c r="E622" s="627"/>
      <c r="F622" s="627">
        <f>$AI$137</f>
        <v>0</v>
      </c>
      <c r="G622" s="627" t="s">
        <v>150</v>
      </c>
      <c r="H622" s="608" t="str">
        <f>" "</f>
        <v xml:space="preserve"> </v>
      </c>
      <c r="I622" s="611">
        <f>IFERROR($AJ$137,0)</f>
        <v>0</v>
      </c>
      <c r="J622" s="1013" t="s">
        <v>190</v>
      </c>
      <c r="K622" s="610"/>
      <c r="L622" s="610">
        <f t="shared" si="118"/>
        <v>0</v>
      </c>
      <c r="N622" s="1032">
        <f t="shared" si="117"/>
        <v>0</v>
      </c>
    </row>
    <row r="623" spans="2:14" ht="15" customHeight="1">
      <c r="B623" s="1013">
        <f>SUBTOTAL(3,$I$310:I623)</f>
        <v>229</v>
      </c>
      <c r="C623" s="627">
        <f>$W$137</f>
        <v>0</v>
      </c>
      <c r="D623" s="627"/>
      <c r="E623" s="627"/>
      <c r="F623" s="627">
        <f>$V$137</f>
        <v>0</v>
      </c>
      <c r="G623" s="627" t="s">
        <v>150</v>
      </c>
      <c r="H623" s="608">
        <v>1.03</v>
      </c>
      <c r="I623" s="609">
        <f>$AF$137</f>
        <v>0</v>
      </c>
      <c r="J623" s="1013" t="s">
        <v>178</v>
      </c>
      <c r="K623" s="610"/>
      <c r="L623" s="610">
        <f t="shared" si="118"/>
        <v>0</v>
      </c>
      <c r="N623" s="1032">
        <f t="shared" si="117"/>
        <v>0</v>
      </c>
    </row>
    <row r="624" spans="2:14" ht="30" customHeight="1">
      <c r="B624" s="691"/>
      <c r="C624" s="1183" t="str">
        <f>CONCATENATE($P$141,$AE$9,$T$141,$AF$9)</f>
        <v>. Общая длина примыкания-  м.</v>
      </c>
      <c r="D624" s="1183"/>
      <c r="E624" s="1183"/>
      <c r="F624" s="1183"/>
      <c r="G624" s="1183"/>
      <c r="H624" s="1184"/>
      <c r="I624" s="1184"/>
      <c r="J624" s="1184"/>
      <c r="K624" s="1185"/>
      <c r="L624" s="684">
        <f>SUM(L625:L638)</f>
        <v>0</v>
      </c>
      <c r="N624" s="1032">
        <f>IF(SUM(I625:I638)&gt;0,1,0)</f>
        <v>0</v>
      </c>
    </row>
    <row r="625" spans="2:16" ht="15" customHeight="1">
      <c r="B625" s="685"/>
      <c r="C625" s="627"/>
      <c r="D625" s="627"/>
      <c r="E625" s="627"/>
      <c r="F625" s="627"/>
      <c r="G625" s="627"/>
      <c r="H625" s="608"/>
      <c r="I625" s="611"/>
      <c r="J625" s="1013"/>
      <c r="K625" s="610"/>
      <c r="L625" s="610">
        <f>IFERROR(I625*K625,0)</f>
        <v>0</v>
      </c>
      <c r="N625" s="1032">
        <f t="shared" ref="N625:N638" si="119">IF(I625&gt;0,1,0)</f>
        <v>0</v>
      </c>
    </row>
    <row r="626" spans="2:16" ht="15" customHeight="1">
      <c r="B626" s="685"/>
      <c r="C626" s="627"/>
      <c r="D626" s="627"/>
      <c r="E626" s="627"/>
      <c r="F626" s="627"/>
      <c r="G626" s="627"/>
      <c r="H626" s="608"/>
      <c r="I626" s="611"/>
      <c r="J626" s="1013"/>
      <c r="K626" s="610"/>
      <c r="L626" s="610">
        <f>IFERROR(I626*K626,0)</f>
        <v>0</v>
      </c>
      <c r="N626" s="1032">
        <f t="shared" si="119"/>
        <v>0</v>
      </c>
    </row>
    <row r="627" spans="2:16" ht="15" customHeight="1">
      <c r="B627" s="685"/>
      <c r="C627" s="627"/>
      <c r="D627" s="627"/>
      <c r="E627" s="627"/>
      <c r="F627" s="627"/>
      <c r="G627" s="627"/>
      <c r="H627" s="608"/>
      <c r="I627" s="611"/>
      <c r="J627" s="1013"/>
      <c r="K627" s="610"/>
      <c r="L627" s="610">
        <f t="shared" ref="L627:L638" si="120">IFERROR(I627*K627,0)</f>
        <v>0</v>
      </c>
      <c r="N627" s="1032">
        <f t="shared" si="119"/>
        <v>0</v>
      </c>
    </row>
    <row r="628" spans="2:16" ht="15" customHeight="1">
      <c r="B628" s="685"/>
      <c r="C628" s="627"/>
      <c r="D628" s="627"/>
      <c r="E628" s="627"/>
      <c r="F628" s="627"/>
      <c r="G628" s="627"/>
      <c r="H628" s="608"/>
      <c r="I628" s="611"/>
      <c r="J628" s="1013"/>
      <c r="K628" s="610"/>
      <c r="L628" s="610">
        <f t="shared" si="120"/>
        <v>0</v>
      </c>
      <c r="N628" s="1032">
        <f t="shared" si="119"/>
        <v>0</v>
      </c>
    </row>
    <row r="629" spans="2:16" ht="15" customHeight="1">
      <c r="B629" s="685"/>
      <c r="C629" s="627"/>
      <c r="D629" s="627"/>
      <c r="E629" s="627"/>
      <c r="F629" s="627"/>
      <c r="G629" s="627"/>
      <c r="H629" s="608"/>
      <c r="I629" s="611"/>
      <c r="J629" s="1013"/>
      <c r="K629" s="610"/>
      <c r="L629" s="610">
        <f t="shared" si="120"/>
        <v>0</v>
      </c>
      <c r="N629" s="1032">
        <f t="shared" si="119"/>
        <v>0</v>
      </c>
    </row>
    <row r="630" spans="2:16" ht="15" customHeight="1">
      <c r="B630" s="685"/>
      <c r="C630" s="627"/>
      <c r="D630" s="627"/>
      <c r="E630" s="627"/>
      <c r="F630" s="627"/>
      <c r="G630" s="627"/>
      <c r="H630" s="608"/>
      <c r="I630" s="611"/>
      <c r="J630" s="1013"/>
      <c r="K630" s="610"/>
      <c r="L630" s="610">
        <f t="shared" si="120"/>
        <v>0</v>
      </c>
      <c r="N630" s="1032">
        <f t="shared" si="119"/>
        <v>0</v>
      </c>
    </row>
    <row r="631" spans="2:16" ht="15" customHeight="1">
      <c r="B631" s="1013">
        <f>SUBTOTAL(3,$I$310:I631)</f>
        <v>230</v>
      </c>
      <c r="C631" s="627" t="s">
        <v>182</v>
      </c>
      <c r="D631" s="627"/>
      <c r="E631" s="627"/>
      <c r="F631" s="627"/>
      <c r="G631" s="627" t="str">
        <f>" "</f>
        <v xml:space="preserve"> </v>
      </c>
      <c r="H631" s="608">
        <v>0.25</v>
      </c>
      <c r="I631" s="609">
        <f>IFERROR(ROUNDUP($AE$141*H631,0),0)</f>
        <v>0</v>
      </c>
      <c r="J631" s="1013" t="s">
        <v>183</v>
      </c>
      <c r="K631" s="610"/>
      <c r="L631" s="610">
        <f t="shared" si="120"/>
        <v>0</v>
      </c>
      <c r="N631" s="1032">
        <f t="shared" si="119"/>
        <v>0</v>
      </c>
      <c r="P631" s="384"/>
    </row>
    <row r="632" spans="2:16" ht="15" customHeight="1">
      <c r="B632" s="685"/>
      <c r="C632" s="627"/>
      <c r="D632" s="627"/>
      <c r="E632" s="627"/>
      <c r="F632" s="627"/>
      <c r="G632" s="627"/>
      <c r="H632" s="608"/>
      <c r="I632" s="611"/>
      <c r="J632" s="1013"/>
      <c r="K632" s="610"/>
      <c r="L632" s="610">
        <f t="shared" si="120"/>
        <v>0</v>
      </c>
      <c r="N632" s="1032">
        <f t="shared" si="119"/>
        <v>0</v>
      </c>
    </row>
    <row r="633" spans="2:16" ht="15" customHeight="1">
      <c r="B633" s="1013">
        <f>SUBTOTAL(3,$I$310:I633)</f>
        <v>231</v>
      </c>
      <c r="C633" s="627" t="e">
        <f>БРМ_НИЗ</f>
        <v>#N/A</v>
      </c>
      <c r="D633" s="627"/>
      <c r="E633" s="627"/>
      <c r="F633" s="627"/>
      <c r="G633" s="627" t="str">
        <f>" "</f>
        <v xml:space="preserve"> </v>
      </c>
      <c r="H633" s="608">
        <v>1.1499999999999999</v>
      </c>
      <c r="I633" s="609">
        <f>IFERROR(ROUNDUP($Z$141*H633,0),0)</f>
        <v>0</v>
      </c>
      <c r="J633" s="1013" t="s">
        <v>112</v>
      </c>
      <c r="K633" s="610"/>
      <c r="L633" s="610">
        <f t="shared" si="120"/>
        <v>0</v>
      </c>
      <c r="N633" s="1032">
        <f t="shared" si="119"/>
        <v>0</v>
      </c>
    </row>
    <row r="634" spans="2:16" ht="15" customHeight="1">
      <c r="B634" s="1013">
        <f>SUBTOTAL(3,$I$310:I634)</f>
        <v>232</v>
      </c>
      <c r="C634" s="627" t="e">
        <f>БРМ_ВЕРХ</f>
        <v>#N/A</v>
      </c>
      <c r="D634" s="627"/>
      <c r="E634" s="627"/>
      <c r="F634" s="627"/>
      <c r="G634" s="627" t="str">
        <f>" "</f>
        <v xml:space="preserve"> </v>
      </c>
      <c r="H634" s="608">
        <v>1.1499999999999999</v>
      </c>
      <c r="I634" s="609">
        <f>IFERROR(ROUNDUP($Y$141*H634,0),0)</f>
        <v>0</v>
      </c>
      <c r="J634" s="1013" t="s">
        <v>112</v>
      </c>
      <c r="K634" s="610"/>
      <c r="L634" s="610">
        <f t="shared" si="120"/>
        <v>0</v>
      </c>
      <c r="N634" s="1032">
        <f t="shared" si="119"/>
        <v>0</v>
      </c>
    </row>
    <row r="635" spans="2:16" ht="15" customHeight="1">
      <c r="B635" s="1013">
        <f>SUBTOTAL(3,$I$310:I635)</f>
        <v>233</v>
      </c>
      <c r="C635" s="627" t="s">
        <v>337</v>
      </c>
      <c r="D635" s="627"/>
      <c r="E635" s="627"/>
      <c r="F635" s="627" t="str">
        <f>$AG$141</f>
        <v>нет</v>
      </c>
      <c r="G635" s="627" t="s">
        <v>150</v>
      </c>
      <c r="H635" s="608" t="str">
        <f>" "</f>
        <v xml:space="preserve"> </v>
      </c>
      <c r="I635" s="611">
        <f>IFERROR($AH$141,0)</f>
        <v>0</v>
      </c>
      <c r="J635" s="1013" t="s">
        <v>190</v>
      </c>
      <c r="K635" s="610"/>
      <c r="L635" s="610">
        <f t="shared" si="120"/>
        <v>0</v>
      </c>
      <c r="N635" s="1032">
        <f t="shared" si="119"/>
        <v>0</v>
      </c>
    </row>
    <row r="636" spans="2:16" ht="15" customHeight="1">
      <c r="B636" s="1013">
        <f>SUBTOTAL(3,$I$310:I636)</f>
        <v>234</v>
      </c>
      <c r="C636" s="627" t="s">
        <v>337</v>
      </c>
      <c r="D636" s="627"/>
      <c r="E636" s="627"/>
      <c r="F636" s="627" t="str">
        <f>$AK$141</f>
        <v>нет</v>
      </c>
      <c r="G636" s="627" t="s">
        <v>150</v>
      </c>
      <c r="H636" s="608" t="str">
        <f>" "</f>
        <v xml:space="preserve"> </v>
      </c>
      <c r="I636" s="611">
        <f>IFERROR($AL$141,0)</f>
        <v>0</v>
      </c>
      <c r="J636" s="1013" t="s">
        <v>190</v>
      </c>
      <c r="K636" s="610"/>
      <c r="L636" s="610">
        <f t="shared" si="120"/>
        <v>0</v>
      </c>
      <c r="N636" s="1032">
        <f t="shared" si="119"/>
        <v>0</v>
      </c>
    </row>
    <row r="637" spans="2:16" ht="15" customHeight="1">
      <c r="B637" s="1013">
        <f>SUBTOTAL(3,$I$310:I637)</f>
        <v>235</v>
      </c>
      <c r="C637" s="627" t="s">
        <v>268</v>
      </c>
      <c r="D637" s="627"/>
      <c r="E637" s="627"/>
      <c r="F637" s="627" t="str">
        <f>$AI$141</f>
        <v>нет</v>
      </c>
      <c r="G637" s="627" t="s">
        <v>150</v>
      </c>
      <c r="H637" s="608" t="str">
        <f>" "</f>
        <v xml:space="preserve"> </v>
      </c>
      <c r="I637" s="611">
        <f>IFERROR($AJ$141,0)</f>
        <v>0</v>
      </c>
      <c r="J637" s="1013" t="s">
        <v>190</v>
      </c>
      <c r="K637" s="610"/>
      <c r="L637" s="610">
        <f t="shared" si="120"/>
        <v>0</v>
      </c>
      <c r="N637" s="1032">
        <f t="shared" si="119"/>
        <v>0</v>
      </c>
    </row>
    <row r="638" spans="2:16" ht="15" customHeight="1">
      <c r="B638" s="1013">
        <f>SUBTOTAL(3,$I$310:I638)</f>
        <v>236</v>
      </c>
      <c r="C638" s="627">
        <f>$W$141</f>
        <v>0</v>
      </c>
      <c r="D638" s="627"/>
      <c r="E638" s="627"/>
      <c r="F638" s="627">
        <f>$V$141</f>
        <v>0</v>
      </c>
      <c r="G638" s="627" t="s">
        <v>150</v>
      </c>
      <c r="H638" s="608">
        <v>1.03</v>
      </c>
      <c r="I638" s="609">
        <f>$AF$141</f>
        <v>0</v>
      </c>
      <c r="J638" s="1013" t="s">
        <v>178</v>
      </c>
      <c r="K638" s="610"/>
      <c r="L638" s="610">
        <f t="shared" si="120"/>
        <v>0</v>
      </c>
      <c r="N638" s="1032">
        <f t="shared" si="119"/>
        <v>0</v>
      </c>
    </row>
    <row r="639" spans="2:16" ht="30" customHeight="1">
      <c r="B639" s="691"/>
      <c r="C639" s="1183" t="str">
        <f>CONCATENATE($P$142,$AE$9,$T$142,$AF$9)</f>
        <v>. Общая длина примыкания-  м.</v>
      </c>
      <c r="D639" s="1183"/>
      <c r="E639" s="1183"/>
      <c r="F639" s="1183"/>
      <c r="G639" s="1183"/>
      <c r="H639" s="1184"/>
      <c r="I639" s="1184"/>
      <c r="J639" s="1184"/>
      <c r="K639" s="1185"/>
      <c r="L639" s="684">
        <f>SUM(L640:L653)</f>
        <v>0</v>
      </c>
      <c r="N639" s="1032">
        <f>IF(SUM(I640:I653)&gt;0,1,0)</f>
        <v>0</v>
      </c>
    </row>
    <row r="640" spans="2:16" ht="15" customHeight="1">
      <c r="B640" s="685"/>
      <c r="C640" s="627"/>
      <c r="D640" s="627"/>
      <c r="E640" s="627"/>
      <c r="F640" s="627"/>
      <c r="G640" s="627"/>
      <c r="H640" s="608"/>
      <c r="I640" s="611"/>
      <c r="J640" s="1013"/>
      <c r="K640" s="610"/>
      <c r="L640" s="610">
        <f>IFERROR(I640*K640,0)</f>
        <v>0</v>
      </c>
      <c r="N640" s="1032">
        <f t="shared" ref="N640:N653" si="121">IF(I640&gt;0,1,0)</f>
        <v>0</v>
      </c>
    </row>
    <row r="641" spans="2:14" ht="15" customHeight="1">
      <c r="B641" s="685"/>
      <c r="C641" s="627"/>
      <c r="D641" s="627"/>
      <c r="E641" s="627"/>
      <c r="F641" s="627"/>
      <c r="G641" s="627"/>
      <c r="H641" s="608"/>
      <c r="I641" s="611"/>
      <c r="J641" s="1013"/>
      <c r="K641" s="610"/>
      <c r="L641" s="610">
        <f>IFERROR(I641*K641,0)</f>
        <v>0</v>
      </c>
      <c r="N641" s="1032">
        <f t="shared" si="121"/>
        <v>0</v>
      </c>
    </row>
    <row r="642" spans="2:14" ht="15" customHeight="1">
      <c r="B642" s="685"/>
      <c r="C642" s="627"/>
      <c r="D642" s="627"/>
      <c r="E642" s="627"/>
      <c r="F642" s="627"/>
      <c r="G642" s="627"/>
      <c r="H642" s="608"/>
      <c r="I642" s="611"/>
      <c r="J642" s="1013"/>
      <c r="K642" s="610"/>
      <c r="L642" s="610">
        <f t="shared" ref="L642:L653" si="122">IFERROR(I642*K642,0)</f>
        <v>0</v>
      </c>
      <c r="N642" s="1032">
        <f t="shared" si="121"/>
        <v>0</v>
      </c>
    </row>
    <row r="643" spans="2:14" ht="15" customHeight="1">
      <c r="B643" s="685"/>
      <c r="C643" s="627"/>
      <c r="D643" s="627"/>
      <c r="E643" s="627"/>
      <c r="F643" s="627"/>
      <c r="G643" s="627"/>
      <c r="H643" s="608"/>
      <c r="I643" s="611"/>
      <c r="J643" s="1013"/>
      <c r="K643" s="610"/>
      <c r="L643" s="610">
        <f t="shared" si="122"/>
        <v>0</v>
      </c>
      <c r="N643" s="1032">
        <f t="shared" si="121"/>
        <v>0</v>
      </c>
    </row>
    <row r="644" spans="2:14" ht="15" customHeight="1">
      <c r="B644" s="685"/>
      <c r="C644" s="627"/>
      <c r="D644" s="627"/>
      <c r="E644" s="627"/>
      <c r="F644" s="627"/>
      <c r="G644" s="627"/>
      <c r="H644" s="608"/>
      <c r="I644" s="611"/>
      <c r="J644" s="1013"/>
      <c r="K644" s="610"/>
      <c r="L644" s="610">
        <f t="shared" si="122"/>
        <v>0</v>
      </c>
      <c r="N644" s="1032">
        <f t="shared" si="121"/>
        <v>0</v>
      </c>
    </row>
    <row r="645" spans="2:14" ht="15" customHeight="1">
      <c r="B645" s="685"/>
      <c r="C645" s="627"/>
      <c r="D645" s="627"/>
      <c r="E645" s="627"/>
      <c r="F645" s="627"/>
      <c r="G645" s="627"/>
      <c r="H645" s="608"/>
      <c r="I645" s="611"/>
      <c r="J645" s="1013"/>
      <c r="K645" s="610"/>
      <c r="L645" s="610">
        <f t="shared" si="122"/>
        <v>0</v>
      </c>
      <c r="N645" s="1032">
        <f t="shared" si="121"/>
        <v>0</v>
      </c>
    </row>
    <row r="646" spans="2:14" ht="15" customHeight="1">
      <c r="B646" s="1013">
        <f>SUBTOTAL(3,$I$310:I646)</f>
        <v>237</v>
      </c>
      <c r="C646" s="627" t="s">
        <v>182</v>
      </c>
      <c r="D646" s="627"/>
      <c r="E646" s="627"/>
      <c r="F646" s="627"/>
      <c r="G646" s="627" t="str">
        <f>" "</f>
        <v xml:space="preserve"> </v>
      </c>
      <c r="H646" s="608">
        <v>0.25</v>
      </c>
      <c r="I646" s="609">
        <f>IFERROR(ROUNDUP($AE$142*H646,0),0)</f>
        <v>0</v>
      </c>
      <c r="J646" s="1013" t="s">
        <v>183</v>
      </c>
      <c r="K646" s="610"/>
      <c r="L646" s="610">
        <f t="shared" si="122"/>
        <v>0</v>
      </c>
      <c r="N646" s="1032">
        <f t="shared" si="121"/>
        <v>0</v>
      </c>
    </row>
    <row r="647" spans="2:14" ht="15" customHeight="1">
      <c r="B647" s="685"/>
      <c r="C647" s="627"/>
      <c r="D647" s="627"/>
      <c r="E647" s="627"/>
      <c r="F647" s="627"/>
      <c r="G647" s="627"/>
      <c r="H647" s="608"/>
      <c r="I647" s="611"/>
      <c r="J647" s="1013"/>
      <c r="K647" s="610"/>
      <c r="L647" s="610">
        <f t="shared" si="122"/>
        <v>0</v>
      </c>
      <c r="N647" s="1032">
        <f t="shared" si="121"/>
        <v>0</v>
      </c>
    </row>
    <row r="648" spans="2:14" ht="15" customHeight="1">
      <c r="B648" s="1013">
        <f>SUBTOTAL(3,$I$310:I648)</f>
        <v>238</v>
      </c>
      <c r="C648" s="627" t="e">
        <f>БРМ_НИЗ</f>
        <v>#N/A</v>
      </c>
      <c r="D648" s="627"/>
      <c r="E648" s="627"/>
      <c r="F648" s="627"/>
      <c r="G648" s="627" t="str">
        <f>" "</f>
        <v xml:space="preserve"> </v>
      </c>
      <c r="H648" s="608">
        <v>1.1499999999999999</v>
      </c>
      <c r="I648" s="609">
        <f>IFERROR(ROUNDUP($Z$142*H648,0),0)</f>
        <v>0</v>
      </c>
      <c r="J648" s="1013" t="s">
        <v>112</v>
      </c>
      <c r="K648" s="610"/>
      <c r="L648" s="610">
        <f t="shared" si="122"/>
        <v>0</v>
      </c>
      <c r="N648" s="1032">
        <f t="shared" si="121"/>
        <v>0</v>
      </c>
    </row>
    <row r="649" spans="2:14" ht="15" customHeight="1">
      <c r="B649" s="1013">
        <f>SUBTOTAL(3,$I$310:I649)</f>
        <v>239</v>
      </c>
      <c r="C649" s="627" t="e">
        <f>БРМ_ВЕРХ</f>
        <v>#N/A</v>
      </c>
      <c r="D649" s="627"/>
      <c r="E649" s="627"/>
      <c r="F649" s="627"/>
      <c r="G649" s="627" t="str">
        <f>" "</f>
        <v xml:space="preserve"> </v>
      </c>
      <c r="H649" s="608">
        <v>1.1499999999999999</v>
      </c>
      <c r="I649" s="609">
        <f>IFERROR(ROUNDUP($Y$142*H649,0),0)</f>
        <v>0</v>
      </c>
      <c r="J649" s="1013" t="s">
        <v>112</v>
      </c>
      <c r="K649" s="610"/>
      <c r="L649" s="610">
        <f t="shared" si="122"/>
        <v>0</v>
      </c>
      <c r="N649" s="1032">
        <f t="shared" si="121"/>
        <v>0</v>
      </c>
    </row>
    <row r="650" spans="2:14" ht="15" customHeight="1">
      <c r="B650" s="1013">
        <f>SUBTOTAL(3,$I$310:I650)</f>
        <v>240</v>
      </c>
      <c r="C650" s="627" t="s">
        <v>337</v>
      </c>
      <c r="D650" s="627"/>
      <c r="E650" s="627"/>
      <c r="F650" s="627">
        <f>$AG$142</f>
        <v>0</v>
      </c>
      <c r="G650" s="627" t="s">
        <v>150</v>
      </c>
      <c r="H650" s="608" t="str">
        <f>" "</f>
        <v xml:space="preserve"> </v>
      </c>
      <c r="I650" s="611">
        <f>IFERROR($AH$142,0)</f>
        <v>0</v>
      </c>
      <c r="J650" s="1013" t="s">
        <v>190</v>
      </c>
      <c r="K650" s="610"/>
      <c r="L650" s="610">
        <f t="shared" si="122"/>
        <v>0</v>
      </c>
      <c r="N650" s="1032">
        <f t="shared" si="121"/>
        <v>0</v>
      </c>
    </row>
    <row r="651" spans="2:14" ht="15" customHeight="1">
      <c r="B651" s="1013">
        <f>SUBTOTAL(3,$I$310:I651)</f>
        <v>241</v>
      </c>
      <c r="C651" s="627" t="s">
        <v>337</v>
      </c>
      <c r="D651" s="627"/>
      <c r="E651" s="627"/>
      <c r="F651" s="627">
        <f>$AK$142</f>
        <v>0</v>
      </c>
      <c r="G651" s="627" t="s">
        <v>150</v>
      </c>
      <c r="H651" s="608" t="str">
        <f>" "</f>
        <v xml:space="preserve"> </v>
      </c>
      <c r="I651" s="611">
        <f>IFERROR($AL$142,0)</f>
        <v>0</v>
      </c>
      <c r="J651" s="1013" t="s">
        <v>190</v>
      </c>
      <c r="K651" s="610"/>
      <c r="L651" s="610">
        <f t="shared" si="122"/>
        <v>0</v>
      </c>
      <c r="N651" s="1032">
        <f t="shared" si="121"/>
        <v>0</v>
      </c>
    </row>
    <row r="652" spans="2:14" ht="15" customHeight="1">
      <c r="B652" s="1013">
        <f>SUBTOTAL(3,$I$310:I652)</f>
        <v>242</v>
      </c>
      <c r="C652" s="627" t="s">
        <v>268</v>
      </c>
      <c r="D652" s="627"/>
      <c r="E652" s="627"/>
      <c r="F652" s="627">
        <f>$AI$142</f>
        <v>0</v>
      </c>
      <c r="G652" s="627" t="s">
        <v>150</v>
      </c>
      <c r="H652" s="608" t="str">
        <f>" "</f>
        <v xml:space="preserve"> </v>
      </c>
      <c r="I652" s="611">
        <f>IFERROR($AJ$142,0)</f>
        <v>0</v>
      </c>
      <c r="J652" s="1013" t="s">
        <v>190</v>
      </c>
      <c r="K652" s="610"/>
      <c r="L652" s="610">
        <f t="shared" si="122"/>
        <v>0</v>
      </c>
      <c r="N652" s="1032">
        <f t="shared" si="121"/>
        <v>0</v>
      </c>
    </row>
    <row r="653" spans="2:14" ht="15" customHeight="1">
      <c r="B653" s="1013">
        <f>SUBTOTAL(3,$I$310:I653)</f>
        <v>243</v>
      </c>
      <c r="C653" s="627">
        <f>$W$142</f>
        <v>0</v>
      </c>
      <c r="D653" s="627"/>
      <c r="E653" s="627"/>
      <c r="F653" s="627">
        <f>$V$142</f>
        <v>0</v>
      </c>
      <c r="G653" s="627" t="s">
        <v>150</v>
      </c>
      <c r="H653" s="608">
        <v>1.03</v>
      </c>
      <c r="I653" s="609">
        <f>$AF$142</f>
        <v>0</v>
      </c>
      <c r="J653" s="1013" t="s">
        <v>178</v>
      </c>
      <c r="K653" s="610"/>
      <c r="L653" s="610">
        <f t="shared" si="122"/>
        <v>0</v>
      </c>
      <c r="N653" s="1032">
        <f t="shared" si="121"/>
        <v>0</v>
      </c>
    </row>
    <row r="654" spans="2:14" ht="30" customHeight="1">
      <c r="B654" s="691"/>
      <c r="C654" s="1183" t="str">
        <f>CONCATENATE($P$143,$AE$9,$T$143,$AF$9)</f>
        <v>. Общая длина примыкания-  м.</v>
      </c>
      <c r="D654" s="1183"/>
      <c r="E654" s="1183"/>
      <c r="F654" s="1183"/>
      <c r="G654" s="1183"/>
      <c r="H654" s="1184"/>
      <c r="I654" s="1184"/>
      <c r="J654" s="1184"/>
      <c r="K654" s="1185"/>
      <c r="L654" s="684">
        <f>SUM(L655:L668)</f>
        <v>0</v>
      </c>
      <c r="N654" s="1032">
        <f>IF(SUM(I655:I668)&gt;0,1,0)</f>
        <v>0</v>
      </c>
    </row>
    <row r="655" spans="2:14" ht="15" customHeight="1">
      <c r="B655" s="685"/>
      <c r="C655" s="627"/>
      <c r="D655" s="627"/>
      <c r="E655" s="627"/>
      <c r="F655" s="627"/>
      <c r="G655" s="627"/>
      <c r="H655" s="608"/>
      <c r="I655" s="611"/>
      <c r="J655" s="1013"/>
      <c r="K655" s="610"/>
      <c r="L655" s="610">
        <f>IFERROR(I655*K655,0)</f>
        <v>0</v>
      </c>
      <c r="N655" s="1032">
        <f t="shared" ref="N655:N668" si="123">IF(I655&gt;0,1,0)</f>
        <v>0</v>
      </c>
    </row>
    <row r="656" spans="2:14" ht="15" customHeight="1">
      <c r="B656" s="685"/>
      <c r="C656" s="627"/>
      <c r="D656" s="627"/>
      <c r="E656" s="627"/>
      <c r="F656" s="627"/>
      <c r="G656" s="627"/>
      <c r="H656" s="608"/>
      <c r="I656" s="611"/>
      <c r="J656" s="1013"/>
      <c r="K656" s="610"/>
      <c r="L656" s="610">
        <f>IFERROR(I656*K656,0)</f>
        <v>0</v>
      </c>
      <c r="N656" s="1032">
        <f t="shared" si="123"/>
        <v>0</v>
      </c>
    </row>
    <row r="657" spans="2:14" ht="15" customHeight="1">
      <c r="B657" s="685"/>
      <c r="C657" s="627"/>
      <c r="D657" s="627"/>
      <c r="E657" s="627"/>
      <c r="F657" s="627"/>
      <c r="G657" s="627"/>
      <c r="H657" s="608"/>
      <c r="I657" s="611"/>
      <c r="J657" s="1013"/>
      <c r="K657" s="610"/>
      <c r="L657" s="610">
        <f t="shared" ref="L657:L668" si="124">IFERROR(I657*K657,0)</f>
        <v>0</v>
      </c>
      <c r="N657" s="1032">
        <f t="shared" si="123"/>
        <v>0</v>
      </c>
    </row>
    <row r="658" spans="2:14" ht="15" customHeight="1">
      <c r="B658" s="685"/>
      <c r="C658" s="627"/>
      <c r="D658" s="627"/>
      <c r="E658" s="627"/>
      <c r="F658" s="627"/>
      <c r="G658" s="627"/>
      <c r="H658" s="608"/>
      <c r="I658" s="611"/>
      <c r="J658" s="1013"/>
      <c r="K658" s="610"/>
      <c r="L658" s="610">
        <f t="shared" si="124"/>
        <v>0</v>
      </c>
      <c r="N658" s="1032">
        <f t="shared" si="123"/>
        <v>0</v>
      </c>
    </row>
    <row r="659" spans="2:14" ht="15" customHeight="1">
      <c r="B659" s="685"/>
      <c r="C659" s="627"/>
      <c r="D659" s="627"/>
      <c r="E659" s="627"/>
      <c r="F659" s="627"/>
      <c r="G659" s="627"/>
      <c r="H659" s="608"/>
      <c r="I659" s="611"/>
      <c r="J659" s="1013"/>
      <c r="K659" s="610"/>
      <c r="L659" s="610">
        <f t="shared" si="124"/>
        <v>0</v>
      </c>
      <c r="N659" s="1032">
        <f t="shared" si="123"/>
        <v>0</v>
      </c>
    </row>
    <row r="660" spans="2:14" ht="15" customHeight="1">
      <c r="B660" s="685"/>
      <c r="C660" s="627"/>
      <c r="D660" s="627"/>
      <c r="E660" s="627"/>
      <c r="F660" s="627"/>
      <c r="G660" s="627"/>
      <c r="H660" s="608"/>
      <c r="I660" s="611"/>
      <c r="J660" s="1013"/>
      <c r="K660" s="610"/>
      <c r="L660" s="610">
        <f t="shared" si="124"/>
        <v>0</v>
      </c>
      <c r="N660" s="1032">
        <f t="shared" si="123"/>
        <v>0</v>
      </c>
    </row>
    <row r="661" spans="2:14" ht="15" customHeight="1">
      <c r="B661" s="1013">
        <f>SUBTOTAL(3,$I$310:I661)</f>
        <v>244</v>
      </c>
      <c r="C661" s="627" t="s">
        <v>182</v>
      </c>
      <c r="D661" s="627"/>
      <c r="E661" s="627"/>
      <c r="F661" s="627"/>
      <c r="G661" s="627" t="str">
        <f>" "</f>
        <v xml:space="preserve"> </v>
      </c>
      <c r="H661" s="608">
        <v>0.25</v>
      </c>
      <c r="I661" s="609">
        <f>IFERROR(ROUNDUP($AE$143*H661,0),0)</f>
        <v>0</v>
      </c>
      <c r="J661" s="1013" t="s">
        <v>183</v>
      </c>
      <c r="K661" s="610"/>
      <c r="L661" s="610">
        <f t="shared" si="124"/>
        <v>0</v>
      </c>
      <c r="N661" s="1032">
        <f t="shared" si="123"/>
        <v>0</v>
      </c>
    </row>
    <row r="662" spans="2:14" ht="15" customHeight="1">
      <c r="B662" s="685"/>
      <c r="C662" s="627"/>
      <c r="D662" s="627"/>
      <c r="E662" s="627"/>
      <c r="F662" s="627"/>
      <c r="G662" s="627"/>
      <c r="H662" s="608"/>
      <c r="I662" s="611"/>
      <c r="J662" s="1013"/>
      <c r="K662" s="610"/>
      <c r="L662" s="610">
        <f t="shared" si="124"/>
        <v>0</v>
      </c>
      <c r="N662" s="1032">
        <f t="shared" si="123"/>
        <v>0</v>
      </c>
    </row>
    <row r="663" spans="2:14" ht="15" customHeight="1">
      <c r="B663" s="1013">
        <f>SUBTOTAL(3,$I$310:I663)</f>
        <v>245</v>
      </c>
      <c r="C663" s="627" t="e">
        <f>БРМ_НИЗ</f>
        <v>#N/A</v>
      </c>
      <c r="D663" s="627"/>
      <c r="E663" s="627"/>
      <c r="F663" s="627"/>
      <c r="G663" s="627" t="str">
        <f>" "</f>
        <v xml:space="preserve"> </v>
      </c>
      <c r="H663" s="608">
        <v>1.1499999999999999</v>
      </c>
      <c r="I663" s="609">
        <f>IFERROR(ROUNDUP($Z$143*H663,0),0)</f>
        <v>0</v>
      </c>
      <c r="J663" s="1013" t="s">
        <v>112</v>
      </c>
      <c r="K663" s="610"/>
      <c r="L663" s="610">
        <f t="shared" si="124"/>
        <v>0</v>
      </c>
      <c r="N663" s="1032">
        <f t="shared" si="123"/>
        <v>0</v>
      </c>
    </row>
    <row r="664" spans="2:14" ht="15" customHeight="1">
      <c r="B664" s="1013">
        <f>SUBTOTAL(3,$I$310:I664)</f>
        <v>246</v>
      </c>
      <c r="C664" s="627" t="e">
        <f>БРМ_ВЕРХ</f>
        <v>#N/A</v>
      </c>
      <c r="D664" s="627"/>
      <c r="E664" s="627"/>
      <c r="F664" s="627"/>
      <c r="G664" s="627" t="str">
        <f>" "</f>
        <v xml:space="preserve"> </v>
      </c>
      <c r="H664" s="608">
        <v>1.1499999999999999</v>
      </c>
      <c r="I664" s="609">
        <f>IFERROR(ROUNDUP($Y$143*H664,0),0)</f>
        <v>0</v>
      </c>
      <c r="J664" s="1013" t="s">
        <v>112</v>
      </c>
      <c r="K664" s="610"/>
      <c r="L664" s="610">
        <f t="shared" si="124"/>
        <v>0</v>
      </c>
      <c r="N664" s="1032">
        <f t="shared" si="123"/>
        <v>0</v>
      </c>
    </row>
    <row r="665" spans="2:14" ht="15" customHeight="1">
      <c r="B665" s="1013">
        <f>SUBTOTAL(3,$I$310:I665)</f>
        <v>247</v>
      </c>
      <c r="C665" s="627" t="s">
        <v>337</v>
      </c>
      <c r="D665" s="627"/>
      <c r="E665" s="627"/>
      <c r="F665" s="627">
        <f>$AG$143</f>
        <v>0</v>
      </c>
      <c r="G665" s="627" t="s">
        <v>150</v>
      </c>
      <c r="H665" s="608" t="str">
        <f>" "</f>
        <v xml:space="preserve"> </v>
      </c>
      <c r="I665" s="611">
        <f>IFERROR($AH$143,0)</f>
        <v>0</v>
      </c>
      <c r="J665" s="1013" t="s">
        <v>190</v>
      </c>
      <c r="K665" s="610"/>
      <c r="L665" s="610">
        <f t="shared" si="124"/>
        <v>0</v>
      </c>
      <c r="N665" s="1032">
        <f t="shared" si="123"/>
        <v>0</v>
      </c>
    </row>
    <row r="666" spans="2:14" ht="15" customHeight="1">
      <c r="B666" s="1013">
        <f>SUBTOTAL(3,$I$310:I666)</f>
        <v>248</v>
      </c>
      <c r="C666" s="627" t="s">
        <v>337</v>
      </c>
      <c r="D666" s="627"/>
      <c r="E666" s="627"/>
      <c r="F666" s="627">
        <f>$AK$143</f>
        <v>0</v>
      </c>
      <c r="G666" s="627" t="s">
        <v>150</v>
      </c>
      <c r="H666" s="608" t="str">
        <f>" "</f>
        <v xml:space="preserve"> </v>
      </c>
      <c r="I666" s="611">
        <f>IFERROR($AL$143,0)</f>
        <v>0</v>
      </c>
      <c r="J666" s="1013" t="s">
        <v>190</v>
      </c>
      <c r="K666" s="610"/>
      <c r="L666" s="610">
        <f t="shared" si="124"/>
        <v>0</v>
      </c>
      <c r="N666" s="1032">
        <f t="shared" si="123"/>
        <v>0</v>
      </c>
    </row>
    <row r="667" spans="2:14" ht="15" customHeight="1">
      <c r="B667" s="1013">
        <f>SUBTOTAL(3,$I$310:I667)</f>
        <v>249</v>
      </c>
      <c r="C667" s="627" t="s">
        <v>268</v>
      </c>
      <c r="D667" s="627"/>
      <c r="E667" s="627"/>
      <c r="F667" s="627">
        <f>$AI$143</f>
        <v>0</v>
      </c>
      <c r="G667" s="627" t="s">
        <v>150</v>
      </c>
      <c r="H667" s="608" t="str">
        <f>" "</f>
        <v xml:space="preserve"> </v>
      </c>
      <c r="I667" s="611">
        <f>IFERROR($AJ$143,0)</f>
        <v>0</v>
      </c>
      <c r="J667" s="1013" t="s">
        <v>190</v>
      </c>
      <c r="K667" s="610"/>
      <c r="L667" s="610">
        <f t="shared" si="124"/>
        <v>0</v>
      </c>
      <c r="N667" s="1032">
        <f t="shared" si="123"/>
        <v>0</v>
      </c>
    </row>
    <row r="668" spans="2:14" ht="15" customHeight="1">
      <c r="B668" s="1013">
        <f>SUBTOTAL(3,$I$310:I668)</f>
        <v>250</v>
      </c>
      <c r="C668" s="627">
        <f>$W$143</f>
        <v>0</v>
      </c>
      <c r="D668" s="627"/>
      <c r="E668" s="627"/>
      <c r="F668" s="627">
        <f>$V$143</f>
        <v>0</v>
      </c>
      <c r="G668" s="627" t="s">
        <v>150</v>
      </c>
      <c r="H668" s="608">
        <v>1.03</v>
      </c>
      <c r="I668" s="609">
        <f>$AF$143</f>
        <v>0</v>
      </c>
      <c r="J668" s="1013" t="s">
        <v>178</v>
      </c>
      <c r="K668" s="610"/>
      <c r="L668" s="610">
        <f t="shared" si="124"/>
        <v>0</v>
      </c>
      <c r="N668" s="1032">
        <f t="shared" si="123"/>
        <v>0</v>
      </c>
    </row>
    <row r="669" spans="2:14" ht="30" customHeight="1">
      <c r="B669" s="691"/>
      <c r="C669" s="1183" t="str">
        <f>CONCATENATE($P$144,$AE$9,$T$144,$AF$9)</f>
        <v>. Общая длина примыкания-  м.</v>
      </c>
      <c r="D669" s="1183"/>
      <c r="E669" s="1183"/>
      <c r="F669" s="1183"/>
      <c r="G669" s="1183"/>
      <c r="H669" s="1184"/>
      <c r="I669" s="1184"/>
      <c r="J669" s="1184"/>
      <c r="K669" s="1185"/>
      <c r="L669" s="684">
        <f>SUM(L670:L683)</f>
        <v>0</v>
      </c>
      <c r="N669" s="1032">
        <f>IF(SUM(I670:I683)&gt;0,1,0)</f>
        <v>0</v>
      </c>
    </row>
    <row r="670" spans="2:14" ht="15" customHeight="1">
      <c r="B670" s="685"/>
      <c r="C670" s="627"/>
      <c r="D670" s="627"/>
      <c r="E670" s="627"/>
      <c r="F670" s="627"/>
      <c r="G670" s="627"/>
      <c r="H670" s="608"/>
      <c r="I670" s="611"/>
      <c r="J670" s="1013"/>
      <c r="K670" s="610"/>
      <c r="L670" s="610">
        <f>IFERROR(I670*K670,0)</f>
        <v>0</v>
      </c>
      <c r="N670" s="1032">
        <f t="shared" ref="N670:N683" si="125">IF(I670&gt;0,1,0)</f>
        <v>0</v>
      </c>
    </row>
    <row r="671" spans="2:14" ht="15" customHeight="1">
      <c r="B671" s="685"/>
      <c r="C671" s="627"/>
      <c r="D671" s="627"/>
      <c r="E671" s="627"/>
      <c r="F671" s="627"/>
      <c r="G671" s="627"/>
      <c r="H671" s="608"/>
      <c r="I671" s="611"/>
      <c r="J671" s="1013"/>
      <c r="K671" s="610"/>
      <c r="L671" s="610">
        <f>IFERROR(I671*K671,0)</f>
        <v>0</v>
      </c>
      <c r="N671" s="1032">
        <f t="shared" si="125"/>
        <v>0</v>
      </c>
    </row>
    <row r="672" spans="2:14" ht="15" customHeight="1">
      <c r="B672" s="685"/>
      <c r="C672" s="627"/>
      <c r="D672" s="627"/>
      <c r="E672" s="627"/>
      <c r="F672" s="627"/>
      <c r="G672" s="627"/>
      <c r="H672" s="608"/>
      <c r="I672" s="611"/>
      <c r="J672" s="1013"/>
      <c r="K672" s="610"/>
      <c r="L672" s="610">
        <f t="shared" ref="L672:L683" si="126">IFERROR(I672*K672,0)</f>
        <v>0</v>
      </c>
      <c r="N672" s="1032">
        <f t="shared" si="125"/>
        <v>0</v>
      </c>
    </row>
    <row r="673" spans="2:14" ht="15" customHeight="1">
      <c r="B673" s="685"/>
      <c r="C673" s="627"/>
      <c r="D673" s="627"/>
      <c r="E673" s="627"/>
      <c r="F673" s="627"/>
      <c r="G673" s="627"/>
      <c r="H673" s="608"/>
      <c r="I673" s="611"/>
      <c r="J673" s="1013"/>
      <c r="K673" s="610"/>
      <c r="L673" s="610">
        <f t="shared" si="126"/>
        <v>0</v>
      </c>
      <c r="N673" s="1032">
        <f t="shared" si="125"/>
        <v>0</v>
      </c>
    </row>
    <row r="674" spans="2:14" ht="15" customHeight="1">
      <c r="B674" s="685"/>
      <c r="C674" s="627"/>
      <c r="D674" s="627"/>
      <c r="E674" s="627"/>
      <c r="F674" s="627"/>
      <c r="G674" s="627"/>
      <c r="H674" s="608"/>
      <c r="I674" s="611"/>
      <c r="J674" s="1013"/>
      <c r="K674" s="610"/>
      <c r="L674" s="610">
        <f t="shared" si="126"/>
        <v>0</v>
      </c>
      <c r="N674" s="1032">
        <f t="shared" si="125"/>
        <v>0</v>
      </c>
    </row>
    <row r="675" spans="2:14" ht="15" customHeight="1">
      <c r="B675" s="685"/>
      <c r="C675" s="627"/>
      <c r="D675" s="627"/>
      <c r="E675" s="627"/>
      <c r="F675" s="627"/>
      <c r="G675" s="627"/>
      <c r="H675" s="608"/>
      <c r="I675" s="611"/>
      <c r="J675" s="1013"/>
      <c r="K675" s="610"/>
      <c r="L675" s="610">
        <f t="shared" si="126"/>
        <v>0</v>
      </c>
      <c r="N675" s="1032">
        <f t="shared" si="125"/>
        <v>0</v>
      </c>
    </row>
    <row r="676" spans="2:14" ht="15" customHeight="1">
      <c r="B676" s="1013">
        <f>SUBTOTAL(3,$I$310:I676)</f>
        <v>251</v>
      </c>
      <c r="C676" s="627" t="s">
        <v>182</v>
      </c>
      <c r="D676" s="627"/>
      <c r="E676" s="627"/>
      <c r="F676" s="627"/>
      <c r="G676" s="627" t="str">
        <f>" "</f>
        <v xml:space="preserve"> </v>
      </c>
      <c r="H676" s="608">
        <v>0.25</v>
      </c>
      <c r="I676" s="609">
        <f>IFERROR(ROUNDUP($AE$144*H676,0),0)</f>
        <v>0</v>
      </c>
      <c r="J676" s="1013" t="s">
        <v>183</v>
      </c>
      <c r="K676" s="610"/>
      <c r="L676" s="610">
        <f t="shared" si="126"/>
        <v>0</v>
      </c>
      <c r="N676" s="1032">
        <f t="shared" si="125"/>
        <v>0</v>
      </c>
    </row>
    <row r="677" spans="2:14" ht="15" customHeight="1">
      <c r="B677" s="685"/>
      <c r="C677" s="627"/>
      <c r="D677" s="627"/>
      <c r="E677" s="627"/>
      <c r="F677" s="627"/>
      <c r="G677" s="627"/>
      <c r="H677" s="608"/>
      <c r="I677" s="611"/>
      <c r="J677" s="1013"/>
      <c r="K677" s="610"/>
      <c r="L677" s="610">
        <f t="shared" si="126"/>
        <v>0</v>
      </c>
      <c r="N677" s="1032">
        <f t="shared" si="125"/>
        <v>0</v>
      </c>
    </row>
    <row r="678" spans="2:14" ht="15" customHeight="1">
      <c r="B678" s="1013">
        <f>SUBTOTAL(3,$I$310:I678)</f>
        <v>252</v>
      </c>
      <c r="C678" s="627" t="e">
        <f>БРМ_НИЗ</f>
        <v>#N/A</v>
      </c>
      <c r="D678" s="627"/>
      <c r="E678" s="627"/>
      <c r="F678" s="627"/>
      <c r="G678" s="627" t="str">
        <f>" "</f>
        <v xml:space="preserve"> </v>
      </c>
      <c r="H678" s="608">
        <v>1.1499999999999999</v>
      </c>
      <c r="I678" s="609">
        <f>IFERROR(ROUNDUP($Z$144*H678,0),0)</f>
        <v>0</v>
      </c>
      <c r="J678" s="1013" t="s">
        <v>112</v>
      </c>
      <c r="K678" s="610"/>
      <c r="L678" s="610">
        <f t="shared" si="126"/>
        <v>0</v>
      </c>
      <c r="N678" s="1032">
        <f t="shared" si="125"/>
        <v>0</v>
      </c>
    </row>
    <row r="679" spans="2:14" ht="15" customHeight="1">
      <c r="B679" s="1013">
        <f>SUBTOTAL(3,$I$310:I679)</f>
        <v>253</v>
      </c>
      <c r="C679" s="627" t="e">
        <f>БРМ_ВЕРХ</f>
        <v>#N/A</v>
      </c>
      <c r="D679" s="627"/>
      <c r="E679" s="627"/>
      <c r="F679" s="627"/>
      <c r="G679" s="627" t="str">
        <f>" "</f>
        <v xml:space="preserve"> </v>
      </c>
      <c r="H679" s="608">
        <v>1.1499999999999999</v>
      </c>
      <c r="I679" s="609">
        <f>IFERROR(ROUNDUP($Y$144*H679,0),0)</f>
        <v>0</v>
      </c>
      <c r="J679" s="1013" t="s">
        <v>112</v>
      </c>
      <c r="K679" s="610"/>
      <c r="L679" s="610">
        <f t="shared" si="126"/>
        <v>0</v>
      </c>
      <c r="N679" s="1032">
        <f t="shared" si="125"/>
        <v>0</v>
      </c>
    </row>
    <row r="680" spans="2:14" ht="15" customHeight="1">
      <c r="B680" s="1013">
        <f>SUBTOTAL(3,$I$310:I680)</f>
        <v>254</v>
      </c>
      <c r="C680" s="627" t="s">
        <v>337</v>
      </c>
      <c r="D680" s="627"/>
      <c r="E680" s="627"/>
      <c r="F680" s="627">
        <f>$AG$144</f>
        <v>0</v>
      </c>
      <c r="G680" s="627" t="s">
        <v>150</v>
      </c>
      <c r="H680" s="608" t="str">
        <f>" "</f>
        <v xml:space="preserve"> </v>
      </c>
      <c r="I680" s="611">
        <f>IFERROR($AH$144,0)</f>
        <v>0</v>
      </c>
      <c r="J680" s="1013" t="s">
        <v>190</v>
      </c>
      <c r="K680" s="610"/>
      <c r="L680" s="610">
        <f t="shared" si="126"/>
        <v>0</v>
      </c>
      <c r="N680" s="1032">
        <f t="shared" si="125"/>
        <v>0</v>
      </c>
    </row>
    <row r="681" spans="2:14" ht="15" customHeight="1">
      <c r="B681" s="1013">
        <f>SUBTOTAL(3,$I$310:I681)</f>
        <v>255</v>
      </c>
      <c r="C681" s="627" t="s">
        <v>337</v>
      </c>
      <c r="D681" s="627"/>
      <c r="E681" s="627"/>
      <c r="F681" s="627">
        <f>$AK$144</f>
        <v>0</v>
      </c>
      <c r="G681" s="627" t="s">
        <v>150</v>
      </c>
      <c r="H681" s="608" t="str">
        <f>" "</f>
        <v xml:space="preserve"> </v>
      </c>
      <c r="I681" s="611">
        <f>IFERROR($AL$144,0)</f>
        <v>0</v>
      </c>
      <c r="J681" s="1013" t="s">
        <v>190</v>
      </c>
      <c r="K681" s="610"/>
      <c r="L681" s="610">
        <f t="shared" si="126"/>
        <v>0</v>
      </c>
      <c r="N681" s="1032">
        <f t="shared" si="125"/>
        <v>0</v>
      </c>
    </row>
    <row r="682" spans="2:14" ht="15" customHeight="1">
      <c r="B682" s="1013">
        <f>SUBTOTAL(3,$I$310:I682)</f>
        <v>256</v>
      </c>
      <c r="C682" s="627" t="s">
        <v>268</v>
      </c>
      <c r="D682" s="627"/>
      <c r="E682" s="627"/>
      <c r="F682" s="627">
        <f>$AI$144</f>
        <v>0</v>
      </c>
      <c r="G682" s="627" t="s">
        <v>150</v>
      </c>
      <c r="H682" s="608" t="str">
        <f>" "</f>
        <v xml:space="preserve"> </v>
      </c>
      <c r="I682" s="611">
        <f>IFERROR($AJ$144,0)</f>
        <v>0</v>
      </c>
      <c r="J682" s="1013" t="s">
        <v>190</v>
      </c>
      <c r="K682" s="610"/>
      <c r="L682" s="610">
        <f t="shared" si="126"/>
        <v>0</v>
      </c>
      <c r="N682" s="1032">
        <f t="shared" si="125"/>
        <v>0</v>
      </c>
    </row>
    <row r="683" spans="2:14" ht="15" customHeight="1">
      <c r="B683" s="1013">
        <f>SUBTOTAL(3,$I$310:I683)</f>
        <v>257</v>
      </c>
      <c r="C683" s="627">
        <f>$W$144</f>
        <v>0</v>
      </c>
      <c r="D683" s="627"/>
      <c r="E683" s="627"/>
      <c r="F683" s="627">
        <f>$V$144</f>
        <v>0</v>
      </c>
      <c r="G683" s="627" t="s">
        <v>150</v>
      </c>
      <c r="H683" s="608">
        <v>1.03</v>
      </c>
      <c r="I683" s="609">
        <f>$AF$144</f>
        <v>0</v>
      </c>
      <c r="J683" s="1013" t="s">
        <v>178</v>
      </c>
      <c r="K683" s="610"/>
      <c r="L683" s="610">
        <f t="shared" si="126"/>
        <v>0</v>
      </c>
      <c r="N683" s="1032">
        <f t="shared" si="125"/>
        <v>0</v>
      </c>
    </row>
    <row r="684" spans="2:14" ht="30" customHeight="1">
      <c r="B684" s="691"/>
      <c r="C684" s="1183" t="str">
        <f>CONCATENATE($P$145,$AE$9,$T$145,$AF$9)</f>
        <v>. Общая длина примыкания-  м.</v>
      </c>
      <c r="D684" s="1183"/>
      <c r="E684" s="1183"/>
      <c r="F684" s="1183"/>
      <c r="G684" s="1183"/>
      <c r="H684" s="1184"/>
      <c r="I684" s="1184"/>
      <c r="J684" s="1184"/>
      <c r="K684" s="1185"/>
      <c r="L684" s="684">
        <f>SUM(L685:L698)</f>
        <v>0</v>
      </c>
      <c r="N684" s="1032">
        <f>IF(SUM(I685:I698)&gt;0,1,0)</f>
        <v>0</v>
      </c>
    </row>
    <row r="685" spans="2:14" ht="15" customHeight="1">
      <c r="B685" s="685"/>
      <c r="C685" s="627"/>
      <c r="D685" s="627"/>
      <c r="E685" s="627"/>
      <c r="F685" s="627"/>
      <c r="G685" s="627"/>
      <c r="H685" s="608"/>
      <c r="I685" s="611"/>
      <c r="J685" s="1013"/>
      <c r="K685" s="610"/>
      <c r="L685" s="610">
        <f>IFERROR(I685*K685,0)</f>
        <v>0</v>
      </c>
      <c r="N685" s="1032">
        <f t="shared" ref="N685:N698" si="127">IF(I685&gt;0,1,0)</f>
        <v>0</v>
      </c>
    </row>
    <row r="686" spans="2:14" ht="15" customHeight="1">
      <c r="B686" s="685"/>
      <c r="C686" s="627"/>
      <c r="D686" s="627"/>
      <c r="E686" s="627"/>
      <c r="F686" s="627"/>
      <c r="G686" s="627"/>
      <c r="H686" s="608"/>
      <c r="I686" s="611"/>
      <c r="J686" s="1013"/>
      <c r="K686" s="610"/>
      <c r="L686" s="610">
        <f>IFERROR(I686*K686,0)</f>
        <v>0</v>
      </c>
      <c r="N686" s="1032">
        <f t="shared" si="127"/>
        <v>0</v>
      </c>
    </row>
    <row r="687" spans="2:14" ht="15" customHeight="1">
      <c r="B687" s="685"/>
      <c r="C687" s="627"/>
      <c r="D687" s="627"/>
      <c r="E687" s="627"/>
      <c r="F687" s="627"/>
      <c r="G687" s="627"/>
      <c r="H687" s="608"/>
      <c r="I687" s="611"/>
      <c r="J687" s="1013"/>
      <c r="K687" s="610"/>
      <c r="L687" s="610">
        <f t="shared" ref="L687:L698" si="128">IFERROR(I687*K687,0)</f>
        <v>0</v>
      </c>
      <c r="N687" s="1032">
        <f t="shared" si="127"/>
        <v>0</v>
      </c>
    </row>
    <row r="688" spans="2:14" ht="15" customHeight="1">
      <c r="B688" s="685"/>
      <c r="C688" s="627"/>
      <c r="D688" s="627"/>
      <c r="E688" s="627"/>
      <c r="F688" s="627"/>
      <c r="G688" s="627"/>
      <c r="H688" s="608"/>
      <c r="I688" s="611"/>
      <c r="J688" s="1013"/>
      <c r="K688" s="610"/>
      <c r="L688" s="610">
        <f t="shared" si="128"/>
        <v>0</v>
      </c>
      <c r="N688" s="1032">
        <f t="shared" si="127"/>
        <v>0</v>
      </c>
    </row>
    <row r="689" spans="2:14" ht="15" customHeight="1">
      <c r="B689" s="685"/>
      <c r="C689" s="627"/>
      <c r="D689" s="627"/>
      <c r="E689" s="627"/>
      <c r="F689" s="627"/>
      <c r="G689" s="627"/>
      <c r="H689" s="608"/>
      <c r="I689" s="611"/>
      <c r="J689" s="1013"/>
      <c r="K689" s="610"/>
      <c r="L689" s="610">
        <f t="shared" si="128"/>
        <v>0</v>
      </c>
      <c r="N689" s="1032">
        <f t="shared" si="127"/>
        <v>0</v>
      </c>
    </row>
    <row r="690" spans="2:14" ht="15" customHeight="1">
      <c r="B690" s="685"/>
      <c r="C690" s="627"/>
      <c r="D690" s="627"/>
      <c r="E690" s="627"/>
      <c r="F690" s="627"/>
      <c r="G690" s="627"/>
      <c r="H690" s="608"/>
      <c r="I690" s="611"/>
      <c r="J690" s="1013"/>
      <c r="K690" s="610"/>
      <c r="L690" s="610">
        <f t="shared" si="128"/>
        <v>0</v>
      </c>
      <c r="N690" s="1032">
        <f t="shared" si="127"/>
        <v>0</v>
      </c>
    </row>
    <row r="691" spans="2:14" ht="15" customHeight="1">
      <c r="B691" s="1013">
        <f>SUBTOTAL(3,$I$310:I691)</f>
        <v>258</v>
      </c>
      <c r="C691" s="627" t="s">
        <v>182</v>
      </c>
      <c r="D691" s="627"/>
      <c r="E691" s="627"/>
      <c r="F691" s="627"/>
      <c r="G691" s="627" t="str">
        <f>" "</f>
        <v xml:space="preserve"> </v>
      </c>
      <c r="H691" s="608">
        <v>0.25</v>
      </c>
      <c r="I691" s="609">
        <f>IFERROR(ROUNDUP($AE$145*H691,0),0)</f>
        <v>0</v>
      </c>
      <c r="J691" s="1013" t="s">
        <v>183</v>
      </c>
      <c r="K691" s="610"/>
      <c r="L691" s="610">
        <f t="shared" si="128"/>
        <v>0</v>
      </c>
      <c r="N691" s="1032">
        <f t="shared" si="127"/>
        <v>0</v>
      </c>
    </row>
    <row r="692" spans="2:14" ht="15" customHeight="1">
      <c r="B692" s="685"/>
      <c r="C692" s="627"/>
      <c r="D692" s="627"/>
      <c r="E692" s="627"/>
      <c r="F692" s="627"/>
      <c r="G692" s="627"/>
      <c r="H692" s="608"/>
      <c r="I692" s="611"/>
      <c r="J692" s="1013"/>
      <c r="K692" s="610"/>
      <c r="L692" s="610">
        <f t="shared" si="128"/>
        <v>0</v>
      </c>
      <c r="N692" s="1032">
        <f t="shared" si="127"/>
        <v>0</v>
      </c>
    </row>
    <row r="693" spans="2:14" ht="15" customHeight="1">
      <c r="B693" s="1013">
        <f>SUBTOTAL(3,$I$310:I693)</f>
        <v>259</v>
      </c>
      <c r="C693" s="627" t="e">
        <f>БРМ_НИЗ</f>
        <v>#N/A</v>
      </c>
      <c r="D693" s="627"/>
      <c r="E693" s="627"/>
      <c r="F693" s="627"/>
      <c r="G693" s="627" t="str">
        <f>" "</f>
        <v xml:space="preserve"> </v>
      </c>
      <c r="H693" s="608">
        <v>1.1499999999999999</v>
      </c>
      <c r="I693" s="609">
        <f>IFERROR(ROUNDUP($Z$145*H693,0),0)</f>
        <v>0</v>
      </c>
      <c r="J693" s="1013" t="s">
        <v>112</v>
      </c>
      <c r="K693" s="610"/>
      <c r="L693" s="610">
        <f t="shared" si="128"/>
        <v>0</v>
      </c>
      <c r="N693" s="1032">
        <f t="shared" si="127"/>
        <v>0</v>
      </c>
    </row>
    <row r="694" spans="2:14" ht="15" customHeight="1">
      <c r="B694" s="1013">
        <f>SUBTOTAL(3,$I$310:I694)</f>
        <v>260</v>
      </c>
      <c r="C694" s="627" t="e">
        <f>БРМ_ВЕРХ</f>
        <v>#N/A</v>
      </c>
      <c r="D694" s="627"/>
      <c r="E694" s="627"/>
      <c r="F694" s="627"/>
      <c r="G694" s="627" t="str">
        <f>" "</f>
        <v xml:space="preserve"> </v>
      </c>
      <c r="H694" s="608">
        <v>1.1499999999999999</v>
      </c>
      <c r="I694" s="609">
        <f>IFERROR(ROUNDUP($Y$145*H694,0),0)</f>
        <v>0</v>
      </c>
      <c r="J694" s="1013" t="s">
        <v>112</v>
      </c>
      <c r="K694" s="610"/>
      <c r="L694" s="610">
        <f t="shared" si="128"/>
        <v>0</v>
      </c>
      <c r="N694" s="1032">
        <f t="shared" si="127"/>
        <v>0</v>
      </c>
    </row>
    <row r="695" spans="2:14" ht="15" customHeight="1">
      <c r="B695" s="1013">
        <f>SUBTOTAL(3,$I$310:I695)</f>
        <v>261</v>
      </c>
      <c r="C695" s="627" t="s">
        <v>337</v>
      </c>
      <c r="D695" s="627"/>
      <c r="E695" s="627"/>
      <c r="F695" s="627">
        <f>$AG$145</f>
        <v>0</v>
      </c>
      <c r="G695" s="627" t="s">
        <v>150</v>
      </c>
      <c r="H695" s="608" t="str">
        <f>" "</f>
        <v xml:space="preserve"> </v>
      </c>
      <c r="I695" s="611">
        <f>IFERROR($AH$145,0)</f>
        <v>0</v>
      </c>
      <c r="J695" s="1013" t="s">
        <v>190</v>
      </c>
      <c r="K695" s="610"/>
      <c r="L695" s="610">
        <f t="shared" si="128"/>
        <v>0</v>
      </c>
      <c r="N695" s="1032">
        <f t="shared" si="127"/>
        <v>0</v>
      </c>
    </row>
    <row r="696" spans="2:14" ht="15" customHeight="1">
      <c r="B696" s="1013">
        <f>SUBTOTAL(3,$I$310:I696)</f>
        <v>262</v>
      </c>
      <c r="C696" s="627" t="s">
        <v>337</v>
      </c>
      <c r="D696" s="627"/>
      <c r="E696" s="627"/>
      <c r="F696" s="627">
        <f>$AK$145</f>
        <v>0</v>
      </c>
      <c r="G696" s="627" t="s">
        <v>150</v>
      </c>
      <c r="H696" s="608" t="str">
        <f>" "</f>
        <v xml:space="preserve"> </v>
      </c>
      <c r="I696" s="611">
        <f>IFERROR($AL$145,0)</f>
        <v>0</v>
      </c>
      <c r="J696" s="1013" t="s">
        <v>190</v>
      </c>
      <c r="K696" s="610"/>
      <c r="L696" s="610">
        <f t="shared" si="128"/>
        <v>0</v>
      </c>
      <c r="N696" s="1032">
        <f t="shared" si="127"/>
        <v>0</v>
      </c>
    </row>
    <row r="697" spans="2:14" ht="15" customHeight="1">
      <c r="B697" s="1013">
        <f>SUBTOTAL(3,$I$310:I697)</f>
        <v>263</v>
      </c>
      <c r="C697" s="627" t="s">
        <v>268</v>
      </c>
      <c r="D697" s="627"/>
      <c r="E697" s="627"/>
      <c r="F697" s="627">
        <f>$AI$145</f>
        <v>0</v>
      </c>
      <c r="G697" s="627" t="s">
        <v>150</v>
      </c>
      <c r="H697" s="608" t="str">
        <f>" "</f>
        <v xml:space="preserve"> </v>
      </c>
      <c r="I697" s="611">
        <f>IFERROR($AJ$145,0)</f>
        <v>0</v>
      </c>
      <c r="J697" s="1013" t="s">
        <v>190</v>
      </c>
      <c r="K697" s="610"/>
      <c r="L697" s="610">
        <f t="shared" si="128"/>
        <v>0</v>
      </c>
      <c r="N697" s="1032">
        <f t="shared" si="127"/>
        <v>0</v>
      </c>
    </row>
    <row r="698" spans="2:14" ht="15" customHeight="1">
      <c r="B698" s="1013">
        <f>SUBTOTAL(3,$I$310:I698)</f>
        <v>264</v>
      </c>
      <c r="C698" s="627">
        <f>$W$145</f>
        <v>0</v>
      </c>
      <c r="D698" s="627"/>
      <c r="E698" s="627"/>
      <c r="F698" s="627">
        <f>$V$145</f>
        <v>0</v>
      </c>
      <c r="G698" s="627" t="s">
        <v>150</v>
      </c>
      <c r="H698" s="608">
        <v>1.03</v>
      </c>
      <c r="I698" s="609">
        <f>$AF$145</f>
        <v>0</v>
      </c>
      <c r="J698" s="1013" t="s">
        <v>178</v>
      </c>
      <c r="K698" s="610"/>
      <c r="L698" s="610">
        <f t="shared" si="128"/>
        <v>0</v>
      </c>
      <c r="N698" s="1032">
        <f t="shared" si="127"/>
        <v>0</v>
      </c>
    </row>
    <row r="699" spans="2:14" ht="30" customHeight="1">
      <c r="B699" s="691"/>
      <c r="C699" s="1183" t="str">
        <f>CONCATENATE($P$149,$AE$9,$T$149,$AF$9)</f>
        <v>. Общая длина примыкания-  м.</v>
      </c>
      <c r="D699" s="1183"/>
      <c r="E699" s="1183"/>
      <c r="F699" s="1183"/>
      <c r="G699" s="1183"/>
      <c r="H699" s="1184"/>
      <c r="I699" s="1184"/>
      <c r="J699" s="1184"/>
      <c r="K699" s="1185"/>
      <c r="L699" s="684">
        <f>SUM(L700:L713)</f>
        <v>0</v>
      </c>
      <c r="N699" s="1032">
        <f>IF(SUM(I700:I713)&gt;0,1,0)</f>
        <v>0</v>
      </c>
    </row>
    <row r="700" spans="2:14" ht="15" customHeight="1">
      <c r="B700" s="1013"/>
      <c r="C700" s="627"/>
      <c r="D700" s="627"/>
      <c r="E700" s="627"/>
      <c r="F700" s="627"/>
      <c r="G700" s="627"/>
      <c r="H700" s="608"/>
      <c r="I700" s="611"/>
      <c r="J700" s="1013"/>
      <c r="K700" s="610"/>
      <c r="L700" s="610">
        <f>IFERROR(I700*K700,0)</f>
        <v>0</v>
      </c>
      <c r="N700" s="1032">
        <f t="shared" ref="N700:N713" si="129">IF(I700&gt;0,1,0)</f>
        <v>0</v>
      </c>
    </row>
    <row r="701" spans="2:14" ht="15" customHeight="1">
      <c r="B701" s="1013">
        <f>SUBTOTAL(3,$I$310:I701)</f>
        <v>265</v>
      </c>
      <c r="C701" s="627" t="s">
        <v>652</v>
      </c>
      <c r="D701" s="627"/>
      <c r="E701" s="627"/>
      <c r="F701" s="627"/>
      <c r="G701" s="627" t="str">
        <f t="shared" ref="G701:G707" si="130">" "</f>
        <v xml:space="preserve"> </v>
      </c>
      <c r="H701" s="608">
        <v>1.03</v>
      </c>
      <c r="I701" s="614">
        <f>IFERROR(ROUNDUP($AA$149*H701,2),0)</f>
        <v>0</v>
      </c>
      <c r="J701" s="1013" t="s">
        <v>264</v>
      </c>
      <c r="K701" s="610"/>
      <c r="L701" s="610">
        <f>IFERROR(I701*K701,0)</f>
        <v>0</v>
      </c>
      <c r="N701" s="1032">
        <f t="shared" si="129"/>
        <v>0</v>
      </c>
    </row>
    <row r="702" spans="2:14" ht="15" customHeight="1">
      <c r="B702" s="685"/>
      <c r="C702" s="627"/>
      <c r="D702" s="627"/>
      <c r="E702" s="627"/>
      <c r="F702" s="627"/>
      <c r="G702" s="627"/>
      <c r="H702" s="608"/>
      <c r="I702" s="611"/>
      <c r="J702" s="1013"/>
      <c r="K702" s="610"/>
      <c r="L702" s="610">
        <f t="shared" ref="L702:L713" si="131">IFERROR(I702*K702,0)</f>
        <v>0</v>
      </c>
      <c r="N702" s="1032">
        <f t="shared" si="129"/>
        <v>0</v>
      </c>
    </row>
    <row r="703" spans="2:14" ht="15" customHeight="1">
      <c r="B703" s="1013">
        <f>SUBTOTAL(3,$I$310:I703)</f>
        <v>266</v>
      </c>
      <c r="C703" s="627" t="s">
        <v>559</v>
      </c>
      <c r="D703" s="627"/>
      <c r="E703" s="627"/>
      <c r="F703" s="627"/>
      <c r="G703" s="627" t="str">
        <f t="shared" si="130"/>
        <v xml:space="preserve"> </v>
      </c>
      <c r="H703" s="608">
        <v>5</v>
      </c>
      <c r="I703" s="611">
        <f>IFERROR($AB$149*H703*1.03,0)</f>
        <v>0</v>
      </c>
      <c r="J703" s="1013" t="s">
        <v>151</v>
      </c>
      <c r="K703" s="610"/>
      <c r="L703" s="610">
        <f t="shared" si="131"/>
        <v>0</v>
      </c>
      <c r="N703" s="1032">
        <f t="shared" si="129"/>
        <v>0</v>
      </c>
    </row>
    <row r="704" spans="2:14" ht="15" customHeight="1">
      <c r="B704" s="1013">
        <f>SUBTOTAL(3,$I$310:I704)</f>
        <v>267</v>
      </c>
      <c r="C704" s="627" t="s">
        <v>189</v>
      </c>
      <c r="D704" s="627"/>
      <c r="E704" s="627"/>
      <c r="F704" s="627"/>
      <c r="G704" s="627" t="str">
        <f t="shared" si="130"/>
        <v xml:space="preserve"> </v>
      </c>
      <c r="H704" s="608">
        <v>5</v>
      </c>
      <c r="I704" s="611">
        <f>IFERROR($AD$149,0)</f>
        <v>0</v>
      </c>
      <c r="J704" s="1013" t="s">
        <v>151</v>
      </c>
      <c r="K704" s="610"/>
      <c r="L704" s="610">
        <f t="shared" si="131"/>
        <v>0</v>
      </c>
      <c r="N704" s="1032">
        <f t="shared" si="129"/>
        <v>0</v>
      </c>
    </row>
    <row r="705" spans="2:14" ht="15" customHeight="1">
      <c r="B705" s="1013">
        <f>SUBTOTAL(3,$I$310:I705)</f>
        <v>268</v>
      </c>
      <c r="C705" s="627" t="s">
        <v>1459</v>
      </c>
      <c r="D705" s="627"/>
      <c r="E705" s="627"/>
      <c r="F705" s="627"/>
      <c r="G705" s="627" t="str">
        <f t="shared" si="130"/>
        <v xml:space="preserve"> </v>
      </c>
      <c r="H705" s="608">
        <v>5</v>
      </c>
      <c r="I705" s="611">
        <f>IFERROR($AC$149*H705*1.03,0)</f>
        <v>0</v>
      </c>
      <c r="J705" s="1013" t="s">
        <v>151</v>
      </c>
      <c r="K705" s="610"/>
      <c r="L705" s="610">
        <f t="shared" si="131"/>
        <v>0</v>
      </c>
      <c r="N705" s="1032">
        <f t="shared" si="129"/>
        <v>0</v>
      </c>
    </row>
    <row r="706" spans="2:14" ht="15" customHeight="1">
      <c r="B706" s="1013">
        <f>SUBTOTAL(3,$I$310:I706)</f>
        <v>269</v>
      </c>
      <c r="C706" s="627" t="s">
        <v>182</v>
      </c>
      <c r="D706" s="627"/>
      <c r="E706" s="627"/>
      <c r="F706" s="627"/>
      <c r="G706" s="627" t="str">
        <f t="shared" si="130"/>
        <v xml:space="preserve"> </v>
      </c>
      <c r="H706" s="608">
        <v>0.25</v>
      </c>
      <c r="I706" s="609">
        <f>IFERROR(ROUNDUP($AE$149*H706,0),0)</f>
        <v>0</v>
      </c>
      <c r="J706" s="1013" t="s">
        <v>183</v>
      </c>
      <c r="K706" s="610"/>
      <c r="L706" s="610">
        <f t="shared" si="131"/>
        <v>0</v>
      </c>
      <c r="N706" s="1032">
        <f t="shared" si="129"/>
        <v>0</v>
      </c>
    </row>
    <row r="707" spans="2:14" ht="15" customHeight="1">
      <c r="B707" s="1013">
        <f>SUBTOTAL(3,$I$310:I707)</f>
        <v>270</v>
      </c>
      <c r="C707" s="627" t="s">
        <v>653</v>
      </c>
      <c r="D707" s="627"/>
      <c r="E707" s="627"/>
      <c r="F707" s="627"/>
      <c r="G707" s="627" t="str">
        <f t="shared" si="130"/>
        <v xml:space="preserve"> </v>
      </c>
      <c r="H707" s="608">
        <v>0.15</v>
      </c>
      <c r="I707" s="908">
        <f>IFERROR((ROUNDUP($AA$149*H707/310*1000,0))*0.33,0)</f>
        <v>0</v>
      </c>
      <c r="J707" s="1013" t="s">
        <v>183</v>
      </c>
      <c r="K707" s="610"/>
      <c r="L707" s="610">
        <f t="shared" si="131"/>
        <v>0</v>
      </c>
      <c r="N707" s="1032">
        <f t="shared" si="129"/>
        <v>0</v>
      </c>
    </row>
    <row r="708" spans="2:14" ht="15" customHeight="1">
      <c r="B708" s="1013">
        <f>SUBTOTAL(3,$I$310:I708)</f>
        <v>271</v>
      </c>
      <c r="C708" s="627" t="e">
        <f>БРМ_НИЗ</f>
        <v>#N/A</v>
      </c>
      <c r="D708" s="627"/>
      <c r="E708" s="627"/>
      <c r="F708" s="627"/>
      <c r="G708" s="627" t="str">
        <f>" "</f>
        <v xml:space="preserve"> </v>
      </c>
      <c r="H708" s="608">
        <v>1.1499999999999999</v>
      </c>
      <c r="I708" s="609">
        <f>IFERROR(ROUNDUP($Z$149*H708,0),0)</f>
        <v>0</v>
      </c>
      <c r="J708" s="1013" t="s">
        <v>112</v>
      </c>
      <c r="K708" s="610"/>
      <c r="L708" s="610">
        <f t="shared" si="131"/>
        <v>0</v>
      </c>
      <c r="N708" s="1032">
        <f t="shared" si="129"/>
        <v>0</v>
      </c>
    </row>
    <row r="709" spans="2:14" ht="15" customHeight="1">
      <c r="B709" s="1013">
        <f>SUBTOTAL(3,$I$310:I709)</f>
        <v>272</v>
      </c>
      <c r="C709" s="627" t="e">
        <f>БРМ_ВЕРХ</f>
        <v>#N/A</v>
      </c>
      <c r="D709" s="627"/>
      <c r="E709" s="627"/>
      <c r="F709" s="627"/>
      <c r="G709" s="627" t="str">
        <f>" "</f>
        <v xml:space="preserve"> </v>
      </c>
      <c r="H709" s="608">
        <v>1.1499999999999999</v>
      </c>
      <c r="I709" s="609">
        <f>IFERROR(ROUNDUP($Y$149*H709,0),0)</f>
        <v>0</v>
      </c>
      <c r="J709" s="1013" t="s">
        <v>112</v>
      </c>
      <c r="K709" s="610"/>
      <c r="L709" s="610">
        <f t="shared" si="131"/>
        <v>0</v>
      </c>
      <c r="N709" s="1032">
        <f t="shared" si="129"/>
        <v>0</v>
      </c>
    </row>
    <row r="710" spans="2:14" ht="15" customHeight="1">
      <c r="B710" s="1013">
        <f>SUBTOTAL(3,$I$310:I710)</f>
        <v>273</v>
      </c>
      <c r="C710" s="627" t="s">
        <v>337</v>
      </c>
      <c r="D710" s="627"/>
      <c r="E710" s="627"/>
      <c r="F710" s="627" t="str">
        <f>$AG$149</f>
        <v>нет</v>
      </c>
      <c r="G710" s="627" t="s">
        <v>150</v>
      </c>
      <c r="H710" s="608" t="str">
        <f>" "</f>
        <v xml:space="preserve"> </v>
      </c>
      <c r="I710" s="611">
        <f>IFERROR($AH$149,0)</f>
        <v>0</v>
      </c>
      <c r="J710" s="1013" t="s">
        <v>190</v>
      </c>
      <c r="K710" s="610"/>
      <c r="L710" s="610">
        <f t="shared" si="131"/>
        <v>0</v>
      </c>
      <c r="N710" s="1032">
        <f t="shared" si="129"/>
        <v>0</v>
      </c>
    </row>
    <row r="711" spans="2:14" ht="15" customHeight="1">
      <c r="B711" s="685"/>
      <c r="C711" s="627"/>
      <c r="D711" s="627"/>
      <c r="E711" s="627"/>
      <c r="F711" s="627"/>
      <c r="G711" s="627"/>
      <c r="H711" s="608"/>
      <c r="I711" s="611"/>
      <c r="J711" s="1013"/>
      <c r="K711" s="610"/>
      <c r="L711" s="610">
        <f t="shared" si="131"/>
        <v>0</v>
      </c>
      <c r="N711" s="1032">
        <f t="shared" si="129"/>
        <v>0</v>
      </c>
    </row>
    <row r="712" spans="2:14" ht="15" customHeight="1">
      <c r="B712" s="1013">
        <f>SUBTOTAL(3,$I$310:I712)</f>
        <v>274</v>
      </c>
      <c r="C712" s="627" t="s">
        <v>268</v>
      </c>
      <c r="D712" s="627"/>
      <c r="E712" s="627"/>
      <c r="F712" s="627" t="str">
        <f>$AI$149</f>
        <v>нет</v>
      </c>
      <c r="G712" s="627" t="s">
        <v>150</v>
      </c>
      <c r="H712" s="608" t="str">
        <f>" "</f>
        <v xml:space="preserve"> </v>
      </c>
      <c r="I712" s="611">
        <f>IFERROR($AJ$149,0)</f>
        <v>0</v>
      </c>
      <c r="J712" s="1013" t="s">
        <v>190</v>
      </c>
      <c r="K712" s="610"/>
      <c r="L712" s="610">
        <f t="shared" si="131"/>
        <v>0</v>
      </c>
      <c r="N712" s="1032">
        <f t="shared" si="129"/>
        <v>0</v>
      </c>
    </row>
    <row r="713" spans="2:14" ht="15" customHeight="1">
      <c r="B713" s="1013">
        <f>SUBTOTAL(3,$I$310:I713)</f>
        <v>275</v>
      </c>
      <c r="C713" s="627">
        <f>$W$149</f>
        <v>0</v>
      </c>
      <c r="D713" s="627"/>
      <c r="E713" s="627"/>
      <c r="F713" s="627">
        <f>$V$149</f>
        <v>0</v>
      </c>
      <c r="G713" s="627" t="s">
        <v>150</v>
      </c>
      <c r="H713" s="608">
        <v>1.03</v>
      </c>
      <c r="I713" s="609">
        <f>$AF$149</f>
        <v>0</v>
      </c>
      <c r="J713" s="1013" t="s">
        <v>178</v>
      </c>
      <c r="K713" s="610"/>
      <c r="L713" s="610">
        <f t="shared" si="131"/>
        <v>0</v>
      </c>
      <c r="N713" s="1032">
        <f t="shared" si="129"/>
        <v>0</v>
      </c>
    </row>
    <row r="714" spans="2:14" ht="30" customHeight="1">
      <c r="B714" s="691"/>
      <c r="C714" s="1183" t="str">
        <f>CONCATENATE($P$150,$AE$9,$T$150,$AF$9)</f>
        <v>. Общая длина примыкания-  м.</v>
      </c>
      <c r="D714" s="1183"/>
      <c r="E714" s="1183"/>
      <c r="F714" s="1183"/>
      <c r="G714" s="1183"/>
      <c r="H714" s="1184"/>
      <c r="I714" s="1184"/>
      <c r="J714" s="1184"/>
      <c r="K714" s="1185"/>
      <c r="L714" s="684">
        <f>SUM(L715:L728)</f>
        <v>0</v>
      </c>
      <c r="N714" s="1032">
        <f>IF(SUM(I715:I728)&gt;0,1,0)</f>
        <v>0</v>
      </c>
    </row>
    <row r="715" spans="2:14" ht="15" customHeight="1">
      <c r="B715" s="1013"/>
      <c r="C715" s="627"/>
      <c r="D715" s="627"/>
      <c r="E715" s="627"/>
      <c r="F715" s="627"/>
      <c r="G715" s="627"/>
      <c r="H715" s="608"/>
      <c r="I715" s="611"/>
      <c r="J715" s="1013"/>
      <c r="K715" s="610"/>
      <c r="L715" s="610">
        <f>IFERROR(I715*K715,0)</f>
        <v>0</v>
      </c>
      <c r="N715" s="1032">
        <f t="shared" ref="N715:N728" si="132">IF(I715&gt;0,1,0)</f>
        <v>0</v>
      </c>
    </row>
    <row r="716" spans="2:14" ht="15" customHeight="1">
      <c r="B716" s="1013">
        <f>SUBTOTAL(3,$I$310:I716)</f>
        <v>276</v>
      </c>
      <c r="C716" s="627" t="s">
        <v>652</v>
      </c>
      <c r="D716" s="627"/>
      <c r="E716" s="627"/>
      <c r="F716" s="627"/>
      <c r="G716" s="627" t="str">
        <f t="shared" ref="G716:G722" si="133">" "</f>
        <v xml:space="preserve"> </v>
      </c>
      <c r="H716" s="608">
        <v>1.03</v>
      </c>
      <c r="I716" s="614">
        <f>IFERROR(ROUNDUP($AA$150*H716,2),0)</f>
        <v>0</v>
      </c>
      <c r="J716" s="1013" t="s">
        <v>264</v>
      </c>
      <c r="K716" s="610"/>
      <c r="L716" s="610">
        <f>IFERROR(I716*K716,0)</f>
        <v>0</v>
      </c>
      <c r="N716" s="1032">
        <f t="shared" si="132"/>
        <v>0</v>
      </c>
    </row>
    <row r="717" spans="2:14" ht="15" customHeight="1">
      <c r="B717" s="685"/>
      <c r="C717" s="627"/>
      <c r="D717" s="627"/>
      <c r="E717" s="627"/>
      <c r="F717" s="627"/>
      <c r="G717" s="627"/>
      <c r="H717" s="608"/>
      <c r="I717" s="611"/>
      <c r="J717" s="1013"/>
      <c r="K717" s="610"/>
      <c r="L717" s="610">
        <f t="shared" ref="L717:L728" si="134">IFERROR(I717*K717,0)</f>
        <v>0</v>
      </c>
      <c r="N717" s="1032">
        <f t="shared" si="132"/>
        <v>0</v>
      </c>
    </row>
    <row r="718" spans="2:14" ht="15" customHeight="1">
      <c r="B718" s="1013">
        <f>SUBTOTAL(3,$I$310:I718)</f>
        <v>277</v>
      </c>
      <c r="C718" s="627" t="s">
        <v>559</v>
      </c>
      <c r="D718" s="627"/>
      <c r="E718" s="627"/>
      <c r="F718" s="627"/>
      <c r="G718" s="627" t="str">
        <f t="shared" si="133"/>
        <v xml:space="preserve"> </v>
      </c>
      <c r="H718" s="608">
        <v>5</v>
      </c>
      <c r="I718" s="611">
        <f>IFERROR($AB$150*H718*1.03,0)</f>
        <v>0</v>
      </c>
      <c r="J718" s="1013" t="s">
        <v>151</v>
      </c>
      <c r="K718" s="610"/>
      <c r="L718" s="610">
        <f t="shared" si="134"/>
        <v>0</v>
      </c>
      <c r="N718" s="1032">
        <f t="shared" si="132"/>
        <v>0</v>
      </c>
    </row>
    <row r="719" spans="2:14" ht="15" customHeight="1">
      <c r="B719" s="1013">
        <f>SUBTOTAL(3,$I$310:I719)</f>
        <v>278</v>
      </c>
      <c r="C719" s="627" t="s">
        <v>189</v>
      </c>
      <c r="D719" s="627"/>
      <c r="E719" s="627"/>
      <c r="F719" s="627"/>
      <c r="G719" s="627" t="str">
        <f t="shared" si="133"/>
        <v xml:space="preserve"> </v>
      </c>
      <c r="H719" s="608">
        <v>5</v>
      </c>
      <c r="I719" s="611">
        <f>IFERROR($AD$150,0)</f>
        <v>0</v>
      </c>
      <c r="J719" s="1013" t="s">
        <v>151</v>
      </c>
      <c r="K719" s="610"/>
      <c r="L719" s="610">
        <f t="shared" si="134"/>
        <v>0</v>
      </c>
      <c r="N719" s="1032">
        <f t="shared" si="132"/>
        <v>0</v>
      </c>
    </row>
    <row r="720" spans="2:14" ht="15" customHeight="1">
      <c r="B720" s="1013">
        <f>SUBTOTAL(3,$I$310:I720)</f>
        <v>279</v>
      </c>
      <c r="C720" s="627" t="s">
        <v>1459</v>
      </c>
      <c r="D720" s="627"/>
      <c r="E720" s="627"/>
      <c r="F720" s="627"/>
      <c r="G720" s="627" t="str">
        <f t="shared" si="133"/>
        <v xml:space="preserve"> </v>
      </c>
      <c r="H720" s="608">
        <v>5</v>
      </c>
      <c r="I720" s="611">
        <f>IFERROR($AC$150*H720*1.03,0)</f>
        <v>0</v>
      </c>
      <c r="J720" s="1013" t="s">
        <v>151</v>
      </c>
      <c r="K720" s="610"/>
      <c r="L720" s="610">
        <f t="shared" si="134"/>
        <v>0</v>
      </c>
      <c r="N720" s="1032">
        <f t="shared" si="132"/>
        <v>0</v>
      </c>
    </row>
    <row r="721" spans="2:14" ht="15" customHeight="1">
      <c r="B721" s="1013">
        <f>SUBTOTAL(3,$I$310:I721)</f>
        <v>280</v>
      </c>
      <c r="C721" s="627" t="s">
        <v>182</v>
      </c>
      <c r="D721" s="627"/>
      <c r="E721" s="627"/>
      <c r="F721" s="627"/>
      <c r="G721" s="627" t="str">
        <f t="shared" si="133"/>
        <v xml:space="preserve"> </v>
      </c>
      <c r="H721" s="608">
        <v>0.25</v>
      </c>
      <c r="I721" s="609">
        <f>IFERROR(ROUNDUP($AE$150*H721,0),0)</f>
        <v>0</v>
      </c>
      <c r="J721" s="1013" t="s">
        <v>183</v>
      </c>
      <c r="K721" s="610"/>
      <c r="L721" s="610">
        <f t="shared" si="134"/>
        <v>0</v>
      </c>
      <c r="N721" s="1032">
        <f t="shared" si="132"/>
        <v>0</v>
      </c>
    </row>
    <row r="722" spans="2:14" ht="15" customHeight="1">
      <c r="B722" s="1013">
        <f>SUBTOTAL(3,$I$310:I722)</f>
        <v>281</v>
      </c>
      <c r="C722" s="627" t="s">
        <v>653</v>
      </c>
      <c r="D722" s="627"/>
      <c r="E722" s="627"/>
      <c r="F722" s="627"/>
      <c r="G722" s="627" t="str">
        <f t="shared" si="133"/>
        <v xml:space="preserve"> </v>
      </c>
      <c r="H722" s="608">
        <v>0.15</v>
      </c>
      <c r="I722" s="614">
        <f>IFERROR((ROUNDUP($AA$150*H722/310*1000,0))*0.33,0)</f>
        <v>0</v>
      </c>
      <c r="J722" s="1013" t="s">
        <v>183</v>
      </c>
      <c r="K722" s="610"/>
      <c r="L722" s="610">
        <f t="shared" si="134"/>
        <v>0</v>
      </c>
      <c r="N722" s="1032">
        <f t="shared" si="132"/>
        <v>0</v>
      </c>
    </row>
    <row r="723" spans="2:14" ht="15" customHeight="1">
      <c r="B723" s="1013">
        <f>SUBTOTAL(3,$I$310:I723)</f>
        <v>282</v>
      </c>
      <c r="C723" s="627" t="e">
        <f>БРМ_НИЗ</f>
        <v>#N/A</v>
      </c>
      <c r="D723" s="627"/>
      <c r="E723" s="627"/>
      <c r="F723" s="627"/>
      <c r="G723" s="627" t="str">
        <f>" "</f>
        <v xml:space="preserve"> </v>
      </c>
      <c r="H723" s="608">
        <v>1.1499999999999999</v>
      </c>
      <c r="I723" s="609">
        <f>IFERROR(ROUNDUP($Z$150*H723,0),0)</f>
        <v>0</v>
      </c>
      <c r="J723" s="1013" t="s">
        <v>112</v>
      </c>
      <c r="K723" s="610"/>
      <c r="L723" s="610">
        <f t="shared" si="134"/>
        <v>0</v>
      </c>
      <c r="N723" s="1032">
        <f t="shared" si="132"/>
        <v>0</v>
      </c>
    </row>
    <row r="724" spans="2:14" ht="15" customHeight="1">
      <c r="B724" s="1013">
        <f>SUBTOTAL(3,$I$310:I724)</f>
        <v>283</v>
      </c>
      <c r="C724" s="627" t="e">
        <f>БРМ_ВЕРХ</f>
        <v>#N/A</v>
      </c>
      <c r="D724" s="627"/>
      <c r="E724" s="627"/>
      <c r="F724" s="627"/>
      <c r="G724" s="627" t="str">
        <f>" "</f>
        <v xml:space="preserve"> </v>
      </c>
      <c r="H724" s="608">
        <v>1.1499999999999999</v>
      </c>
      <c r="I724" s="609">
        <f>IFERROR(ROUNDUP($Y$150*H724,0),0)</f>
        <v>0</v>
      </c>
      <c r="J724" s="1013" t="s">
        <v>112</v>
      </c>
      <c r="K724" s="610"/>
      <c r="L724" s="610">
        <f t="shared" si="134"/>
        <v>0</v>
      </c>
      <c r="N724" s="1032">
        <f t="shared" si="132"/>
        <v>0</v>
      </c>
    </row>
    <row r="725" spans="2:14" ht="15" customHeight="1">
      <c r="B725" s="1013">
        <f>SUBTOTAL(3,$I$310:I725)</f>
        <v>284</v>
      </c>
      <c r="C725" s="627" t="s">
        <v>337</v>
      </c>
      <c r="D725" s="627"/>
      <c r="E725" s="627"/>
      <c r="F725" s="627">
        <f>$AG$150</f>
        <v>0</v>
      </c>
      <c r="G725" s="627" t="s">
        <v>150</v>
      </c>
      <c r="H725" s="608" t="str">
        <f>" "</f>
        <v xml:space="preserve"> </v>
      </c>
      <c r="I725" s="611">
        <f>IFERROR($AH$150,0)</f>
        <v>0</v>
      </c>
      <c r="J725" s="1013" t="s">
        <v>190</v>
      </c>
      <c r="K725" s="610"/>
      <c r="L725" s="610">
        <f t="shared" si="134"/>
        <v>0</v>
      </c>
      <c r="N725" s="1032">
        <f t="shared" si="132"/>
        <v>0</v>
      </c>
    </row>
    <row r="726" spans="2:14" ht="15" customHeight="1">
      <c r="B726" s="685"/>
      <c r="C726" s="627"/>
      <c r="D726" s="627"/>
      <c r="E726" s="627"/>
      <c r="F726" s="627"/>
      <c r="G726" s="627"/>
      <c r="H726" s="608"/>
      <c r="I726" s="611"/>
      <c r="J726" s="1013"/>
      <c r="K726" s="610"/>
      <c r="L726" s="610">
        <f t="shared" si="134"/>
        <v>0</v>
      </c>
      <c r="N726" s="1032">
        <f t="shared" si="132"/>
        <v>0</v>
      </c>
    </row>
    <row r="727" spans="2:14" ht="15" customHeight="1">
      <c r="B727" s="1013">
        <f>SUBTOTAL(3,$I$310:I727)</f>
        <v>285</v>
      </c>
      <c r="C727" s="627" t="s">
        <v>268</v>
      </c>
      <c r="D727" s="627"/>
      <c r="E727" s="627"/>
      <c r="F727" s="627">
        <f>$AI$150</f>
        <v>0</v>
      </c>
      <c r="G727" s="627" t="s">
        <v>150</v>
      </c>
      <c r="H727" s="608" t="str">
        <f>" "</f>
        <v xml:space="preserve"> </v>
      </c>
      <c r="I727" s="611">
        <f>IFERROR($AJ$150,0)</f>
        <v>0</v>
      </c>
      <c r="J727" s="1013" t="s">
        <v>190</v>
      </c>
      <c r="K727" s="610"/>
      <c r="L727" s="610">
        <f t="shared" si="134"/>
        <v>0</v>
      </c>
      <c r="N727" s="1032">
        <f t="shared" si="132"/>
        <v>0</v>
      </c>
    </row>
    <row r="728" spans="2:14" ht="15" customHeight="1">
      <c r="B728" s="1013">
        <f>SUBTOTAL(3,$I$310:I728)</f>
        <v>286</v>
      </c>
      <c r="C728" s="627">
        <f>$W$150</f>
        <v>0</v>
      </c>
      <c r="D728" s="627"/>
      <c r="E728" s="627"/>
      <c r="F728" s="627">
        <f>$V$150</f>
        <v>0</v>
      </c>
      <c r="G728" s="627" t="s">
        <v>150</v>
      </c>
      <c r="H728" s="608">
        <v>1.03</v>
      </c>
      <c r="I728" s="609">
        <f>$AF$150</f>
        <v>0</v>
      </c>
      <c r="J728" s="1013" t="s">
        <v>178</v>
      </c>
      <c r="K728" s="610"/>
      <c r="L728" s="610">
        <f t="shared" si="134"/>
        <v>0</v>
      </c>
      <c r="N728" s="1032">
        <f t="shared" si="132"/>
        <v>0</v>
      </c>
    </row>
    <row r="729" spans="2:14" ht="30" customHeight="1">
      <c r="B729" s="691"/>
      <c r="C729" s="1183" t="str">
        <f>CONCATENATE($P$151,$AE$9,$T$151,$AF$9)</f>
        <v>. Общая длина примыкания-  м.</v>
      </c>
      <c r="D729" s="1183"/>
      <c r="E729" s="1183"/>
      <c r="F729" s="1183"/>
      <c r="G729" s="1183"/>
      <c r="H729" s="1184"/>
      <c r="I729" s="1184"/>
      <c r="J729" s="1184"/>
      <c r="K729" s="1185"/>
      <c r="L729" s="684">
        <f>SUM(L730:L743)</f>
        <v>0</v>
      </c>
      <c r="N729" s="1032">
        <f>IF(SUM(I730:I743)&gt;0,1,0)</f>
        <v>0</v>
      </c>
    </row>
    <row r="730" spans="2:14" ht="15" customHeight="1">
      <c r="B730" s="1013"/>
      <c r="C730" s="627"/>
      <c r="D730" s="627"/>
      <c r="E730" s="627"/>
      <c r="F730" s="627"/>
      <c r="G730" s="627"/>
      <c r="H730" s="608"/>
      <c r="I730" s="611"/>
      <c r="J730" s="1013"/>
      <c r="K730" s="610"/>
      <c r="L730" s="610">
        <f>IFERROR(I730*K730,0)</f>
        <v>0</v>
      </c>
      <c r="N730" s="1032">
        <f t="shared" ref="N730:N743" si="135">IF(I730&gt;0,1,0)</f>
        <v>0</v>
      </c>
    </row>
    <row r="731" spans="2:14" ht="15" customHeight="1">
      <c r="B731" s="1013">
        <f>SUBTOTAL(3,$I$310:I731)</f>
        <v>287</v>
      </c>
      <c r="C731" s="627" t="s">
        <v>652</v>
      </c>
      <c r="D731" s="627"/>
      <c r="E731" s="627"/>
      <c r="F731" s="627"/>
      <c r="G731" s="627" t="str">
        <f t="shared" ref="G731:G737" si="136">" "</f>
        <v xml:space="preserve"> </v>
      </c>
      <c r="H731" s="608">
        <v>1.03</v>
      </c>
      <c r="I731" s="614">
        <f>IFERROR(ROUNDUP($AA$151*H731,2),0)</f>
        <v>0</v>
      </c>
      <c r="J731" s="1013" t="s">
        <v>264</v>
      </c>
      <c r="K731" s="610"/>
      <c r="L731" s="610">
        <f>IFERROR(I731*K731,0)</f>
        <v>0</v>
      </c>
      <c r="N731" s="1032">
        <f t="shared" si="135"/>
        <v>0</v>
      </c>
    </row>
    <row r="732" spans="2:14" ht="15" customHeight="1">
      <c r="B732" s="685"/>
      <c r="C732" s="627"/>
      <c r="D732" s="627"/>
      <c r="E732" s="627"/>
      <c r="F732" s="627"/>
      <c r="G732" s="627"/>
      <c r="H732" s="608"/>
      <c r="I732" s="611"/>
      <c r="J732" s="1013"/>
      <c r="K732" s="610"/>
      <c r="L732" s="610">
        <f t="shared" ref="L732:L743" si="137">IFERROR(I732*K732,0)</f>
        <v>0</v>
      </c>
      <c r="N732" s="1032">
        <f t="shared" si="135"/>
        <v>0</v>
      </c>
    </row>
    <row r="733" spans="2:14" ht="15" customHeight="1">
      <c r="B733" s="1013">
        <f>SUBTOTAL(3,$I$310:I733)</f>
        <v>288</v>
      </c>
      <c r="C733" s="627" t="s">
        <v>559</v>
      </c>
      <c r="D733" s="627"/>
      <c r="E733" s="627"/>
      <c r="F733" s="627"/>
      <c r="G733" s="627" t="str">
        <f t="shared" si="136"/>
        <v xml:space="preserve"> </v>
      </c>
      <c r="H733" s="608">
        <v>5</v>
      </c>
      <c r="I733" s="611">
        <f>IFERROR($AB$151*H733*1.03,0)</f>
        <v>0</v>
      </c>
      <c r="J733" s="1013" t="s">
        <v>151</v>
      </c>
      <c r="K733" s="610"/>
      <c r="L733" s="610">
        <f t="shared" si="137"/>
        <v>0</v>
      </c>
      <c r="N733" s="1032">
        <f t="shared" si="135"/>
        <v>0</v>
      </c>
    </row>
    <row r="734" spans="2:14" ht="15" customHeight="1">
      <c r="B734" s="1013">
        <f>SUBTOTAL(3,$I$310:I734)</f>
        <v>289</v>
      </c>
      <c r="C734" s="627" t="s">
        <v>189</v>
      </c>
      <c r="D734" s="627"/>
      <c r="E734" s="627"/>
      <c r="F734" s="627"/>
      <c r="G734" s="627" t="str">
        <f t="shared" si="136"/>
        <v xml:space="preserve"> </v>
      </c>
      <c r="H734" s="608">
        <v>5</v>
      </c>
      <c r="I734" s="611">
        <f>IFERROR($AD$151,0)</f>
        <v>0</v>
      </c>
      <c r="J734" s="1013" t="s">
        <v>151</v>
      </c>
      <c r="K734" s="610"/>
      <c r="L734" s="610">
        <f t="shared" si="137"/>
        <v>0</v>
      </c>
      <c r="N734" s="1032">
        <f t="shared" si="135"/>
        <v>0</v>
      </c>
    </row>
    <row r="735" spans="2:14" ht="15" customHeight="1">
      <c r="B735" s="1013">
        <f>SUBTOTAL(3,$I$310:I735)</f>
        <v>290</v>
      </c>
      <c r="C735" s="627" t="s">
        <v>1459</v>
      </c>
      <c r="D735" s="627"/>
      <c r="E735" s="627"/>
      <c r="F735" s="627"/>
      <c r="G735" s="627" t="str">
        <f t="shared" si="136"/>
        <v xml:space="preserve"> </v>
      </c>
      <c r="H735" s="608">
        <v>5</v>
      </c>
      <c r="I735" s="611">
        <f>IFERROR($AC$151*H735*1.03,0)</f>
        <v>0</v>
      </c>
      <c r="J735" s="1013" t="s">
        <v>151</v>
      </c>
      <c r="K735" s="610"/>
      <c r="L735" s="610">
        <f t="shared" si="137"/>
        <v>0</v>
      </c>
      <c r="N735" s="1032">
        <f t="shared" si="135"/>
        <v>0</v>
      </c>
    </row>
    <row r="736" spans="2:14" ht="15" customHeight="1">
      <c r="B736" s="1013">
        <f>SUBTOTAL(3,$I$310:I736)</f>
        <v>291</v>
      </c>
      <c r="C736" s="627" t="s">
        <v>182</v>
      </c>
      <c r="D736" s="627"/>
      <c r="E736" s="627"/>
      <c r="F736" s="627"/>
      <c r="G736" s="627" t="str">
        <f t="shared" si="136"/>
        <v xml:space="preserve"> </v>
      </c>
      <c r="H736" s="608">
        <v>0.25</v>
      </c>
      <c r="I736" s="609">
        <f>IFERROR(ROUNDUP($AE$151*H736,0),0)</f>
        <v>0</v>
      </c>
      <c r="J736" s="1013" t="s">
        <v>183</v>
      </c>
      <c r="K736" s="610"/>
      <c r="L736" s="610">
        <f t="shared" si="137"/>
        <v>0</v>
      </c>
      <c r="N736" s="1032">
        <f t="shared" si="135"/>
        <v>0</v>
      </c>
    </row>
    <row r="737" spans="2:14" ht="15" customHeight="1">
      <c r="B737" s="1013">
        <f>SUBTOTAL(3,$I$310:I737)</f>
        <v>292</v>
      </c>
      <c r="C737" s="627" t="s">
        <v>653</v>
      </c>
      <c r="D737" s="627"/>
      <c r="E737" s="627"/>
      <c r="F737" s="627"/>
      <c r="G737" s="627" t="str">
        <f t="shared" si="136"/>
        <v xml:space="preserve"> </v>
      </c>
      <c r="H737" s="608">
        <v>0.15</v>
      </c>
      <c r="I737" s="614">
        <f>IFERROR((ROUNDUP($AA$151*H737/310*1000,0))*0.33,0)</f>
        <v>0</v>
      </c>
      <c r="J737" s="1013" t="s">
        <v>183</v>
      </c>
      <c r="K737" s="610"/>
      <c r="L737" s="610">
        <f t="shared" si="137"/>
        <v>0</v>
      </c>
      <c r="N737" s="1032">
        <f t="shared" si="135"/>
        <v>0</v>
      </c>
    </row>
    <row r="738" spans="2:14" ht="15" customHeight="1">
      <c r="B738" s="1013">
        <f>SUBTOTAL(3,$I$310:I738)</f>
        <v>293</v>
      </c>
      <c r="C738" s="627" t="e">
        <f>БРМ_НИЗ</f>
        <v>#N/A</v>
      </c>
      <c r="D738" s="627"/>
      <c r="E738" s="627"/>
      <c r="F738" s="627"/>
      <c r="G738" s="627" t="str">
        <f>" "</f>
        <v xml:space="preserve"> </v>
      </c>
      <c r="H738" s="608">
        <v>1.1499999999999999</v>
      </c>
      <c r="I738" s="609">
        <f>IFERROR(ROUNDUP($Z$151*H738,0),0)</f>
        <v>0</v>
      </c>
      <c r="J738" s="1013" t="s">
        <v>112</v>
      </c>
      <c r="K738" s="610"/>
      <c r="L738" s="610">
        <f t="shared" si="137"/>
        <v>0</v>
      </c>
      <c r="N738" s="1032">
        <f t="shared" si="135"/>
        <v>0</v>
      </c>
    </row>
    <row r="739" spans="2:14" ht="15" customHeight="1">
      <c r="B739" s="1013">
        <f>SUBTOTAL(3,$I$310:I739)</f>
        <v>294</v>
      </c>
      <c r="C739" s="627" t="e">
        <f>БРМ_ВЕРХ</f>
        <v>#N/A</v>
      </c>
      <c r="D739" s="627"/>
      <c r="E739" s="627"/>
      <c r="F739" s="627"/>
      <c r="G739" s="627" t="str">
        <f>" "</f>
        <v xml:space="preserve"> </v>
      </c>
      <c r="H739" s="608">
        <v>1.1499999999999999</v>
      </c>
      <c r="I739" s="609">
        <f>IFERROR(ROUNDUP($Y$151*H739,0),0)</f>
        <v>0</v>
      </c>
      <c r="J739" s="1013" t="s">
        <v>112</v>
      </c>
      <c r="K739" s="610"/>
      <c r="L739" s="610">
        <f t="shared" si="137"/>
        <v>0</v>
      </c>
      <c r="N739" s="1032">
        <f t="shared" si="135"/>
        <v>0</v>
      </c>
    </row>
    <row r="740" spans="2:14" ht="15" customHeight="1">
      <c r="B740" s="1013">
        <f>SUBTOTAL(3,$I$310:I740)</f>
        <v>295</v>
      </c>
      <c r="C740" s="627" t="s">
        <v>337</v>
      </c>
      <c r="D740" s="627"/>
      <c r="E740" s="627"/>
      <c r="F740" s="627">
        <f>$AG$151</f>
        <v>0</v>
      </c>
      <c r="G740" s="627" t="s">
        <v>150</v>
      </c>
      <c r="H740" s="608" t="str">
        <f>" "</f>
        <v xml:space="preserve"> </v>
      </c>
      <c r="I740" s="611">
        <f>IFERROR($AH$151,0)</f>
        <v>0</v>
      </c>
      <c r="J740" s="1013" t="s">
        <v>190</v>
      </c>
      <c r="K740" s="610"/>
      <c r="L740" s="610">
        <f t="shared" si="137"/>
        <v>0</v>
      </c>
      <c r="N740" s="1032">
        <f t="shared" si="135"/>
        <v>0</v>
      </c>
    </row>
    <row r="741" spans="2:14" ht="15" customHeight="1">
      <c r="B741" s="685"/>
      <c r="C741" s="627"/>
      <c r="D741" s="627"/>
      <c r="E741" s="627"/>
      <c r="F741" s="627"/>
      <c r="G741" s="627"/>
      <c r="H741" s="608"/>
      <c r="I741" s="611"/>
      <c r="J741" s="1013"/>
      <c r="K741" s="610"/>
      <c r="L741" s="610">
        <f t="shared" si="137"/>
        <v>0</v>
      </c>
      <c r="N741" s="1032">
        <f t="shared" si="135"/>
        <v>0</v>
      </c>
    </row>
    <row r="742" spans="2:14" ht="15" customHeight="1">
      <c r="B742" s="1013">
        <f>SUBTOTAL(3,$I$310:I742)</f>
        <v>296</v>
      </c>
      <c r="C742" s="627" t="s">
        <v>268</v>
      </c>
      <c r="D742" s="627"/>
      <c r="E742" s="627"/>
      <c r="F742" s="627">
        <f>$AI$151</f>
        <v>0</v>
      </c>
      <c r="G742" s="627" t="s">
        <v>150</v>
      </c>
      <c r="H742" s="608" t="str">
        <f>" "</f>
        <v xml:space="preserve"> </v>
      </c>
      <c r="I742" s="611">
        <f>IFERROR($AJ$151,0)</f>
        <v>0</v>
      </c>
      <c r="J742" s="1013" t="s">
        <v>190</v>
      </c>
      <c r="K742" s="610"/>
      <c r="L742" s="610">
        <f t="shared" si="137"/>
        <v>0</v>
      </c>
      <c r="N742" s="1032">
        <f t="shared" si="135"/>
        <v>0</v>
      </c>
    </row>
    <row r="743" spans="2:14" ht="15" customHeight="1">
      <c r="B743" s="1013">
        <f>SUBTOTAL(3,$I$310:I743)</f>
        <v>297</v>
      </c>
      <c r="C743" s="627">
        <f>$W$151</f>
        <v>0</v>
      </c>
      <c r="D743" s="627"/>
      <c r="E743" s="627"/>
      <c r="F743" s="627">
        <f>$V$151</f>
        <v>0</v>
      </c>
      <c r="G743" s="627" t="s">
        <v>150</v>
      </c>
      <c r="H743" s="608">
        <v>1.03</v>
      </c>
      <c r="I743" s="609">
        <f>$AF$151</f>
        <v>0</v>
      </c>
      <c r="J743" s="1013" t="s">
        <v>178</v>
      </c>
      <c r="K743" s="610"/>
      <c r="L743" s="610">
        <f t="shared" si="137"/>
        <v>0</v>
      </c>
      <c r="N743" s="1032">
        <f t="shared" si="135"/>
        <v>0</v>
      </c>
    </row>
    <row r="744" spans="2:14" ht="30" customHeight="1">
      <c r="B744" s="691"/>
      <c r="C744" s="1183" t="str">
        <f>CONCATENATE($P$152,$AE$9,$T$152,$AF$9)</f>
        <v>. Общая длина примыкания-  м.</v>
      </c>
      <c r="D744" s="1183"/>
      <c r="E744" s="1183"/>
      <c r="F744" s="1183"/>
      <c r="G744" s="1183"/>
      <c r="H744" s="1184"/>
      <c r="I744" s="1184"/>
      <c r="J744" s="1184"/>
      <c r="K744" s="1185"/>
      <c r="L744" s="684">
        <f>SUM(L745:L758)</f>
        <v>0</v>
      </c>
      <c r="N744" s="1032">
        <f>IF(SUM(I745:I758)&gt;0,1,0)</f>
        <v>0</v>
      </c>
    </row>
    <row r="745" spans="2:14" ht="15" customHeight="1">
      <c r="B745" s="1013"/>
      <c r="C745" s="627"/>
      <c r="D745" s="627"/>
      <c r="E745" s="627"/>
      <c r="F745" s="627"/>
      <c r="G745" s="627"/>
      <c r="H745" s="608"/>
      <c r="I745" s="611"/>
      <c r="J745" s="1013"/>
      <c r="K745" s="610"/>
      <c r="L745" s="610">
        <f>IFERROR(I745*K745,0)</f>
        <v>0</v>
      </c>
      <c r="N745" s="1032">
        <f t="shared" ref="N745:N758" si="138">IF(I745&gt;0,1,0)</f>
        <v>0</v>
      </c>
    </row>
    <row r="746" spans="2:14" ht="15" customHeight="1">
      <c r="B746" s="1013">
        <f>SUBTOTAL(3,$I$310:I746)</f>
        <v>298</v>
      </c>
      <c r="C746" s="627" t="s">
        <v>652</v>
      </c>
      <c r="D746" s="627"/>
      <c r="E746" s="627"/>
      <c r="F746" s="627"/>
      <c r="G746" s="627" t="str">
        <f t="shared" ref="G746:G752" si="139">" "</f>
        <v xml:space="preserve"> </v>
      </c>
      <c r="H746" s="608">
        <v>1.03</v>
      </c>
      <c r="I746" s="614">
        <f>IFERROR(ROUNDUP($AA$152*H746,2),0)</f>
        <v>0</v>
      </c>
      <c r="J746" s="1013" t="s">
        <v>264</v>
      </c>
      <c r="K746" s="610"/>
      <c r="L746" s="610">
        <f>IFERROR(I746*K746,0)</f>
        <v>0</v>
      </c>
      <c r="N746" s="1032">
        <f t="shared" si="138"/>
        <v>0</v>
      </c>
    </row>
    <row r="747" spans="2:14" ht="15" customHeight="1">
      <c r="B747" s="685"/>
      <c r="C747" s="627"/>
      <c r="D747" s="627"/>
      <c r="E747" s="627"/>
      <c r="F747" s="627"/>
      <c r="G747" s="627"/>
      <c r="H747" s="608"/>
      <c r="I747" s="611"/>
      <c r="J747" s="1013"/>
      <c r="K747" s="610"/>
      <c r="L747" s="610">
        <f t="shared" ref="L747:L758" si="140">IFERROR(I747*K747,0)</f>
        <v>0</v>
      </c>
      <c r="N747" s="1032">
        <f t="shared" si="138"/>
        <v>0</v>
      </c>
    </row>
    <row r="748" spans="2:14" ht="15" customHeight="1">
      <c r="B748" s="1013">
        <f>SUBTOTAL(3,$I$310:I748)</f>
        <v>299</v>
      </c>
      <c r="C748" s="627" t="s">
        <v>559</v>
      </c>
      <c r="D748" s="627"/>
      <c r="E748" s="627"/>
      <c r="F748" s="627"/>
      <c r="G748" s="627" t="str">
        <f t="shared" si="139"/>
        <v xml:space="preserve"> </v>
      </c>
      <c r="H748" s="608">
        <v>5</v>
      </c>
      <c r="I748" s="611">
        <f>IFERROR($AB$152*H748*1.03,0)</f>
        <v>0</v>
      </c>
      <c r="J748" s="1013" t="s">
        <v>151</v>
      </c>
      <c r="K748" s="610"/>
      <c r="L748" s="610">
        <f t="shared" si="140"/>
        <v>0</v>
      </c>
      <c r="N748" s="1032">
        <f t="shared" si="138"/>
        <v>0</v>
      </c>
    </row>
    <row r="749" spans="2:14" ht="15" customHeight="1">
      <c r="B749" s="1013">
        <f>SUBTOTAL(3,$I$310:I749)</f>
        <v>300</v>
      </c>
      <c r="C749" s="627" t="s">
        <v>189</v>
      </c>
      <c r="D749" s="627"/>
      <c r="E749" s="627"/>
      <c r="F749" s="627"/>
      <c r="G749" s="627" t="str">
        <f t="shared" si="139"/>
        <v xml:space="preserve"> </v>
      </c>
      <c r="H749" s="608">
        <v>5</v>
      </c>
      <c r="I749" s="611">
        <f>IFERROR($AD$152,0)</f>
        <v>0</v>
      </c>
      <c r="J749" s="1013" t="s">
        <v>151</v>
      </c>
      <c r="K749" s="610"/>
      <c r="L749" s="610">
        <f t="shared" si="140"/>
        <v>0</v>
      </c>
      <c r="N749" s="1032">
        <f t="shared" si="138"/>
        <v>0</v>
      </c>
    </row>
    <row r="750" spans="2:14" ht="15" customHeight="1">
      <c r="B750" s="1013">
        <f>SUBTOTAL(3,$I$310:I750)</f>
        <v>301</v>
      </c>
      <c r="C750" s="627" t="s">
        <v>1459</v>
      </c>
      <c r="D750" s="627"/>
      <c r="E750" s="627"/>
      <c r="F750" s="627"/>
      <c r="G750" s="627" t="str">
        <f t="shared" si="139"/>
        <v xml:space="preserve"> </v>
      </c>
      <c r="H750" s="608">
        <v>5</v>
      </c>
      <c r="I750" s="611">
        <f>IFERROR($AC$152*H750*1.03,0)</f>
        <v>0</v>
      </c>
      <c r="J750" s="1013" t="s">
        <v>151</v>
      </c>
      <c r="K750" s="610"/>
      <c r="L750" s="610">
        <f t="shared" si="140"/>
        <v>0</v>
      </c>
      <c r="N750" s="1032">
        <f t="shared" si="138"/>
        <v>0</v>
      </c>
    </row>
    <row r="751" spans="2:14" ht="15" customHeight="1">
      <c r="B751" s="1013">
        <f>SUBTOTAL(3,$I$310:I751)</f>
        <v>302</v>
      </c>
      <c r="C751" s="627" t="s">
        <v>182</v>
      </c>
      <c r="D751" s="627"/>
      <c r="E751" s="627"/>
      <c r="F751" s="627"/>
      <c r="G751" s="627" t="str">
        <f t="shared" si="139"/>
        <v xml:space="preserve"> </v>
      </c>
      <c r="H751" s="608">
        <v>0.25</v>
      </c>
      <c r="I751" s="609">
        <f>IFERROR(ROUNDUP($AE$152*H751,0),0)</f>
        <v>0</v>
      </c>
      <c r="J751" s="1013" t="s">
        <v>183</v>
      </c>
      <c r="K751" s="610"/>
      <c r="L751" s="610">
        <f t="shared" si="140"/>
        <v>0</v>
      </c>
      <c r="N751" s="1032">
        <f t="shared" si="138"/>
        <v>0</v>
      </c>
    </row>
    <row r="752" spans="2:14" ht="15" customHeight="1">
      <c r="B752" s="1013">
        <f>SUBTOTAL(3,$I$310:I752)</f>
        <v>303</v>
      </c>
      <c r="C752" s="627" t="s">
        <v>653</v>
      </c>
      <c r="D752" s="627"/>
      <c r="E752" s="627"/>
      <c r="F752" s="627"/>
      <c r="G752" s="627" t="str">
        <f t="shared" si="139"/>
        <v xml:space="preserve"> </v>
      </c>
      <c r="H752" s="608">
        <v>0.15</v>
      </c>
      <c r="I752" s="614">
        <f>IFERROR((ROUNDUP($AA$152*H752/310*1000,0))*0.33,0)</f>
        <v>0</v>
      </c>
      <c r="J752" s="1013" t="s">
        <v>183</v>
      </c>
      <c r="K752" s="610"/>
      <c r="L752" s="610">
        <f t="shared" si="140"/>
        <v>0</v>
      </c>
      <c r="N752" s="1032">
        <f t="shared" si="138"/>
        <v>0</v>
      </c>
    </row>
    <row r="753" spans="2:14" ht="15" customHeight="1">
      <c r="B753" s="1013">
        <f>SUBTOTAL(3,$I$310:I753)</f>
        <v>304</v>
      </c>
      <c r="C753" s="627" t="e">
        <f>БРМ_НИЗ</f>
        <v>#N/A</v>
      </c>
      <c r="D753" s="627"/>
      <c r="E753" s="627"/>
      <c r="F753" s="627"/>
      <c r="G753" s="627" t="str">
        <f>" "</f>
        <v xml:space="preserve"> </v>
      </c>
      <c r="H753" s="608">
        <v>1.1499999999999999</v>
      </c>
      <c r="I753" s="609">
        <f>IFERROR(ROUNDUP($Z$152*H753,0),0)</f>
        <v>0</v>
      </c>
      <c r="J753" s="1013" t="s">
        <v>112</v>
      </c>
      <c r="K753" s="610"/>
      <c r="L753" s="610">
        <f t="shared" si="140"/>
        <v>0</v>
      </c>
      <c r="N753" s="1032">
        <f t="shared" si="138"/>
        <v>0</v>
      </c>
    </row>
    <row r="754" spans="2:14" ht="15" customHeight="1">
      <c r="B754" s="1013">
        <f>SUBTOTAL(3,$I$310:I754)</f>
        <v>305</v>
      </c>
      <c r="C754" s="627" t="e">
        <f>БРМ_ВЕРХ</f>
        <v>#N/A</v>
      </c>
      <c r="D754" s="627"/>
      <c r="E754" s="627"/>
      <c r="F754" s="627"/>
      <c r="G754" s="627" t="str">
        <f>" "</f>
        <v xml:space="preserve"> </v>
      </c>
      <c r="H754" s="608">
        <v>1.1499999999999999</v>
      </c>
      <c r="I754" s="609">
        <f>IFERROR(ROUNDUP($Y$152*H754,0),0)</f>
        <v>0</v>
      </c>
      <c r="J754" s="1013" t="s">
        <v>112</v>
      </c>
      <c r="K754" s="610"/>
      <c r="L754" s="610">
        <f t="shared" si="140"/>
        <v>0</v>
      </c>
      <c r="N754" s="1032">
        <f t="shared" si="138"/>
        <v>0</v>
      </c>
    </row>
    <row r="755" spans="2:14" ht="15" customHeight="1">
      <c r="B755" s="1013">
        <f>SUBTOTAL(3,$I$310:I755)</f>
        <v>306</v>
      </c>
      <c r="C755" s="627" t="s">
        <v>337</v>
      </c>
      <c r="D755" s="627"/>
      <c r="E755" s="627"/>
      <c r="F755" s="627">
        <f>$AG$152</f>
        <v>0</v>
      </c>
      <c r="G755" s="627" t="s">
        <v>150</v>
      </c>
      <c r="H755" s="608" t="str">
        <f>" "</f>
        <v xml:space="preserve"> </v>
      </c>
      <c r="I755" s="611">
        <f>IFERROR($AH$152,0)</f>
        <v>0</v>
      </c>
      <c r="J755" s="1013" t="s">
        <v>190</v>
      </c>
      <c r="K755" s="610"/>
      <c r="L755" s="610">
        <f t="shared" si="140"/>
        <v>0</v>
      </c>
      <c r="N755" s="1032">
        <f t="shared" si="138"/>
        <v>0</v>
      </c>
    </row>
    <row r="756" spans="2:14" ht="15" customHeight="1">
      <c r="B756" s="685"/>
      <c r="C756" s="627"/>
      <c r="D756" s="627"/>
      <c r="E756" s="627"/>
      <c r="F756" s="627"/>
      <c r="G756" s="627"/>
      <c r="H756" s="608"/>
      <c r="I756" s="611"/>
      <c r="J756" s="1013"/>
      <c r="K756" s="610"/>
      <c r="L756" s="610">
        <f t="shared" si="140"/>
        <v>0</v>
      </c>
      <c r="N756" s="1032">
        <f t="shared" si="138"/>
        <v>0</v>
      </c>
    </row>
    <row r="757" spans="2:14" ht="15" customHeight="1">
      <c r="B757" s="1013">
        <f>SUBTOTAL(3,$I$310:I757)</f>
        <v>307</v>
      </c>
      <c r="C757" s="627" t="s">
        <v>268</v>
      </c>
      <c r="D757" s="627"/>
      <c r="E757" s="627"/>
      <c r="F757" s="627">
        <f>$AI$152</f>
        <v>0</v>
      </c>
      <c r="G757" s="627" t="s">
        <v>150</v>
      </c>
      <c r="H757" s="608" t="str">
        <f>" "</f>
        <v xml:space="preserve"> </v>
      </c>
      <c r="I757" s="611">
        <f>IFERROR($AJ$152,0)</f>
        <v>0</v>
      </c>
      <c r="J757" s="1013" t="s">
        <v>190</v>
      </c>
      <c r="K757" s="610"/>
      <c r="L757" s="610">
        <f t="shared" si="140"/>
        <v>0</v>
      </c>
      <c r="N757" s="1032">
        <f t="shared" si="138"/>
        <v>0</v>
      </c>
    </row>
    <row r="758" spans="2:14" ht="15" customHeight="1">
      <c r="B758" s="1013">
        <f>SUBTOTAL(3,$I$310:I758)</f>
        <v>308</v>
      </c>
      <c r="C758" s="627">
        <f>$W$152</f>
        <v>0</v>
      </c>
      <c r="D758" s="627"/>
      <c r="E758" s="627"/>
      <c r="F758" s="627">
        <f>$V$152</f>
        <v>0</v>
      </c>
      <c r="G758" s="627" t="s">
        <v>150</v>
      </c>
      <c r="H758" s="608">
        <v>1.03</v>
      </c>
      <c r="I758" s="609">
        <f>$AF$152</f>
        <v>0</v>
      </c>
      <c r="J758" s="1013" t="s">
        <v>178</v>
      </c>
      <c r="K758" s="610"/>
      <c r="L758" s="610">
        <f t="shared" si="140"/>
        <v>0</v>
      </c>
      <c r="N758" s="1032">
        <f t="shared" si="138"/>
        <v>0</v>
      </c>
    </row>
    <row r="759" spans="2:14" ht="30" customHeight="1">
      <c r="B759" s="691"/>
      <c r="C759" s="1183" t="str">
        <f>CONCATENATE($R$156,$AE$9,$T$156,$AF$9)</f>
        <v>. Общая длина примыкания-  м.</v>
      </c>
      <c r="D759" s="1183"/>
      <c r="E759" s="1183"/>
      <c r="F759" s="1183"/>
      <c r="G759" s="1183"/>
      <c r="H759" s="1184"/>
      <c r="I759" s="1184"/>
      <c r="J759" s="1184"/>
      <c r="K759" s="1185"/>
      <c r="L759" s="684">
        <f>SUM(L760:L773)</f>
        <v>0</v>
      </c>
      <c r="N759" s="1032">
        <f>IF(SUM(I760:I773)&gt;0,1,0)</f>
        <v>0</v>
      </c>
    </row>
    <row r="760" spans="2:14" ht="15" customHeight="1">
      <c r="B760" s="1013"/>
      <c r="C760" s="627"/>
      <c r="D760" s="627"/>
      <c r="E760" s="627"/>
      <c r="F760" s="627"/>
      <c r="G760" s="627"/>
      <c r="H760" s="608"/>
      <c r="I760" s="611"/>
      <c r="J760" s="1013"/>
      <c r="K760" s="610"/>
      <c r="L760" s="610">
        <f>IFERROR(I760*K760,0)</f>
        <v>0</v>
      </c>
      <c r="N760" s="1032">
        <f t="shared" ref="N760:N773" si="141">IF(I760&gt;0,1,0)</f>
        <v>0</v>
      </c>
    </row>
    <row r="761" spans="2:14" ht="15" customHeight="1">
      <c r="B761" s="685"/>
      <c r="C761" s="627"/>
      <c r="D761" s="627"/>
      <c r="E761" s="627"/>
      <c r="F761" s="627"/>
      <c r="G761" s="627"/>
      <c r="H761" s="608"/>
      <c r="I761" s="611"/>
      <c r="J761" s="1013"/>
      <c r="K761" s="610"/>
      <c r="L761" s="610">
        <f>IFERROR(I761*K761,0)</f>
        <v>0</v>
      </c>
      <c r="N761" s="1032">
        <f t="shared" si="141"/>
        <v>0</v>
      </c>
    </row>
    <row r="762" spans="2:14" ht="15" customHeight="1">
      <c r="B762" s="685"/>
      <c r="C762" s="627"/>
      <c r="D762" s="627"/>
      <c r="E762" s="627"/>
      <c r="F762" s="627"/>
      <c r="G762" s="627"/>
      <c r="H762" s="608"/>
      <c r="I762" s="611"/>
      <c r="J762" s="1013"/>
      <c r="K762" s="610"/>
      <c r="L762" s="610">
        <f t="shared" ref="L762:L773" si="142">IFERROR(I762*K762,0)</f>
        <v>0</v>
      </c>
      <c r="N762" s="1032">
        <f t="shared" si="141"/>
        <v>0</v>
      </c>
    </row>
    <row r="763" spans="2:14" ht="15" customHeight="1">
      <c r="B763" s="685"/>
      <c r="C763" s="627"/>
      <c r="D763" s="627"/>
      <c r="E763" s="627"/>
      <c r="F763" s="627"/>
      <c r="G763" s="627"/>
      <c r="H763" s="608"/>
      <c r="I763" s="611"/>
      <c r="J763" s="1013"/>
      <c r="K763" s="610"/>
      <c r="L763" s="610">
        <f t="shared" si="142"/>
        <v>0</v>
      </c>
      <c r="N763" s="1032">
        <f t="shared" si="141"/>
        <v>0</v>
      </c>
    </row>
    <row r="764" spans="2:14" ht="15" customHeight="1">
      <c r="B764" s="685"/>
      <c r="C764" s="627"/>
      <c r="D764" s="627"/>
      <c r="E764" s="627"/>
      <c r="F764" s="627"/>
      <c r="G764" s="627"/>
      <c r="H764" s="608"/>
      <c r="I764" s="611"/>
      <c r="J764" s="1013"/>
      <c r="K764" s="610"/>
      <c r="L764" s="610">
        <f t="shared" si="142"/>
        <v>0</v>
      </c>
      <c r="N764" s="1032">
        <f t="shared" si="141"/>
        <v>0</v>
      </c>
    </row>
    <row r="765" spans="2:14" ht="15" customHeight="1">
      <c r="B765" s="685"/>
      <c r="C765" s="627"/>
      <c r="D765" s="627"/>
      <c r="E765" s="627"/>
      <c r="F765" s="627"/>
      <c r="G765" s="627"/>
      <c r="H765" s="608"/>
      <c r="I765" s="611"/>
      <c r="J765" s="1013"/>
      <c r="K765" s="610"/>
      <c r="L765" s="610">
        <f t="shared" si="142"/>
        <v>0</v>
      </c>
      <c r="N765" s="1032">
        <f t="shared" si="141"/>
        <v>0</v>
      </c>
    </row>
    <row r="766" spans="2:14" ht="15" customHeight="1">
      <c r="B766" s="685"/>
      <c r="C766" s="627"/>
      <c r="D766" s="627"/>
      <c r="E766" s="627"/>
      <c r="F766" s="627"/>
      <c r="G766" s="627"/>
      <c r="H766" s="608"/>
      <c r="I766" s="609"/>
      <c r="J766" s="1013"/>
      <c r="K766" s="610"/>
      <c r="L766" s="610">
        <f t="shared" si="142"/>
        <v>0</v>
      </c>
      <c r="N766" s="1032">
        <f t="shared" si="141"/>
        <v>0</v>
      </c>
    </row>
    <row r="767" spans="2:14" ht="15" customHeight="1">
      <c r="B767" s="685"/>
      <c r="C767" s="627"/>
      <c r="D767" s="627"/>
      <c r="E767" s="627"/>
      <c r="F767" s="627"/>
      <c r="G767" s="627"/>
      <c r="H767" s="608"/>
      <c r="I767" s="611"/>
      <c r="J767" s="1013"/>
      <c r="K767" s="610"/>
      <c r="L767" s="610">
        <f t="shared" si="142"/>
        <v>0</v>
      </c>
      <c r="N767" s="1032">
        <f t="shared" si="141"/>
        <v>0</v>
      </c>
    </row>
    <row r="768" spans="2:14" ht="15" customHeight="1">
      <c r="B768" s="1013">
        <f>SUBTOTAL(3,$I$310:I768)</f>
        <v>309</v>
      </c>
      <c r="C768" s="627" t="e">
        <f>БРМ_НИЗ</f>
        <v>#N/A</v>
      </c>
      <c r="D768" s="627"/>
      <c r="E768" s="627"/>
      <c r="F768" s="627"/>
      <c r="G768" s="627" t="str">
        <f>" "</f>
        <v xml:space="preserve"> </v>
      </c>
      <c r="H768" s="608">
        <v>1.1499999999999999</v>
      </c>
      <c r="I768" s="609">
        <f>IFERROR(ROUNDUP($Z$156*H768,0),0)</f>
        <v>0</v>
      </c>
      <c r="J768" s="1013" t="s">
        <v>112</v>
      </c>
      <c r="K768" s="610"/>
      <c r="L768" s="610">
        <f t="shared" si="142"/>
        <v>0</v>
      </c>
      <c r="N768" s="1032">
        <f t="shared" si="141"/>
        <v>0</v>
      </c>
    </row>
    <row r="769" spans="2:14" ht="15" customHeight="1">
      <c r="B769" s="685"/>
      <c r="C769" s="627"/>
      <c r="D769" s="627"/>
      <c r="E769" s="627"/>
      <c r="F769" s="627"/>
      <c r="G769" s="627"/>
      <c r="H769" s="608"/>
      <c r="I769" s="609"/>
      <c r="J769" s="1013"/>
      <c r="K769" s="610"/>
      <c r="L769" s="610">
        <f t="shared" si="142"/>
        <v>0</v>
      </c>
      <c r="N769" s="1032">
        <f t="shared" si="141"/>
        <v>0</v>
      </c>
    </row>
    <row r="770" spans="2:14" ht="15" customHeight="1">
      <c r="B770" s="685"/>
      <c r="C770" s="627"/>
      <c r="D770" s="627"/>
      <c r="E770" s="627"/>
      <c r="F770" s="627"/>
      <c r="G770" s="627"/>
      <c r="H770" s="608"/>
      <c r="I770" s="611"/>
      <c r="J770" s="1013"/>
      <c r="K770" s="610"/>
      <c r="L770" s="610">
        <f t="shared" si="142"/>
        <v>0</v>
      </c>
      <c r="N770" s="1032">
        <f t="shared" si="141"/>
        <v>0</v>
      </c>
    </row>
    <row r="771" spans="2:14" ht="15" customHeight="1">
      <c r="B771" s="685"/>
      <c r="C771" s="627"/>
      <c r="D771" s="627"/>
      <c r="E771" s="627"/>
      <c r="F771" s="627"/>
      <c r="G771" s="627"/>
      <c r="H771" s="608"/>
      <c r="I771" s="611"/>
      <c r="J771" s="1013"/>
      <c r="K771" s="610"/>
      <c r="L771" s="610">
        <f t="shared" si="142"/>
        <v>0</v>
      </c>
      <c r="N771" s="1032">
        <f t="shared" si="141"/>
        <v>0</v>
      </c>
    </row>
    <row r="772" spans="2:14" ht="15" customHeight="1">
      <c r="B772" s="685"/>
      <c r="C772" s="627"/>
      <c r="D772" s="627"/>
      <c r="E772" s="627"/>
      <c r="F772" s="627"/>
      <c r="G772" s="627"/>
      <c r="H772" s="608"/>
      <c r="I772" s="611"/>
      <c r="J772" s="1013"/>
      <c r="K772" s="610"/>
      <c r="L772" s="610">
        <f t="shared" si="142"/>
        <v>0</v>
      </c>
      <c r="N772" s="1032">
        <f t="shared" si="141"/>
        <v>0</v>
      </c>
    </row>
    <row r="773" spans="2:14" ht="15" customHeight="1">
      <c r="B773" s="685"/>
      <c r="C773" s="627"/>
      <c r="D773" s="627"/>
      <c r="E773" s="627"/>
      <c r="F773" s="627"/>
      <c r="G773" s="627"/>
      <c r="H773" s="608"/>
      <c r="I773" s="609"/>
      <c r="J773" s="1013"/>
      <c r="K773" s="610"/>
      <c r="L773" s="610">
        <f t="shared" si="142"/>
        <v>0</v>
      </c>
      <c r="N773" s="1032">
        <f t="shared" si="141"/>
        <v>0</v>
      </c>
    </row>
    <row r="774" spans="2:14" ht="30" customHeight="1">
      <c r="B774" s="691"/>
      <c r="C774" s="1183" t="str">
        <f>$P$160</f>
        <v xml:space="preserve"> </v>
      </c>
      <c r="D774" s="1183"/>
      <c r="E774" s="1183"/>
      <c r="F774" s="1183"/>
      <c r="G774" s="1183"/>
      <c r="H774" s="1184"/>
      <c r="I774" s="1184"/>
      <c r="J774" s="1184"/>
      <c r="K774" s="1185"/>
      <c r="L774" s="684">
        <f>SUM(L775:L788)</f>
        <v>0</v>
      </c>
      <c r="N774" s="1032">
        <f>IF(SUM(I775:I788)&gt;0,1,0)</f>
        <v>0</v>
      </c>
    </row>
    <row r="775" spans="2:14" ht="15" customHeight="1">
      <c r="B775" s="1013"/>
      <c r="C775" s="627"/>
      <c r="D775" s="627"/>
      <c r="E775" s="627"/>
      <c r="F775" s="627"/>
      <c r="G775" s="627"/>
      <c r="H775" s="608"/>
      <c r="I775" s="611"/>
      <c r="J775" s="1013"/>
      <c r="K775" s="610"/>
      <c r="L775" s="610">
        <f>IFERROR(I775*K775,0)</f>
        <v>0</v>
      </c>
      <c r="N775" s="1032">
        <f t="shared" ref="N775:N788" si="143">IF(I775&gt;0,1,0)</f>
        <v>0</v>
      </c>
    </row>
    <row r="776" spans="2:14" ht="15" customHeight="1">
      <c r="B776" s="1013">
        <f>SUBTOTAL(3,$I$310:I776)</f>
        <v>310</v>
      </c>
      <c r="C776" s="627" t="s">
        <v>652</v>
      </c>
      <c r="D776" s="627"/>
      <c r="E776" s="627"/>
      <c r="F776" s="627"/>
      <c r="G776" s="627" t="str">
        <f t="shared" ref="G776:G782" si="144">" "</f>
        <v xml:space="preserve"> </v>
      </c>
      <c r="H776" s="608">
        <v>1.03</v>
      </c>
      <c r="I776" s="614">
        <f>IFERROR(ROUNDUP($S$161*H776,2),0)</f>
        <v>0</v>
      </c>
      <c r="J776" s="1013" t="s">
        <v>264</v>
      </c>
      <c r="K776" s="610"/>
      <c r="L776" s="610">
        <f>IFERROR(I776*K776,0)</f>
        <v>0</v>
      </c>
      <c r="N776" s="1032">
        <f t="shared" si="143"/>
        <v>0</v>
      </c>
    </row>
    <row r="777" spans="2:14" ht="15" customHeight="1">
      <c r="B777" s="1013">
        <f>SUBTOTAL(3,$I$310:I777)</f>
        <v>311</v>
      </c>
      <c r="C777" s="627" t="s">
        <v>651</v>
      </c>
      <c r="D777" s="627"/>
      <c r="E777" s="627"/>
      <c r="F777" s="627"/>
      <c r="G777" s="627" t="str">
        <f t="shared" si="144"/>
        <v xml:space="preserve"> </v>
      </c>
      <c r="H777" s="608">
        <v>1.03</v>
      </c>
      <c r="I777" s="614">
        <f>IFERROR(ROUNDUP($S$162*H777,2),0)</f>
        <v>0</v>
      </c>
      <c r="J777" s="1013" t="s">
        <v>264</v>
      </c>
      <c r="K777" s="610"/>
      <c r="L777" s="610">
        <f t="shared" ref="L777:L788" si="145">IFERROR(I777*K777,0)</f>
        <v>0</v>
      </c>
      <c r="N777" s="1032">
        <f t="shared" si="143"/>
        <v>0</v>
      </c>
    </row>
    <row r="778" spans="2:14" ht="15" customHeight="1">
      <c r="B778" s="1013">
        <f>SUBTOTAL(3,$I$310:I778)</f>
        <v>312</v>
      </c>
      <c r="C778" s="627" t="s">
        <v>559</v>
      </c>
      <c r="D778" s="627"/>
      <c r="E778" s="627"/>
      <c r="F778" s="627"/>
      <c r="G778" s="627" t="str">
        <f t="shared" si="144"/>
        <v xml:space="preserve"> </v>
      </c>
      <c r="H778" s="608">
        <v>5</v>
      </c>
      <c r="I778" s="611">
        <f>IFERROR($Q$163*H778*1.03,0)</f>
        <v>0</v>
      </c>
      <c r="J778" s="1013" t="s">
        <v>151</v>
      </c>
      <c r="K778" s="610"/>
      <c r="L778" s="610">
        <f t="shared" si="145"/>
        <v>0</v>
      </c>
      <c r="N778" s="1032">
        <f t="shared" si="143"/>
        <v>0</v>
      </c>
    </row>
    <row r="779" spans="2:14" ht="15" customHeight="1">
      <c r="B779" s="1013">
        <f>SUBTOTAL(3,$I$310:I779)</f>
        <v>313</v>
      </c>
      <c r="C779" s="627" t="s">
        <v>189</v>
      </c>
      <c r="D779" s="627"/>
      <c r="E779" s="627"/>
      <c r="F779" s="627"/>
      <c r="G779" s="627" t="str">
        <f t="shared" si="144"/>
        <v xml:space="preserve"> </v>
      </c>
      <c r="H779" s="608">
        <v>5</v>
      </c>
      <c r="I779" s="611">
        <f>IFERROR($U$161,0)</f>
        <v>0</v>
      </c>
      <c r="J779" s="1013" t="s">
        <v>151</v>
      </c>
      <c r="K779" s="610"/>
      <c r="L779" s="610">
        <f t="shared" si="145"/>
        <v>0</v>
      </c>
      <c r="N779" s="1032">
        <f t="shared" si="143"/>
        <v>0</v>
      </c>
    </row>
    <row r="780" spans="2:14" ht="15" customHeight="1">
      <c r="B780" s="1013">
        <f>SUBTOTAL(3,$I$310:I780)</f>
        <v>314</v>
      </c>
      <c r="C780" s="627" t="s">
        <v>1459</v>
      </c>
      <c r="D780" s="627"/>
      <c r="E780" s="627"/>
      <c r="F780" s="627"/>
      <c r="G780" s="627" t="str">
        <f t="shared" si="144"/>
        <v xml:space="preserve"> </v>
      </c>
      <c r="H780" s="608">
        <v>5</v>
      </c>
      <c r="I780" s="611">
        <f>IFERROR($S$163*H780*1.03,0)</f>
        <v>0</v>
      </c>
      <c r="J780" s="1013" t="s">
        <v>151</v>
      </c>
      <c r="K780" s="610"/>
      <c r="L780" s="610">
        <f t="shared" si="145"/>
        <v>0</v>
      </c>
      <c r="N780" s="1032">
        <f t="shared" si="143"/>
        <v>0</v>
      </c>
    </row>
    <row r="781" spans="2:14" ht="15" customHeight="1">
      <c r="B781" s="1013">
        <f>SUBTOTAL(3,$I$310:I781)</f>
        <v>315</v>
      </c>
      <c r="C781" s="627" t="s">
        <v>182</v>
      </c>
      <c r="D781" s="627"/>
      <c r="E781" s="627"/>
      <c r="F781" s="627"/>
      <c r="G781" s="627" t="str">
        <f t="shared" si="144"/>
        <v xml:space="preserve"> </v>
      </c>
      <c r="H781" s="608">
        <v>0.25</v>
      </c>
      <c r="I781" s="609">
        <f>IFERROR(ROUNDUP($Q$161*H781,0),0)</f>
        <v>0</v>
      </c>
      <c r="J781" s="1013" t="s">
        <v>183</v>
      </c>
      <c r="K781" s="610"/>
      <c r="L781" s="610">
        <f t="shared" si="145"/>
        <v>0</v>
      </c>
      <c r="N781" s="1032">
        <f t="shared" si="143"/>
        <v>0</v>
      </c>
    </row>
    <row r="782" spans="2:14" ht="15" customHeight="1">
      <c r="B782" s="1013">
        <f>SUBTOTAL(3,$I$310:I782)</f>
        <v>316</v>
      </c>
      <c r="C782" s="627" t="s">
        <v>653</v>
      </c>
      <c r="D782" s="627"/>
      <c r="E782" s="627"/>
      <c r="F782" s="627"/>
      <c r="G782" s="627" t="str">
        <f t="shared" si="144"/>
        <v xml:space="preserve"> </v>
      </c>
      <c r="H782" s="608">
        <v>0.15</v>
      </c>
      <c r="I782" s="614">
        <f>IFERROR((ROUNDUP($S$161*H782/310*1000,0))*0.33,0)</f>
        <v>0</v>
      </c>
      <c r="J782" s="1013" t="s">
        <v>183</v>
      </c>
      <c r="K782" s="610"/>
      <c r="L782" s="610">
        <f t="shared" si="145"/>
        <v>0</v>
      </c>
      <c r="N782" s="1032">
        <f t="shared" si="143"/>
        <v>0</v>
      </c>
    </row>
    <row r="783" spans="2:14" ht="15" customHeight="1">
      <c r="B783" s="1013">
        <f>SUBTOTAL(3,$I$310:I783)</f>
        <v>317</v>
      </c>
      <c r="C783" s="627" t="e">
        <f>БРМ_НИЗ</f>
        <v>#N/A</v>
      </c>
      <c r="D783" s="627"/>
      <c r="E783" s="627"/>
      <c r="F783" s="627"/>
      <c r="G783" s="627" t="str">
        <f>" "</f>
        <v xml:space="preserve"> </v>
      </c>
      <c r="H783" s="608">
        <v>1.1499999999999999</v>
      </c>
      <c r="I783" s="609">
        <f>IFERROR(ROUNDUP($Q$162*H783,0),0)</f>
        <v>0</v>
      </c>
      <c r="J783" s="1013" t="s">
        <v>112</v>
      </c>
      <c r="K783" s="610"/>
      <c r="L783" s="610">
        <f t="shared" si="145"/>
        <v>0</v>
      </c>
      <c r="N783" s="1032">
        <f t="shared" si="143"/>
        <v>0</v>
      </c>
    </row>
    <row r="784" spans="2:14" ht="15" customHeight="1">
      <c r="B784" s="1013">
        <f>SUBTOTAL(3,$I$310:I784)</f>
        <v>318</v>
      </c>
      <c r="C784" s="627" t="e">
        <f>БРМ_ВЕРХ</f>
        <v>#N/A</v>
      </c>
      <c r="D784" s="627"/>
      <c r="E784" s="627"/>
      <c r="F784" s="627"/>
      <c r="G784" s="627" t="str">
        <f>" "</f>
        <v xml:space="preserve"> </v>
      </c>
      <c r="H784" s="608">
        <v>1.1499999999999999</v>
      </c>
      <c r="I784" s="609">
        <f>IFERROR(ROUNDUP($Q$161*H784,0),0)</f>
        <v>0</v>
      </c>
      <c r="J784" s="1013" t="s">
        <v>112</v>
      </c>
      <c r="K784" s="610"/>
      <c r="L784" s="610">
        <f t="shared" si="145"/>
        <v>0</v>
      </c>
      <c r="N784" s="1032">
        <f t="shared" si="143"/>
        <v>0</v>
      </c>
    </row>
    <row r="785" spans="2:14" ht="15" customHeight="1">
      <c r="B785" s="685"/>
      <c r="C785" s="627"/>
      <c r="D785" s="627"/>
      <c r="E785" s="627"/>
      <c r="F785" s="627"/>
      <c r="G785" s="627"/>
      <c r="H785" s="608"/>
      <c r="I785" s="611"/>
      <c r="J785" s="1013"/>
      <c r="K785" s="610"/>
      <c r="L785" s="610">
        <f t="shared" si="145"/>
        <v>0</v>
      </c>
      <c r="N785" s="1032">
        <f t="shared" si="143"/>
        <v>0</v>
      </c>
    </row>
    <row r="786" spans="2:14" ht="15" customHeight="1">
      <c r="B786" s="685"/>
      <c r="C786" s="627"/>
      <c r="D786" s="627"/>
      <c r="E786" s="627"/>
      <c r="F786" s="627"/>
      <c r="G786" s="627"/>
      <c r="H786" s="608"/>
      <c r="I786" s="611"/>
      <c r="J786" s="1013"/>
      <c r="K786" s="610"/>
      <c r="L786" s="610">
        <f t="shared" si="145"/>
        <v>0</v>
      </c>
      <c r="N786" s="1032">
        <f t="shared" si="143"/>
        <v>0</v>
      </c>
    </row>
    <row r="787" spans="2:14" ht="15" customHeight="1">
      <c r="B787" s="685"/>
      <c r="C787" s="627"/>
      <c r="D787" s="627"/>
      <c r="E787" s="627"/>
      <c r="F787" s="627"/>
      <c r="G787" s="627"/>
      <c r="H787" s="608"/>
      <c r="I787" s="611"/>
      <c r="J787" s="1013"/>
      <c r="K787" s="610"/>
      <c r="L787" s="610">
        <f t="shared" si="145"/>
        <v>0</v>
      </c>
      <c r="N787" s="1032">
        <f t="shared" si="143"/>
        <v>0</v>
      </c>
    </row>
    <row r="788" spans="2:14" ht="15" customHeight="1">
      <c r="B788" s="685"/>
      <c r="C788" s="627"/>
      <c r="D788" s="627"/>
      <c r="E788" s="627"/>
      <c r="F788" s="627"/>
      <c r="G788" s="627"/>
      <c r="H788" s="608"/>
      <c r="I788" s="609"/>
      <c r="J788" s="1013"/>
      <c r="K788" s="610"/>
      <c r="L788" s="610">
        <f t="shared" si="145"/>
        <v>0</v>
      </c>
      <c r="N788" s="1032">
        <f t="shared" si="143"/>
        <v>0</v>
      </c>
    </row>
    <row r="789" spans="2:14" ht="15" customHeight="1">
      <c r="N789" s="1032">
        <f>IF($V$3=$Y$2,0,1)</f>
        <v>0</v>
      </c>
    </row>
    <row r="790" spans="2:14" ht="15" customHeight="1">
      <c r="N790" s="1032">
        <f>IF($V$3=$Y$2,0,1)</f>
        <v>0</v>
      </c>
    </row>
    <row r="791" spans="2:14" ht="15" customHeight="1">
      <c r="N791" s="1032">
        <v>0</v>
      </c>
    </row>
    <row r="792" spans="2:14" ht="15" customHeight="1">
      <c r="N792" s="1029">
        <v>0</v>
      </c>
    </row>
    <row r="793" spans="2:14" ht="15" customHeight="1">
      <c r="N793" s="1029">
        <v>0</v>
      </c>
    </row>
    <row r="794" spans="2:14" ht="15" customHeight="1">
      <c r="N794" s="1029">
        <v>0</v>
      </c>
    </row>
    <row r="795" spans="2:14" ht="15" customHeight="1">
      <c r="N795" s="1029">
        <v>0</v>
      </c>
    </row>
    <row r="796" spans="2:14" ht="15" customHeight="1">
      <c r="N796" s="1029">
        <v>0</v>
      </c>
    </row>
    <row r="797" spans="2:14" ht="15" customHeight="1">
      <c r="N797" s="1029">
        <v>0</v>
      </c>
    </row>
    <row r="798" spans="2:14" ht="15" customHeight="1">
      <c r="N798" s="1029">
        <v>0</v>
      </c>
    </row>
    <row r="799" spans="2:14" ht="15" customHeight="1">
      <c r="N799" s="1029">
        <v>0</v>
      </c>
    </row>
    <row r="800" spans="2:14" ht="15" customHeight="1">
      <c r="N800" s="1029">
        <v>0</v>
      </c>
    </row>
    <row r="801" spans="1:20" ht="15" customHeight="1">
      <c r="N801" s="1029">
        <v>0</v>
      </c>
    </row>
    <row r="802" spans="1:20" ht="15" customHeight="1">
      <c r="N802" s="1029">
        <v>0</v>
      </c>
    </row>
    <row r="803" spans="1:20" ht="15" customHeight="1">
      <c r="N803" s="1029">
        <v>0</v>
      </c>
    </row>
    <row r="804" spans="1:20" ht="15" customHeight="1">
      <c r="L804" s="1164" t="str">
        <f ca="1">HYPERLINK("#"&amp;$AB$5&amp;"!A1","⇑ ")</f>
        <v xml:space="preserve">⇑ </v>
      </c>
      <c r="N804" s="1029">
        <v>0</v>
      </c>
    </row>
    <row r="805" spans="1:20" ht="15" customHeight="1">
      <c r="C805" s="134" t="s">
        <v>138</v>
      </c>
      <c r="L805" s="1164"/>
      <c r="N805" s="1029">
        <v>0</v>
      </c>
    </row>
    <row r="806" spans="1:20" ht="15" customHeight="1">
      <c r="L806" s="1164"/>
      <c r="N806" s="1029">
        <v>0</v>
      </c>
    </row>
    <row r="807" spans="1:20" ht="15" customHeight="1">
      <c r="A807" s="785"/>
      <c r="C807" s="626" t="s">
        <v>1104</v>
      </c>
      <c r="D807" s="627"/>
      <c r="E807" s="627"/>
      <c r="F807" s="627" t="s">
        <v>804</v>
      </c>
      <c r="G807" s="628"/>
      <c r="H807" s="608">
        <v>1.1499999999999999</v>
      </c>
      <c r="I807" s="609">
        <f>ROUNDUP(ПЛ*H807+ПР*(0.15+$R$3/1000+0.03),0)</f>
        <v>0</v>
      </c>
      <c r="J807" s="1013" t="s">
        <v>112</v>
      </c>
      <c r="M807" s="1011"/>
      <c r="N807" s="1029">
        <v>0</v>
      </c>
      <c r="R807" s="170"/>
      <c r="S807" s="170"/>
      <c r="T807" s="170"/>
    </row>
    <row r="808" spans="1:20" ht="15" customHeight="1">
      <c r="A808" s="785"/>
      <c r="C808" s="626" t="s">
        <v>1105</v>
      </c>
      <c r="D808" s="627"/>
      <c r="E808" s="627"/>
      <c r="F808" s="627" t="s">
        <v>804</v>
      </c>
      <c r="G808" s="628"/>
      <c r="H808" s="608">
        <v>1.1499999999999999</v>
      </c>
      <c r="I808" s="609">
        <f>ROUNDUP(ПЛ*H808+ПР*(0.15+$R$3/1000+0.03),0)</f>
        <v>0</v>
      </c>
      <c r="J808" s="1013" t="s">
        <v>112</v>
      </c>
      <c r="M808" s="1011"/>
      <c r="N808" s="1029">
        <v>0</v>
      </c>
    </row>
    <row r="809" spans="1:20" ht="15" customHeight="1">
      <c r="C809" s="626" t="s">
        <v>803</v>
      </c>
      <c r="D809" s="627"/>
      <c r="E809" s="627"/>
      <c r="F809" s="627" t="s">
        <v>805</v>
      </c>
      <c r="G809" s="628"/>
      <c r="H809" s="608">
        <v>1</v>
      </c>
      <c r="I809" s="611">
        <f>ROUNDUP((ПЛ/3+ПР)/25,0)</f>
        <v>0</v>
      </c>
      <c r="J809" s="1013" t="s">
        <v>151</v>
      </c>
      <c r="M809" s="1011"/>
      <c r="N809" s="1029">
        <v>0</v>
      </c>
    </row>
    <row r="810" spans="1:20" ht="15" customHeight="1">
      <c r="C810" s="626" t="s">
        <v>1429</v>
      </c>
      <c r="D810" s="627"/>
      <c r="E810" s="627"/>
      <c r="F810" s="627"/>
      <c r="G810" s="628"/>
      <c r="H810" s="608">
        <f>IF(AND($R$4=$Y$8,$R$5=$Z$7),1.18,IF(AND($R$4=$Y$8,$R$5=$Z$8),$AD$8,IF(AND($R$4=$Y$8,$R$5=$Z$9),$AD$9,IF(AND($R$4=$Y$8,$R$5=$Z$10),$AD$10,1.1))))</f>
        <v>1.1000000000000001</v>
      </c>
      <c r="I810" s="609">
        <f t="shared" ref="I810:I817" si="146">ROUNDUP(ПЛ*H810+ПР*(0.15+$R$3/1000+0.03),0)</f>
        <v>0</v>
      </c>
      <c r="J810" s="1013" t="s">
        <v>112</v>
      </c>
      <c r="M810" s="1011"/>
      <c r="N810" s="1029">
        <v>0</v>
      </c>
    </row>
    <row r="811" spans="1:20" ht="15" customHeight="1">
      <c r="C811" s="710" t="s">
        <v>1430</v>
      </c>
      <c r="D811" s="632"/>
      <c r="E811" s="632"/>
      <c r="F811" s="632"/>
      <c r="G811" s="632"/>
      <c r="H811" s="608">
        <f>IF(AND($R$4=$Y$8,$R$5=$Z$7),1.18,IF(AND($R$4=$Y$8,$R$5=$Z$8),$AD$8,IF(AND($R$4=$Y$8,$R$5=$Z$9),$AD$9,IF(AND($R$4=$Y$8,$R$5=$Z$10),$AD$10,1.1))))</f>
        <v>1.1000000000000001</v>
      </c>
      <c r="I811" s="609">
        <f t="shared" si="146"/>
        <v>0</v>
      </c>
      <c r="J811" s="1013" t="s">
        <v>112</v>
      </c>
      <c r="M811" s="1011"/>
      <c r="N811" s="1029">
        <v>0</v>
      </c>
    </row>
    <row r="812" spans="1:20" ht="15" customHeight="1">
      <c r="C812" s="626" t="s">
        <v>1431</v>
      </c>
      <c r="D812" s="627"/>
      <c r="E812" s="627"/>
      <c r="F812" s="627"/>
      <c r="G812" s="628"/>
      <c r="H812" s="608">
        <v>1.1499999999999999</v>
      </c>
      <c r="I812" s="609">
        <f t="shared" si="146"/>
        <v>0</v>
      </c>
      <c r="J812" s="1013" t="s">
        <v>112</v>
      </c>
      <c r="M812" s="1011"/>
      <c r="N812" s="1029">
        <v>0</v>
      </c>
    </row>
    <row r="813" spans="1:20" ht="15" customHeight="1">
      <c r="C813" s="710" t="s">
        <v>813</v>
      </c>
      <c r="D813" s="632"/>
      <c r="E813" s="632"/>
      <c r="F813" s="632"/>
      <c r="G813" s="632"/>
      <c r="H813" s="608">
        <v>1.1499999999999999</v>
      </c>
      <c r="I813" s="609">
        <f t="shared" si="146"/>
        <v>0</v>
      </c>
      <c r="J813" s="1013" t="s">
        <v>112</v>
      </c>
      <c r="M813" s="1011"/>
      <c r="N813" s="1029">
        <v>0</v>
      </c>
    </row>
    <row r="814" spans="1:20" ht="15" customHeight="1">
      <c r="C814" s="626" t="s">
        <v>1432</v>
      </c>
      <c r="D814" s="627"/>
      <c r="E814" s="627"/>
      <c r="F814" s="627"/>
      <c r="G814" s="628"/>
      <c r="H814" s="608">
        <v>1.1499999999999999</v>
      </c>
      <c r="I814" s="609">
        <f t="shared" si="146"/>
        <v>0</v>
      </c>
      <c r="J814" s="1013" t="s">
        <v>112</v>
      </c>
      <c r="M814" s="1011"/>
      <c r="N814" s="1029">
        <v>0</v>
      </c>
    </row>
    <row r="815" spans="1:20" ht="15" customHeight="1">
      <c r="C815" s="710" t="s">
        <v>1433</v>
      </c>
      <c r="D815" s="632"/>
      <c r="E815" s="632"/>
      <c r="F815" s="632"/>
      <c r="G815" s="632"/>
      <c r="H815" s="608">
        <v>1.1499999999999999</v>
      </c>
      <c r="I815" s="609">
        <f t="shared" si="146"/>
        <v>0</v>
      </c>
      <c r="J815" s="1013" t="s">
        <v>112</v>
      </c>
      <c r="M815" s="1011"/>
      <c r="N815" s="1029">
        <v>0</v>
      </c>
    </row>
    <row r="816" spans="1:20" ht="15" customHeight="1">
      <c r="C816" s="626" t="s">
        <v>1434</v>
      </c>
      <c r="D816" s="627"/>
      <c r="E816" s="627"/>
      <c r="F816" s="627"/>
      <c r="G816" s="628"/>
      <c r="H816" s="608">
        <v>1.1499999999999999</v>
      </c>
      <c r="I816" s="609">
        <f t="shared" si="146"/>
        <v>0</v>
      </c>
      <c r="J816" s="1013" t="s">
        <v>112</v>
      </c>
      <c r="M816" s="1011"/>
      <c r="N816" s="1029">
        <v>0</v>
      </c>
    </row>
    <row r="817" spans="3:21" ht="15" customHeight="1">
      <c r="C817" s="710" t="s">
        <v>1435</v>
      </c>
      <c r="D817" s="632"/>
      <c r="E817" s="632"/>
      <c r="F817" s="632"/>
      <c r="G817" s="632"/>
      <c r="H817" s="608">
        <v>1.1499999999999999</v>
      </c>
      <c r="I817" s="609">
        <f t="shared" si="146"/>
        <v>0</v>
      </c>
      <c r="J817" s="1013" t="s">
        <v>112</v>
      </c>
      <c r="N817" s="1029">
        <v>0</v>
      </c>
    </row>
    <row r="818" spans="3:21" ht="15" customHeight="1">
      <c r="C818" s="626" t="s">
        <v>1436</v>
      </c>
      <c r="D818" s="627"/>
      <c r="E818" s="627"/>
      <c r="F818" s="627"/>
      <c r="G818" s="628"/>
      <c r="H818" s="608">
        <v>1.1499999999999999</v>
      </c>
      <c r="I818" s="609">
        <f t="shared" ref="I818" si="147">ROUNDUP(ПЛ*H818+ПР*(0.15+$R$3/1000+0.03),0)</f>
        <v>0</v>
      </c>
      <c r="J818" s="1013" t="s">
        <v>112</v>
      </c>
      <c r="M818" s="120"/>
      <c r="N818" s="1029">
        <v>0</v>
      </c>
    </row>
    <row r="819" spans="3:21" ht="15" customHeight="1">
      <c r="C819" s="626" t="s">
        <v>182</v>
      </c>
      <c r="D819" s="627"/>
      <c r="E819" s="627"/>
      <c r="F819" s="627"/>
      <c r="G819" s="628"/>
      <c r="H819" s="608">
        <v>0.3</v>
      </c>
      <c r="I819" s="609">
        <f>ROUNDUP(ПЛ*H819,0)</f>
        <v>0</v>
      </c>
      <c r="J819" s="1013" t="s">
        <v>183</v>
      </c>
      <c r="M819" s="120"/>
      <c r="N819" s="1029">
        <v>0</v>
      </c>
    </row>
    <row r="820" spans="3:21" ht="15" customHeight="1">
      <c r="C820" s="710"/>
      <c r="D820" s="632"/>
      <c r="E820" s="632"/>
      <c r="F820" s="632"/>
      <c r="G820" s="632"/>
      <c r="H820" s="608"/>
      <c r="I820" s="709"/>
      <c r="J820" s="1013"/>
      <c r="M820" s="120"/>
      <c r="N820" s="1029">
        <v>0</v>
      </c>
    </row>
    <row r="821" spans="3:21" ht="15" customHeight="1">
      <c r="C821" s="626"/>
      <c r="D821" s="627"/>
      <c r="E821" s="627"/>
      <c r="F821" s="627"/>
      <c r="G821" s="628"/>
      <c r="H821" s="608"/>
      <c r="I821" s="709"/>
      <c r="J821" s="1013"/>
      <c r="M821" s="120"/>
      <c r="N821" s="1029">
        <v>0</v>
      </c>
    </row>
    <row r="822" spans="3:21" ht="15" customHeight="1">
      <c r="C822" s="710"/>
      <c r="D822" s="632"/>
      <c r="E822" s="632"/>
      <c r="F822" s="632"/>
      <c r="G822" s="632"/>
      <c r="H822" s="608"/>
      <c r="I822" s="709"/>
      <c r="J822" s="1013"/>
      <c r="M822" s="120"/>
      <c r="N822" s="1029">
        <v>0</v>
      </c>
    </row>
    <row r="823" spans="3:21" ht="15" customHeight="1">
      <c r="C823" s="626"/>
      <c r="D823" s="627"/>
      <c r="E823" s="627"/>
      <c r="F823" s="627"/>
      <c r="G823" s="628"/>
      <c r="H823" s="608"/>
      <c r="I823" s="709"/>
      <c r="J823" s="1013"/>
      <c r="M823" s="120"/>
      <c r="N823" s="1029">
        <v>0</v>
      </c>
    </row>
    <row r="824" spans="3:21" ht="15" customHeight="1">
      <c r="L824" s="1164" t="str">
        <f ca="1">HYPERLINK("#"&amp;$AB$5&amp;"!A1","⇑ ")</f>
        <v xml:space="preserve">⇑ </v>
      </c>
      <c r="M824" s="120"/>
      <c r="N824" s="1029">
        <v>0</v>
      </c>
    </row>
    <row r="825" spans="3:21" ht="15" customHeight="1">
      <c r="C825" s="135" t="s">
        <v>139</v>
      </c>
      <c r="L825" s="1164"/>
      <c r="M825" s="120"/>
      <c r="N825" s="1029">
        <v>0</v>
      </c>
      <c r="P825" s="1172" t="s">
        <v>1001</v>
      </c>
      <c r="Q825" s="1174"/>
      <c r="R825" s="1172" t="s">
        <v>1002</v>
      </c>
      <c r="S825" s="1173"/>
      <c r="T825" s="1174"/>
      <c r="U825" s="1178" t="s">
        <v>1004</v>
      </c>
    </row>
    <row r="826" spans="3:21" ht="15" customHeight="1">
      <c r="L826" s="1164"/>
      <c r="M826" s="120"/>
      <c r="N826" s="1029">
        <v>0</v>
      </c>
      <c r="P826" s="1175"/>
      <c r="Q826" s="1177"/>
      <c r="R826" s="1175"/>
      <c r="S826" s="1176"/>
      <c r="T826" s="1177"/>
      <c r="U826" s="1179"/>
    </row>
    <row r="827" spans="3:21" ht="15" customHeight="1">
      <c r="C827" s="626" t="s">
        <v>325</v>
      </c>
      <c r="D827" s="627"/>
      <c r="E827" s="627"/>
      <c r="F827" s="638"/>
      <c r="G827" s="628" t="s">
        <v>150</v>
      </c>
      <c r="H827" s="608">
        <v>1.03</v>
      </c>
      <c r="I827" s="711">
        <f>ПЛ*F827*H827*0.001</f>
        <v>0</v>
      </c>
      <c r="J827" s="1013" t="s">
        <v>178</v>
      </c>
      <c r="M827" s="1011"/>
      <c r="N827" s="1029">
        <v>0</v>
      </c>
      <c r="P827" s="1169" t="s">
        <v>1003</v>
      </c>
      <c r="Q827" s="1170"/>
      <c r="R827" s="1169">
        <v>30</v>
      </c>
      <c r="S827" s="1171"/>
      <c r="T827" s="1170"/>
      <c r="U827" s="1013" t="s">
        <v>1008</v>
      </c>
    </row>
    <row r="828" spans="3:21" ht="27" customHeight="1">
      <c r="C828" s="626" t="s">
        <v>321</v>
      </c>
      <c r="D828" s="627"/>
      <c r="E828" s="627"/>
      <c r="F828" s="638"/>
      <c r="G828" s="628" t="s">
        <v>150</v>
      </c>
      <c r="H828" s="608">
        <v>1.03</v>
      </c>
      <c r="I828" s="711">
        <f>ПЛ*F828*H828*0.001</f>
        <v>0</v>
      </c>
      <c r="J828" s="1013" t="s">
        <v>178</v>
      </c>
      <c r="M828" s="1011"/>
      <c r="N828" s="1029">
        <v>0</v>
      </c>
      <c r="P828" s="1169" t="s">
        <v>1005</v>
      </c>
      <c r="Q828" s="1170"/>
      <c r="R828" s="1180" t="s">
        <v>1009</v>
      </c>
      <c r="S828" s="1181"/>
      <c r="T828" s="1182"/>
      <c r="U828" s="1013" t="s">
        <v>1021</v>
      </c>
    </row>
    <row r="829" spans="3:21" ht="15" customHeight="1">
      <c r="C829" s="626" t="s">
        <v>1157</v>
      </c>
      <c r="D829" s="627"/>
      <c r="E829" s="627"/>
      <c r="F829" s="638"/>
      <c r="G829" s="628" t="s">
        <v>150</v>
      </c>
      <c r="H829" s="608">
        <v>1.02</v>
      </c>
      <c r="I829" s="609">
        <f>ПЛ*H829</f>
        <v>0</v>
      </c>
      <c r="J829" s="1013" t="s">
        <v>112</v>
      </c>
      <c r="M829" s="1011"/>
      <c r="N829" s="1029">
        <v>0</v>
      </c>
      <c r="P829" s="1169" t="s">
        <v>1026</v>
      </c>
      <c r="Q829" s="1170"/>
      <c r="R829" s="1169" t="s">
        <v>1084</v>
      </c>
      <c r="S829" s="1171"/>
      <c r="T829" s="1170"/>
      <c r="U829" s="1013"/>
    </row>
    <row r="830" spans="3:21" ht="15" customHeight="1">
      <c r="C830" s="626" t="s">
        <v>1158</v>
      </c>
      <c r="D830" s="627"/>
      <c r="E830" s="627"/>
      <c r="F830" s="638"/>
      <c r="G830" s="628" t="s">
        <v>150</v>
      </c>
      <c r="H830" s="608">
        <v>1.02</v>
      </c>
      <c r="I830" s="609">
        <f>ПЛ*H830</f>
        <v>0</v>
      </c>
      <c r="J830" s="1013" t="s">
        <v>112</v>
      </c>
      <c r="M830" s="1011"/>
      <c r="N830" s="1029">
        <v>0</v>
      </c>
      <c r="P830" s="1169">
        <v>50</v>
      </c>
      <c r="Q830" s="1170"/>
      <c r="R830" s="1169" t="s">
        <v>1085</v>
      </c>
      <c r="S830" s="1171"/>
      <c r="T830" s="1170"/>
      <c r="U830" s="1013"/>
    </row>
    <row r="831" spans="3:21" ht="15" customHeight="1">
      <c r="C831" s="626" t="s">
        <v>1156</v>
      </c>
      <c r="D831" s="627"/>
      <c r="E831" s="627"/>
      <c r="F831" s="638"/>
      <c r="G831" s="628" t="s">
        <v>150</v>
      </c>
      <c r="H831" s="608">
        <v>1.02</v>
      </c>
      <c r="I831" s="609">
        <f>ПЛ*H831</f>
        <v>0</v>
      </c>
      <c r="J831" s="1013" t="s">
        <v>112</v>
      </c>
      <c r="M831" s="1011"/>
      <c r="N831" s="1029">
        <v>0</v>
      </c>
      <c r="P831" s="1169" t="s">
        <v>6</v>
      </c>
      <c r="Q831" s="1170"/>
      <c r="R831" s="1169" t="s">
        <v>1159</v>
      </c>
      <c r="S831" s="1171"/>
      <c r="T831" s="1170"/>
      <c r="U831" s="1013"/>
    </row>
    <row r="832" spans="3:21" ht="15" customHeight="1">
      <c r="C832" s="626" t="s">
        <v>452</v>
      </c>
      <c r="D832" s="627"/>
      <c r="E832" s="627"/>
      <c r="F832" s="638"/>
      <c r="G832" s="628" t="s">
        <v>150</v>
      </c>
      <c r="H832" s="608">
        <v>1.02</v>
      </c>
      <c r="I832" s="711">
        <f>ПЛ*F832*H832*0.001</f>
        <v>0</v>
      </c>
      <c r="J832" s="1013" t="s">
        <v>178</v>
      </c>
      <c r="M832" s="1011"/>
      <c r="N832" s="1029">
        <v>0</v>
      </c>
      <c r="P832" s="1169" t="s">
        <v>1005</v>
      </c>
      <c r="Q832" s="1170"/>
      <c r="R832" s="1169" t="s">
        <v>1027</v>
      </c>
      <c r="S832" s="1171"/>
      <c r="T832" s="1170"/>
      <c r="U832" s="1013"/>
    </row>
    <row r="833" spans="1:21" ht="15" customHeight="1">
      <c r="A833" s="785"/>
      <c r="C833" s="626" t="s">
        <v>806</v>
      </c>
      <c r="D833" s="627"/>
      <c r="E833" s="627"/>
      <c r="F833" s="627" t="s">
        <v>808</v>
      </c>
      <c r="G833" s="628"/>
      <c r="H833" s="608">
        <v>1.2</v>
      </c>
      <c r="I833" s="609">
        <f>ROUNDUP(ПЛ*H833,0)</f>
        <v>0</v>
      </c>
      <c r="J833" s="1013" t="s">
        <v>112</v>
      </c>
      <c r="M833" s="1011"/>
      <c r="N833" s="1029">
        <v>0</v>
      </c>
      <c r="P833" s="1169"/>
      <c r="Q833" s="1170"/>
      <c r="R833" s="1169"/>
      <c r="S833" s="1171"/>
      <c r="T833" s="1170"/>
      <c r="U833" s="1013"/>
    </row>
    <row r="834" spans="1:21" ht="15" customHeight="1">
      <c r="A834" s="1"/>
      <c r="B834" s="1"/>
      <c r="C834" s="626" t="s">
        <v>193</v>
      </c>
      <c r="H834" s="608">
        <v>1.1000000000000001</v>
      </c>
      <c r="I834" s="609">
        <f>ROUNDUP(ПЛ*H834,0)</f>
        <v>0</v>
      </c>
      <c r="J834" s="1013" t="s">
        <v>112</v>
      </c>
      <c r="M834" s="1011"/>
      <c r="N834" s="1029">
        <v>0</v>
      </c>
      <c r="P834" s="1169"/>
      <c r="Q834" s="1170"/>
      <c r="R834" s="1169"/>
      <c r="S834" s="1171"/>
      <c r="T834" s="1170"/>
      <c r="U834" s="1013"/>
    </row>
    <row r="835" spans="1:21" ht="15" customHeight="1">
      <c r="C835" s="626" t="s">
        <v>792</v>
      </c>
      <c r="D835" s="627"/>
      <c r="E835" s="627"/>
      <c r="F835" s="638"/>
      <c r="G835" s="628" t="s">
        <v>150</v>
      </c>
      <c r="H835" s="608">
        <v>1.02</v>
      </c>
      <c r="I835" s="609">
        <f>ПЛ*H835</f>
        <v>0</v>
      </c>
      <c r="J835" s="1013" t="s">
        <v>112</v>
      </c>
      <c r="M835" s="1011"/>
      <c r="N835" s="1029">
        <v>0</v>
      </c>
      <c r="P835" s="1169"/>
      <c r="Q835" s="1170"/>
      <c r="R835" s="1169"/>
      <c r="S835" s="1171"/>
      <c r="T835" s="1170"/>
      <c r="U835" s="1013"/>
    </row>
    <row r="836" spans="1:21" ht="15" customHeight="1">
      <c r="C836" s="626" t="s">
        <v>911</v>
      </c>
      <c r="D836" s="627"/>
      <c r="E836" s="627"/>
      <c r="F836" s="638"/>
      <c r="G836" s="628"/>
      <c r="H836" s="608"/>
      <c r="I836" s="609">
        <v>0</v>
      </c>
      <c r="J836" s="1013" t="s">
        <v>151</v>
      </c>
      <c r="M836" s="1011"/>
      <c r="N836" s="1029">
        <v>0</v>
      </c>
      <c r="P836" s="1169" t="s">
        <v>1140</v>
      </c>
      <c r="Q836" s="1170"/>
    </row>
    <row r="837" spans="1:21" ht="15" customHeight="1">
      <c r="C837" s="626" t="s">
        <v>984</v>
      </c>
      <c r="D837" s="627"/>
      <c r="E837" s="627"/>
      <c r="F837" s="638"/>
      <c r="G837" s="628" t="s">
        <v>150</v>
      </c>
      <c r="H837" s="608">
        <v>1.02</v>
      </c>
      <c r="I837" s="711">
        <f>ПЛ*F837*H837*0.001</f>
        <v>0</v>
      </c>
      <c r="J837" s="1013" t="s">
        <v>178</v>
      </c>
      <c r="M837" s="1011"/>
      <c r="N837" s="1029">
        <v>0</v>
      </c>
      <c r="P837" s="1169"/>
      <c r="Q837" s="1170"/>
      <c r="R837" s="1169" t="s">
        <v>1028</v>
      </c>
      <c r="S837" s="1171"/>
      <c r="T837" s="1170"/>
      <c r="U837" s="1013"/>
    </row>
    <row r="838" spans="1:21" ht="15" customHeight="1">
      <c r="C838" s="626" t="s">
        <v>987</v>
      </c>
      <c r="D838" s="627"/>
      <c r="E838" s="627"/>
      <c r="F838" s="638"/>
      <c r="G838" s="628" t="s">
        <v>150</v>
      </c>
      <c r="H838" s="608">
        <v>1.02</v>
      </c>
      <c r="I838" s="711">
        <f>ПЛ*F838*H838*0.001</f>
        <v>0</v>
      </c>
      <c r="J838" s="1013" t="s">
        <v>178</v>
      </c>
      <c r="M838" s="1011"/>
      <c r="N838" s="1029">
        <v>0</v>
      </c>
      <c r="P838" s="1169"/>
      <c r="Q838" s="1170"/>
      <c r="R838" s="1169">
        <v>50</v>
      </c>
      <c r="S838" s="1171"/>
      <c r="T838" s="1170"/>
      <c r="U838" s="1013"/>
    </row>
    <row r="839" spans="1:21" ht="15" customHeight="1">
      <c r="C839" s="626" t="s">
        <v>988</v>
      </c>
      <c r="D839" s="627"/>
      <c r="E839" s="627"/>
      <c r="F839" s="638"/>
      <c r="G839" s="628" t="s">
        <v>150</v>
      </c>
      <c r="H839" s="608">
        <v>1.02</v>
      </c>
      <c r="I839" s="711">
        <f>ПЛ*F839*H839*0.001</f>
        <v>0</v>
      </c>
      <c r="J839" s="1013" t="s">
        <v>178</v>
      </c>
      <c r="M839" s="1011"/>
      <c r="N839" s="1029">
        <v>0</v>
      </c>
      <c r="P839" s="1169"/>
      <c r="Q839" s="1170"/>
      <c r="R839" s="1169">
        <v>50</v>
      </c>
      <c r="S839" s="1171"/>
      <c r="T839" s="1170"/>
      <c r="U839" s="1013"/>
    </row>
    <row r="840" spans="1:21" ht="15" customHeight="1">
      <c r="C840" s="626" t="s">
        <v>453</v>
      </c>
      <c r="D840" s="627"/>
      <c r="E840" s="627"/>
      <c r="F840" s="638"/>
      <c r="G840" s="628" t="s">
        <v>150</v>
      </c>
      <c r="H840" s="608">
        <v>1.02</v>
      </c>
      <c r="I840" s="711">
        <f>ПЛ*F840*H840*0.001</f>
        <v>0</v>
      </c>
      <c r="J840" s="1013" t="s">
        <v>178</v>
      </c>
      <c r="M840" s="1011"/>
      <c r="N840" s="1029">
        <v>0</v>
      </c>
      <c r="P840" s="1169" t="s">
        <v>1030</v>
      </c>
      <c r="Q840" s="1170"/>
      <c r="R840" s="1169" t="s">
        <v>1029</v>
      </c>
      <c r="S840" s="1171"/>
      <c r="T840" s="1170"/>
      <c r="U840" s="1013"/>
    </row>
    <row r="841" spans="1:21" ht="15" customHeight="1">
      <c r="C841" s="626" t="s">
        <v>319</v>
      </c>
      <c r="D841" s="627"/>
      <c r="E841" s="627"/>
      <c r="F841" s="638"/>
      <c r="G841" s="628" t="s">
        <v>150</v>
      </c>
      <c r="H841" s="608">
        <v>1.03</v>
      </c>
      <c r="I841" s="711">
        <f>ПЛ*F841*H841*0.001</f>
        <v>0</v>
      </c>
      <c r="J841" s="1013" t="s">
        <v>178</v>
      </c>
      <c r="M841" s="1011"/>
      <c r="N841" s="1029">
        <v>0</v>
      </c>
      <c r="P841" s="1169" t="s">
        <v>1005</v>
      </c>
      <c r="Q841" s="1170"/>
      <c r="R841" s="1169" t="s">
        <v>1010</v>
      </c>
      <c r="S841" s="1171"/>
      <c r="T841" s="1170"/>
      <c r="U841" s="1013" t="s">
        <v>1022</v>
      </c>
    </row>
    <row r="842" spans="1:21" ht="12.75" customHeight="1">
      <c r="B842" s="158"/>
      <c r="C842" s="626" t="s">
        <v>526</v>
      </c>
      <c r="D842" s="627"/>
      <c r="E842" s="627"/>
      <c r="F842" s="627"/>
      <c r="G842" s="628"/>
      <c r="H842" s="608">
        <v>2</v>
      </c>
      <c r="I842" s="609"/>
      <c r="J842" s="1013" t="s">
        <v>183</v>
      </c>
      <c r="M842" s="1011"/>
      <c r="N842" s="1029">
        <v>0</v>
      </c>
      <c r="P842" s="1169"/>
      <c r="Q842" s="1170"/>
      <c r="R842" s="1169"/>
      <c r="S842" s="1171"/>
      <c r="T842" s="1170"/>
      <c r="U842" s="1013"/>
    </row>
    <row r="843" spans="1:21" ht="15" customHeight="1">
      <c r="B843" s="375"/>
      <c r="C843" s="626" t="s">
        <v>315</v>
      </c>
      <c r="D843" s="627"/>
      <c r="E843" s="627"/>
      <c r="F843" s="638"/>
      <c r="G843" s="628" t="s">
        <v>150</v>
      </c>
      <c r="H843" s="608">
        <v>1.03</v>
      </c>
      <c r="I843" s="711">
        <f t="shared" ref="I843:I852" si="148">ПЛ*F843*H843*0.001</f>
        <v>0</v>
      </c>
      <c r="J843" s="1013" t="s">
        <v>178</v>
      </c>
      <c r="M843" s="120"/>
      <c r="N843" s="1029">
        <v>0</v>
      </c>
      <c r="P843" s="1169" t="s">
        <v>1003</v>
      </c>
      <c r="Q843" s="1170"/>
      <c r="R843" s="1169" t="s">
        <v>6</v>
      </c>
      <c r="S843" s="1171"/>
      <c r="T843" s="1170"/>
      <c r="U843" s="1013" t="s">
        <v>6</v>
      </c>
    </row>
    <row r="844" spans="1:21" ht="15" customHeight="1">
      <c r="B844" s="158"/>
      <c r="C844" s="626" t="s">
        <v>316</v>
      </c>
      <c r="D844" s="627"/>
      <c r="E844" s="627"/>
      <c r="F844" s="638"/>
      <c r="G844" s="628" t="s">
        <v>150</v>
      </c>
      <c r="H844" s="608">
        <v>1.03</v>
      </c>
      <c r="I844" s="711">
        <f t="shared" si="148"/>
        <v>0</v>
      </c>
      <c r="J844" s="1013" t="s">
        <v>178</v>
      </c>
      <c r="M844" s="120"/>
      <c r="N844" s="1029">
        <v>0</v>
      </c>
      <c r="P844" s="1169" t="s">
        <v>1011</v>
      </c>
      <c r="Q844" s="1170"/>
      <c r="R844" s="1169" t="s">
        <v>1012</v>
      </c>
      <c r="S844" s="1171"/>
      <c r="T844" s="1170"/>
      <c r="U844" s="1013" t="s">
        <v>1013</v>
      </c>
    </row>
    <row r="845" spans="1:21" ht="15" customHeight="1">
      <c r="B845" s="219"/>
      <c r="C845" s="626" t="s">
        <v>323</v>
      </c>
      <c r="D845" s="627"/>
      <c r="E845" s="627"/>
      <c r="F845" s="638"/>
      <c r="G845" s="628" t="s">
        <v>150</v>
      </c>
      <c r="H845" s="608">
        <v>1.03</v>
      </c>
      <c r="I845" s="711">
        <f t="shared" si="148"/>
        <v>0</v>
      </c>
      <c r="J845" s="1013" t="s">
        <v>178</v>
      </c>
      <c r="M845" s="120"/>
      <c r="N845" s="1029">
        <v>0</v>
      </c>
      <c r="P845" s="1169" t="s">
        <v>1003</v>
      </c>
      <c r="Q845" s="1170"/>
      <c r="R845" s="1169">
        <v>30</v>
      </c>
      <c r="S845" s="1171"/>
      <c r="T845" s="1170"/>
      <c r="U845" s="1013" t="s">
        <v>1014</v>
      </c>
    </row>
    <row r="846" spans="1:21" ht="15" customHeight="1">
      <c r="C846" s="626" t="s">
        <v>324</v>
      </c>
      <c r="D846" s="627"/>
      <c r="E846" s="627"/>
      <c r="F846" s="638"/>
      <c r="G846" s="628" t="s">
        <v>150</v>
      </c>
      <c r="H846" s="608">
        <v>1.03</v>
      </c>
      <c r="I846" s="711">
        <f t="shared" si="148"/>
        <v>0</v>
      </c>
      <c r="J846" s="1013" t="s">
        <v>178</v>
      </c>
      <c r="M846" s="120"/>
      <c r="N846" s="1029">
        <v>0</v>
      </c>
      <c r="P846" s="1169" t="s">
        <v>6</v>
      </c>
      <c r="Q846" s="1170"/>
      <c r="R846" s="1169" t="s">
        <v>1003</v>
      </c>
      <c r="S846" s="1171"/>
      <c r="T846" s="1170"/>
      <c r="U846" s="1013" t="s">
        <v>1015</v>
      </c>
    </row>
    <row r="847" spans="1:21" ht="15" customHeight="1">
      <c r="C847" s="626" t="s">
        <v>322</v>
      </c>
      <c r="D847" s="627"/>
      <c r="E847" s="627"/>
      <c r="F847" s="638"/>
      <c r="G847" s="628" t="s">
        <v>150</v>
      </c>
      <c r="H847" s="608">
        <v>1.03</v>
      </c>
      <c r="I847" s="711">
        <f t="shared" si="148"/>
        <v>0</v>
      </c>
      <c r="J847" s="1013" t="s">
        <v>178</v>
      </c>
      <c r="M847" s="120"/>
      <c r="N847" s="1029">
        <v>0</v>
      </c>
      <c r="P847" s="1169" t="s">
        <v>1023</v>
      </c>
      <c r="Q847" s="1170"/>
      <c r="R847" s="1169" t="s">
        <v>1016</v>
      </c>
      <c r="S847" s="1171"/>
      <c r="T847" s="1170"/>
      <c r="U847" s="1013" t="s">
        <v>1024</v>
      </c>
    </row>
    <row r="848" spans="1:21" ht="15" customHeight="1">
      <c r="C848" s="626" t="s">
        <v>320</v>
      </c>
      <c r="D848" s="627"/>
      <c r="E848" s="627"/>
      <c r="F848" s="638"/>
      <c r="G848" s="628" t="s">
        <v>150</v>
      </c>
      <c r="H848" s="608">
        <v>1.03</v>
      </c>
      <c r="I848" s="711">
        <f t="shared" si="148"/>
        <v>0</v>
      </c>
      <c r="J848" s="1013" t="s">
        <v>178</v>
      </c>
      <c r="M848" s="120"/>
      <c r="N848" s="1029">
        <v>0</v>
      </c>
      <c r="P848" s="1169">
        <v>50</v>
      </c>
      <c r="Q848" s="1170"/>
      <c r="R848" s="1169" t="s">
        <v>1017</v>
      </c>
      <c r="S848" s="1171"/>
      <c r="T848" s="1170"/>
      <c r="U848" s="1013" t="s">
        <v>1018</v>
      </c>
    </row>
    <row r="849" spans="1:21" ht="15" customHeight="1">
      <c r="C849" s="626" t="s">
        <v>326</v>
      </c>
      <c r="D849" s="627"/>
      <c r="E849" s="627"/>
      <c r="F849" s="638"/>
      <c r="G849" s="628" t="s">
        <v>150</v>
      </c>
      <c r="H849" s="608">
        <v>1.03</v>
      </c>
      <c r="I849" s="711">
        <f t="shared" si="148"/>
        <v>0</v>
      </c>
      <c r="J849" s="1013" t="s">
        <v>178</v>
      </c>
      <c r="M849" s="120"/>
      <c r="N849" s="1029">
        <v>0</v>
      </c>
      <c r="P849" s="1169">
        <v>40</v>
      </c>
      <c r="Q849" s="1170"/>
      <c r="R849" s="1169">
        <v>50</v>
      </c>
      <c r="S849" s="1171"/>
      <c r="T849" s="1170"/>
      <c r="U849" s="1013" t="s">
        <v>1019</v>
      </c>
    </row>
    <row r="850" spans="1:21" ht="15" customHeight="1">
      <c r="C850" s="626" t="s">
        <v>327</v>
      </c>
      <c r="D850" s="627"/>
      <c r="E850" s="627"/>
      <c r="F850" s="638"/>
      <c r="G850" s="628" t="s">
        <v>150</v>
      </c>
      <c r="H850" s="608">
        <v>1.03</v>
      </c>
      <c r="I850" s="711">
        <f t="shared" si="148"/>
        <v>0</v>
      </c>
      <c r="J850" s="1013" t="s">
        <v>178</v>
      </c>
      <c r="M850" s="120"/>
      <c r="N850" s="1029">
        <v>0</v>
      </c>
      <c r="P850" s="1169" t="s">
        <v>1025</v>
      </c>
      <c r="Q850" s="1170"/>
      <c r="R850" s="1169" t="s">
        <v>1020</v>
      </c>
      <c r="S850" s="1171"/>
      <c r="T850" s="1170"/>
      <c r="U850" s="1013" t="s">
        <v>1013</v>
      </c>
    </row>
    <row r="851" spans="1:21" ht="15" customHeight="1">
      <c r="C851" s="626" t="s">
        <v>328</v>
      </c>
      <c r="D851" s="627"/>
      <c r="E851" s="627"/>
      <c r="F851" s="638"/>
      <c r="G851" s="628" t="s">
        <v>150</v>
      </c>
      <c r="H851" s="608">
        <v>1.03</v>
      </c>
      <c r="I851" s="711">
        <f t="shared" si="148"/>
        <v>0</v>
      </c>
      <c r="J851" s="1013" t="s">
        <v>178</v>
      </c>
      <c r="M851" s="120"/>
      <c r="N851" s="1029">
        <v>0</v>
      </c>
      <c r="P851" s="1169" t="s">
        <v>1003</v>
      </c>
      <c r="Q851" s="1170"/>
      <c r="R851" s="1169">
        <v>30</v>
      </c>
      <c r="S851" s="1171"/>
      <c r="T851" s="1170"/>
      <c r="U851" s="1013" t="s">
        <v>1014</v>
      </c>
    </row>
    <row r="852" spans="1:21" ht="15" customHeight="1">
      <c r="C852" s="626" t="s">
        <v>329</v>
      </c>
      <c r="D852" s="627"/>
      <c r="E852" s="627"/>
      <c r="F852" s="638"/>
      <c r="G852" s="628" t="s">
        <v>150</v>
      </c>
      <c r="H852" s="608">
        <v>1.03</v>
      </c>
      <c r="I852" s="711">
        <f t="shared" si="148"/>
        <v>0</v>
      </c>
      <c r="J852" s="1013" t="s">
        <v>178</v>
      </c>
      <c r="M852" s="120"/>
      <c r="N852" s="1029">
        <v>0</v>
      </c>
      <c r="P852" s="1169" t="s">
        <v>6</v>
      </c>
      <c r="Q852" s="1170"/>
      <c r="R852" s="1169" t="s">
        <v>1003</v>
      </c>
      <c r="S852" s="1171"/>
      <c r="T852" s="1170"/>
      <c r="U852" s="1013" t="s">
        <v>1019</v>
      </c>
    </row>
    <row r="853" spans="1:21" ht="15" customHeight="1">
      <c r="C853" s="626" t="s">
        <v>524</v>
      </c>
      <c r="D853" s="627"/>
      <c r="E853" s="627"/>
      <c r="F853" s="638"/>
      <c r="G853" s="628" t="s">
        <v>150</v>
      </c>
      <c r="H853" s="608">
        <v>1.03</v>
      </c>
      <c r="I853" s="711">
        <f>ПЛ*F853*H853*0.001</f>
        <v>0</v>
      </c>
      <c r="J853" s="1013" t="s">
        <v>178</v>
      </c>
      <c r="M853" s="120"/>
      <c r="N853" s="1029">
        <v>0</v>
      </c>
      <c r="P853" s="1169" t="s">
        <v>6</v>
      </c>
      <c r="Q853" s="1170"/>
      <c r="R853" s="1169" t="s">
        <v>1003</v>
      </c>
      <c r="S853" s="1171"/>
      <c r="T853" s="1170"/>
      <c r="U853" s="1013" t="s">
        <v>1018</v>
      </c>
    </row>
    <row r="854" spans="1:21" ht="15" customHeight="1">
      <c r="C854" s="626" t="s">
        <v>913</v>
      </c>
      <c r="D854" s="627"/>
      <c r="E854" s="627"/>
      <c r="F854" s="638"/>
      <c r="G854" s="628" t="s">
        <v>150</v>
      </c>
      <c r="H854" s="608">
        <v>1.03</v>
      </c>
      <c r="I854" s="711">
        <f>ПЛ*F854*H854*0.001</f>
        <v>0</v>
      </c>
      <c r="J854" s="1013" t="s">
        <v>178</v>
      </c>
      <c r="M854" s="120"/>
      <c r="N854" s="1029">
        <v>0</v>
      </c>
      <c r="P854" s="106" t="s">
        <v>916</v>
      </c>
    </row>
    <row r="855" spans="1:21" ht="15" customHeight="1">
      <c r="M855" s="120"/>
      <c r="N855" s="1029">
        <v>0</v>
      </c>
    </row>
    <row r="856" spans="1:21" ht="15" customHeight="1">
      <c r="L856" s="1164" t="str">
        <f ca="1">HYPERLINK("#"&amp;$AB$5&amp;"!A1","⇑ ")</f>
        <v xml:space="preserve">⇑ </v>
      </c>
      <c r="M856" s="120"/>
      <c r="N856" s="1029">
        <v>0</v>
      </c>
    </row>
    <row r="857" spans="1:21" ht="15" customHeight="1">
      <c r="C857" s="135" t="s">
        <v>181</v>
      </c>
      <c r="L857" s="1164"/>
      <c r="M857" s="120"/>
      <c r="N857" s="1029">
        <v>0</v>
      </c>
    </row>
    <row r="858" spans="1:21" ht="15" customHeight="1">
      <c r="L858" s="1164"/>
      <c r="M858" s="120"/>
      <c r="N858" s="1029">
        <v>0</v>
      </c>
    </row>
    <row r="859" spans="1:21" ht="15" customHeight="1">
      <c r="C859" s="626" t="s">
        <v>182</v>
      </c>
      <c r="D859" s="627"/>
      <c r="E859" s="627"/>
      <c r="F859" s="627"/>
      <c r="G859" s="628"/>
      <c r="H859" s="608">
        <v>0.3</v>
      </c>
      <c r="I859" s="609">
        <f>ROUNDUP(ПЛ*H859,0)</f>
        <v>0</v>
      </c>
      <c r="J859" s="1013" t="s">
        <v>183</v>
      </c>
      <c r="M859" s="120"/>
      <c r="N859" s="1029">
        <v>0</v>
      </c>
    </row>
    <row r="860" spans="1:21" ht="15" customHeight="1">
      <c r="A860" s="785"/>
      <c r="C860" s="710" t="s">
        <v>182</v>
      </c>
      <c r="D860" s="632"/>
      <c r="E860" s="632"/>
      <c r="F860" s="632" t="s">
        <v>809</v>
      </c>
      <c r="G860" s="632"/>
      <c r="H860" s="608">
        <v>0.6</v>
      </c>
      <c r="I860" s="609">
        <f>ROUNDUP(ПЛ*H860,0)</f>
        <v>0</v>
      </c>
      <c r="J860" s="1013" t="s">
        <v>183</v>
      </c>
      <c r="M860" s="120"/>
      <c r="N860" s="1029">
        <v>0</v>
      </c>
    </row>
    <row r="861" spans="1:21" ht="15" customHeight="1">
      <c r="A861" s="785"/>
      <c r="C861" s="626" t="s">
        <v>182</v>
      </c>
      <c r="D861" s="627"/>
      <c r="E861" s="627"/>
      <c r="F861" s="627" t="s">
        <v>810</v>
      </c>
      <c r="G861" s="628"/>
      <c r="H861" s="608">
        <v>1</v>
      </c>
      <c r="I861" s="609">
        <f>ROUNDUP(ПЛ*H861,0)</f>
        <v>0</v>
      </c>
      <c r="J861" s="1013" t="s">
        <v>183</v>
      </c>
      <c r="M861" s="120"/>
      <c r="N861" s="1029">
        <v>0</v>
      </c>
    </row>
    <row r="862" spans="1:21" ht="15" customHeight="1">
      <c r="C862" s="626" t="str">
        <f>$R$165</f>
        <v>Воронка ТехноНИКОЛЬ с обжимным фланцем обогреваемая, 110х450 мм</v>
      </c>
      <c r="D862" s="627"/>
      <c r="E862" s="627"/>
      <c r="F862" s="627"/>
      <c r="G862" s="628"/>
      <c r="H862" s="608">
        <v>1</v>
      </c>
      <c r="I862" s="609">
        <f>IFERROR(H862*$T$165,0)</f>
        <v>0</v>
      </c>
      <c r="J862" s="1013" t="s">
        <v>151</v>
      </c>
      <c r="M862" s="120"/>
      <c r="N862" s="1029">
        <v>0</v>
      </c>
    </row>
    <row r="863" spans="1:21" ht="15" customHeight="1">
      <c r="C863" s="626" t="str">
        <f>$R$166</f>
        <v>Воронка парапетная 100*100 (квадратное сечение)</v>
      </c>
      <c r="D863" s="627"/>
      <c r="E863" s="627"/>
      <c r="F863" s="627"/>
      <c r="G863" s="628"/>
      <c r="H863" s="608">
        <v>1</v>
      </c>
      <c r="I863" s="609">
        <f>IFERROR(H863*$T$166,0)</f>
        <v>0</v>
      </c>
      <c r="J863" s="1013" t="s">
        <v>151</v>
      </c>
      <c r="K863" s="120"/>
      <c r="M863" s="120"/>
      <c r="N863" s="1029">
        <v>0</v>
      </c>
    </row>
    <row r="864" spans="1:21" ht="15" customHeight="1">
      <c r="C864" s="626" t="s">
        <v>741</v>
      </c>
      <c r="D864" s="627"/>
      <c r="E864" s="627"/>
      <c r="F864" s="627"/>
      <c r="G864" s="628"/>
      <c r="H864" s="608">
        <v>1</v>
      </c>
      <c r="I864" s="609">
        <f>ROUNDUP(ПЛ/82,0)</f>
        <v>0</v>
      </c>
      <c r="J864" s="1013" t="s">
        <v>151</v>
      </c>
      <c r="M864" s="120"/>
      <c r="N864" s="1029">
        <v>0</v>
      </c>
    </row>
    <row r="865" spans="1:16" ht="15" customHeight="1">
      <c r="A865" s="785"/>
      <c r="C865" s="626" t="s">
        <v>1474</v>
      </c>
      <c r="D865" s="627"/>
      <c r="E865" s="627"/>
      <c r="F865" s="627"/>
      <c r="G865" s="628"/>
      <c r="H865" s="608">
        <v>1.1499999999999999</v>
      </c>
      <c r="I865" s="609">
        <f>ROUNDUP(ПЛ*H865,0)</f>
        <v>0</v>
      </c>
      <c r="J865" s="1013" t="s">
        <v>112</v>
      </c>
      <c r="M865" s="120"/>
      <c r="N865" s="1029">
        <v>0</v>
      </c>
    </row>
    <row r="866" spans="1:16" ht="15" customHeight="1">
      <c r="A866" s="785"/>
      <c r="C866" s="626" t="s">
        <v>1475</v>
      </c>
      <c r="D866" s="627"/>
      <c r="E866" s="627"/>
      <c r="F866" s="627"/>
      <c r="G866" s="628"/>
      <c r="H866" s="608">
        <v>1.1499999999999999</v>
      </c>
      <c r="I866" s="609">
        <f>ROUNDUP(ПЛ*H866,0)</f>
        <v>0</v>
      </c>
      <c r="J866" s="1013" t="s">
        <v>112</v>
      </c>
      <c r="M866" s="120"/>
      <c r="N866" s="1029">
        <v>0</v>
      </c>
    </row>
    <row r="867" spans="1:16" ht="15" customHeight="1">
      <c r="A867" s="785"/>
      <c r="C867" s="626" t="s">
        <v>1476</v>
      </c>
      <c r="D867" s="627"/>
      <c r="E867" s="627"/>
      <c r="F867" s="627"/>
      <c r="G867" s="628"/>
      <c r="H867" s="608">
        <v>1.1499999999999999</v>
      </c>
      <c r="I867" s="609">
        <f>ROUNDUP(ПЛ*H867,0)</f>
        <v>0</v>
      </c>
      <c r="J867" s="1013" t="s">
        <v>112</v>
      </c>
      <c r="M867" s="120"/>
      <c r="N867" s="1029">
        <v>0</v>
      </c>
    </row>
    <row r="868" spans="1:16" ht="15" customHeight="1">
      <c r="C868" s="789" t="s">
        <v>826</v>
      </c>
      <c r="D868" s="790"/>
      <c r="E868" s="790"/>
      <c r="F868" s="790"/>
      <c r="G868" s="791"/>
      <c r="H868" s="792">
        <v>1</v>
      </c>
      <c r="I868" s="793">
        <f>I862</f>
        <v>0</v>
      </c>
      <c r="J868" s="794" t="s">
        <v>151</v>
      </c>
      <c r="M868" s="120"/>
      <c r="N868" s="788">
        <v>0</v>
      </c>
      <c r="P868" s="525" t="s">
        <v>827</v>
      </c>
    </row>
    <row r="869" spans="1:16" ht="15" customHeight="1">
      <c r="A869" s="785"/>
      <c r="C869" s="626" t="s">
        <v>1480</v>
      </c>
      <c r="D869" s="627"/>
      <c r="E869" s="627"/>
      <c r="F869" s="627"/>
      <c r="G869" s="628"/>
      <c r="H869" s="608">
        <v>1.1499999999999999</v>
      </c>
      <c r="I869" s="609">
        <f>ROUNDUP(ПЛ*H869,0)</f>
        <v>0</v>
      </c>
      <c r="J869" s="1013" t="s">
        <v>112</v>
      </c>
      <c r="M869" s="120"/>
      <c r="N869" s="1029">
        <v>0</v>
      </c>
    </row>
    <row r="870" spans="1:16" ht="15" customHeight="1">
      <c r="A870" s="785"/>
      <c r="C870" s="626" t="s">
        <v>1481</v>
      </c>
      <c r="D870" s="627"/>
      <c r="E870" s="627"/>
      <c r="F870" s="627"/>
      <c r="G870" s="628"/>
      <c r="H870" s="608">
        <v>1.1499999999999999</v>
      </c>
      <c r="I870" s="609">
        <f>ROUNDUP(ПЛ*H870,0)</f>
        <v>0</v>
      </c>
      <c r="J870" s="1013" t="s">
        <v>112</v>
      </c>
      <c r="M870" s="120"/>
      <c r="N870" s="1029">
        <v>0</v>
      </c>
    </row>
    <row r="871" spans="1:16" ht="15" customHeight="1">
      <c r="A871" s="785"/>
      <c r="C871" s="626" t="s">
        <v>1482</v>
      </c>
      <c r="D871" s="627"/>
      <c r="E871" s="627"/>
      <c r="F871" s="627"/>
      <c r="G871" s="628"/>
      <c r="H871" s="608">
        <v>1.1499999999999999</v>
      </c>
      <c r="I871" s="609">
        <f>ROUNDUP(ПЛ*H871,0)</f>
        <v>0</v>
      </c>
      <c r="J871" s="1013" t="s">
        <v>112</v>
      </c>
      <c r="M871" s="120"/>
      <c r="N871" s="1029">
        <v>0</v>
      </c>
    </row>
    <row r="872" spans="1:16" ht="15" customHeight="1">
      <c r="A872" s="785"/>
      <c r="C872" s="626" t="s">
        <v>822</v>
      </c>
      <c r="D872" s="627"/>
      <c r="E872" s="627"/>
      <c r="F872" s="627"/>
      <c r="G872" s="628"/>
      <c r="H872" s="608">
        <v>2.2999999999999998</v>
      </c>
      <c r="I872" s="609">
        <f t="shared" ref="I872:I877" si="149">ROUNDUP(ПЛ*H872,0)</f>
        <v>0</v>
      </c>
      <c r="J872" s="1013" t="s">
        <v>112</v>
      </c>
      <c r="M872" s="120"/>
      <c r="N872" s="1029">
        <v>0</v>
      </c>
    </row>
    <row r="873" spans="1:16" ht="15" customHeight="1">
      <c r="C873" s="626" t="s">
        <v>184</v>
      </c>
      <c r="D873" s="627"/>
      <c r="E873" s="627"/>
      <c r="F873" s="627"/>
      <c r="G873" s="628"/>
      <c r="H873" s="608">
        <v>1.1499999999999999</v>
      </c>
      <c r="I873" s="609">
        <f t="shared" si="149"/>
        <v>0</v>
      </c>
      <c r="J873" s="1013" t="s">
        <v>112</v>
      </c>
      <c r="M873" s="120"/>
      <c r="N873" s="1029">
        <v>0</v>
      </c>
    </row>
    <row r="874" spans="1:16" ht="15" customHeight="1">
      <c r="C874" s="626" t="s">
        <v>1093</v>
      </c>
      <c r="D874" s="627"/>
      <c r="E874" s="627"/>
      <c r="F874" s="627"/>
      <c r="G874" s="628"/>
      <c r="H874" s="608">
        <v>1.1499999999999999</v>
      </c>
      <c r="I874" s="609">
        <f t="shared" si="149"/>
        <v>0</v>
      </c>
      <c r="J874" s="1013" t="s">
        <v>112</v>
      </c>
      <c r="M874" s="120"/>
      <c r="N874" s="1029">
        <v>0</v>
      </c>
    </row>
    <row r="875" spans="1:16" ht="15" customHeight="1">
      <c r="C875" s="626" t="s">
        <v>185</v>
      </c>
      <c r="D875" s="627"/>
      <c r="E875" s="627"/>
      <c r="F875" s="627"/>
      <c r="G875" s="628"/>
      <c r="H875" s="608">
        <v>1</v>
      </c>
      <c r="I875" s="609">
        <f t="shared" si="149"/>
        <v>0</v>
      </c>
      <c r="J875" s="1013" t="s">
        <v>183</v>
      </c>
      <c r="M875" s="120"/>
      <c r="N875" s="1029">
        <v>0</v>
      </c>
    </row>
    <row r="876" spans="1:16" ht="15" customHeight="1">
      <c r="A876" s="785"/>
      <c r="C876" s="626" t="s">
        <v>1483</v>
      </c>
      <c r="D876" s="627"/>
      <c r="E876" s="627"/>
      <c r="F876" s="627"/>
      <c r="G876" s="628"/>
      <c r="H876" s="608">
        <v>1.1499999999999999</v>
      </c>
      <c r="I876" s="609">
        <f t="shared" si="149"/>
        <v>0</v>
      </c>
      <c r="J876" s="1013" t="s">
        <v>112</v>
      </c>
      <c r="M876" s="120"/>
      <c r="N876" s="1029">
        <v>0</v>
      </c>
    </row>
    <row r="877" spans="1:16" ht="15" customHeight="1">
      <c r="A877" s="785"/>
      <c r="C877" s="626" t="s">
        <v>1484</v>
      </c>
      <c r="D877" s="627"/>
      <c r="E877" s="627"/>
      <c r="F877" s="627"/>
      <c r="G877" s="628"/>
      <c r="H877" s="608">
        <v>1.1499999999999999</v>
      </c>
      <c r="I877" s="609">
        <f t="shared" si="149"/>
        <v>0</v>
      </c>
      <c r="J877" s="1013" t="s">
        <v>112</v>
      </c>
      <c r="M877" s="120"/>
      <c r="N877" s="1029">
        <v>0</v>
      </c>
    </row>
    <row r="878" spans="1:16" ht="15" customHeight="1">
      <c r="C878" s="626" t="s">
        <v>1103</v>
      </c>
      <c r="D878" s="627"/>
      <c r="E878" s="627"/>
      <c r="F878" s="627"/>
      <c r="G878" s="628"/>
      <c r="H878" s="608">
        <v>1.1499999999999999</v>
      </c>
      <c r="I878" s="609">
        <f>ROUNDUP(ПЛ*H878,0)</f>
        <v>0</v>
      </c>
      <c r="J878" s="1013" t="s">
        <v>112</v>
      </c>
      <c r="M878" s="120"/>
      <c r="N878" s="1029">
        <v>0</v>
      </c>
    </row>
    <row r="879" spans="1:16" ht="15" customHeight="1">
      <c r="A879" s="785"/>
      <c r="C879" s="626" t="s">
        <v>1485</v>
      </c>
      <c r="D879" s="627"/>
      <c r="E879" s="627"/>
      <c r="F879" s="627"/>
      <c r="G879" s="628"/>
      <c r="H879" s="608">
        <v>1.1499999999999999</v>
      </c>
      <c r="I879" s="609">
        <f>ROUNDUP(ПЛ*H879,0)</f>
        <v>0</v>
      </c>
      <c r="J879" s="1013" t="s">
        <v>112</v>
      </c>
      <c r="M879" s="120"/>
      <c r="N879" s="1029">
        <v>0</v>
      </c>
    </row>
    <row r="880" spans="1:16" ht="15" customHeight="1">
      <c r="C880" s="626"/>
      <c r="D880" s="627"/>
      <c r="E880" s="627"/>
      <c r="F880" s="627"/>
      <c r="G880" s="628"/>
      <c r="H880" s="608"/>
      <c r="I880" s="611"/>
      <c r="J880" s="1013"/>
      <c r="M880" s="120"/>
      <c r="N880" s="1029">
        <v>0</v>
      </c>
    </row>
    <row r="881" spans="1:14" ht="15" customHeight="1">
      <c r="C881" s="626" t="s">
        <v>179</v>
      </c>
      <c r="D881" s="627"/>
      <c r="E881" s="627"/>
      <c r="F881" s="627"/>
      <c r="G881" s="628"/>
      <c r="H881" s="608">
        <v>1.2</v>
      </c>
      <c r="I881" s="609">
        <f>ROUNDUP(ПЛ*H881,0)</f>
        <v>0</v>
      </c>
      <c r="J881" s="1013" t="s">
        <v>112</v>
      </c>
      <c r="M881" s="120"/>
      <c r="N881" s="1029">
        <v>0</v>
      </c>
    </row>
    <row r="882" spans="1:14" ht="15" customHeight="1">
      <c r="C882" s="626" t="s">
        <v>248</v>
      </c>
      <c r="D882" s="627"/>
      <c r="E882" s="627"/>
      <c r="F882" s="627"/>
      <c r="G882" s="628" t="str">
        <f>" "</f>
        <v xml:space="preserve"> </v>
      </c>
      <c r="H882" s="608">
        <v>1.2</v>
      </c>
      <c r="I882" s="609">
        <f>ROUNDUP(ПЛ*H882,0)</f>
        <v>0</v>
      </c>
      <c r="J882" s="1013" t="s">
        <v>112</v>
      </c>
      <c r="M882" s="120"/>
      <c r="N882" s="1029">
        <v>0</v>
      </c>
    </row>
    <row r="883" spans="1:14" ht="15" customHeight="1">
      <c r="A883" s="785"/>
      <c r="B883" s="158"/>
      <c r="C883" s="626" t="s">
        <v>1486</v>
      </c>
      <c r="D883" s="627"/>
      <c r="E883" s="627"/>
      <c r="F883" s="627"/>
      <c r="G883" s="628"/>
      <c r="H883" s="608">
        <v>1.1499999999999999</v>
      </c>
      <c r="I883" s="609">
        <f>ROUNDUP(ПЛ*H883,0)</f>
        <v>0</v>
      </c>
      <c r="J883" s="1013" t="s">
        <v>112</v>
      </c>
      <c r="M883" s="120"/>
      <c r="N883" s="1029">
        <v>0</v>
      </c>
    </row>
    <row r="884" spans="1:14" ht="15" customHeight="1">
      <c r="A884" s="785"/>
      <c r="B884" s="158"/>
      <c r="C884" s="626" t="s">
        <v>1487</v>
      </c>
      <c r="D884" s="627"/>
      <c r="E884" s="627"/>
      <c r="F884" s="627"/>
      <c r="G884" s="628"/>
      <c r="H884" s="608">
        <v>1.1499999999999999</v>
      </c>
      <c r="I884" s="609">
        <f>ROUNDUP(ПЛ*H884,0)</f>
        <v>0</v>
      </c>
      <c r="J884" s="1013" t="s">
        <v>112</v>
      </c>
      <c r="M884" s="120"/>
      <c r="N884" s="1029">
        <v>0</v>
      </c>
    </row>
    <row r="885" spans="1:14" ht="15" customHeight="1">
      <c r="A885" s="785"/>
      <c r="B885" s="158"/>
      <c r="C885" s="626" t="s">
        <v>1488</v>
      </c>
      <c r="D885" s="627"/>
      <c r="E885" s="627"/>
      <c r="F885" s="627"/>
      <c r="G885" s="628"/>
      <c r="H885" s="608">
        <v>1.1499999999999999</v>
      </c>
      <c r="I885" s="609">
        <f>ROUNDUP(ПЛ*H885,0)</f>
        <v>0</v>
      </c>
      <c r="J885" s="1013" t="s">
        <v>112</v>
      </c>
      <c r="M885" s="120"/>
      <c r="N885" s="1029">
        <v>0</v>
      </c>
    </row>
    <row r="886" spans="1:14" ht="15" customHeight="1">
      <c r="C886" s="626"/>
      <c r="D886" s="627"/>
      <c r="E886" s="627"/>
      <c r="F886" s="627"/>
      <c r="G886" s="628"/>
      <c r="H886" s="608"/>
      <c r="I886" s="611"/>
      <c r="J886" s="1013"/>
      <c r="M886" s="120"/>
      <c r="N886" s="1029">
        <v>0</v>
      </c>
    </row>
    <row r="887" spans="1:14" ht="15" customHeight="1">
      <c r="A887" s="785"/>
      <c r="C887" s="626" t="s">
        <v>1104</v>
      </c>
      <c r="D887" s="627"/>
      <c r="E887" s="627"/>
      <c r="F887" s="627"/>
      <c r="G887" s="628"/>
      <c r="H887" s="608">
        <v>1.1499999999999999</v>
      </c>
      <c r="I887" s="609">
        <f>ROUNDUP(ПЛ*H887,0)</f>
        <v>0</v>
      </c>
      <c r="J887" s="1013" t="s">
        <v>112</v>
      </c>
      <c r="M887" s="120"/>
      <c r="N887" s="1029">
        <v>0</v>
      </c>
    </row>
    <row r="888" spans="1:14" ht="15" customHeight="1">
      <c r="C888" s="626" t="s">
        <v>1105</v>
      </c>
      <c r="D888" s="627"/>
      <c r="E888" s="627"/>
      <c r="F888" s="627"/>
      <c r="G888" s="628"/>
      <c r="H888" s="608">
        <v>1.1499999999999999</v>
      </c>
      <c r="I888" s="609">
        <f>ROUNDUP(ПЛ*H888,0)</f>
        <v>0</v>
      </c>
      <c r="J888" s="1013" t="s">
        <v>112</v>
      </c>
      <c r="M888" s="120"/>
      <c r="N888" s="1029">
        <v>0</v>
      </c>
    </row>
    <row r="889" spans="1:14" ht="15" customHeight="1">
      <c r="C889" s="626"/>
      <c r="D889" s="627"/>
      <c r="E889" s="627"/>
      <c r="F889" s="627"/>
      <c r="G889" s="628"/>
      <c r="H889" s="608"/>
      <c r="I889" s="611"/>
      <c r="J889" s="1013"/>
      <c r="M889" s="120"/>
      <c r="N889" s="1029">
        <v>0</v>
      </c>
    </row>
    <row r="890" spans="1:14" ht="15" customHeight="1">
      <c r="C890" s="626"/>
      <c r="D890" s="627"/>
      <c r="E890" s="627"/>
      <c r="F890" s="627"/>
      <c r="G890" s="628"/>
      <c r="H890" s="608"/>
      <c r="I890" s="611"/>
      <c r="J890" s="1013"/>
      <c r="M890" s="120"/>
      <c r="N890" s="1029">
        <v>0</v>
      </c>
    </row>
    <row r="891" spans="1:14" ht="15" customHeight="1">
      <c r="C891" s="626"/>
      <c r="D891" s="627"/>
      <c r="E891" s="627"/>
      <c r="F891" s="627"/>
      <c r="G891" s="628"/>
      <c r="H891" s="608"/>
      <c r="I891" s="611"/>
      <c r="J891" s="1013"/>
      <c r="M891" s="120"/>
      <c r="N891" s="1029">
        <v>0</v>
      </c>
    </row>
    <row r="892" spans="1:14" ht="15" customHeight="1">
      <c r="C892" s="626"/>
      <c r="D892" s="627"/>
      <c r="E892" s="627"/>
      <c r="F892" s="627"/>
      <c r="G892" s="628"/>
      <c r="H892" s="608"/>
      <c r="I892" s="611"/>
      <c r="J892" s="1013"/>
      <c r="M892" s="120"/>
      <c r="N892" s="1029">
        <v>0</v>
      </c>
    </row>
    <row r="893" spans="1:14" ht="15" customHeight="1">
      <c r="C893" s="626"/>
      <c r="D893" s="627"/>
      <c r="E893" s="627"/>
      <c r="F893" s="627"/>
      <c r="G893" s="628"/>
      <c r="H893" s="608"/>
      <c r="I893" s="611"/>
      <c r="J893" s="1013"/>
      <c r="M893" s="120"/>
      <c r="N893" s="1029">
        <v>0</v>
      </c>
    </row>
    <row r="894" spans="1:14" ht="15" customHeight="1">
      <c r="C894" s="626"/>
      <c r="D894" s="627"/>
      <c r="E894" s="627"/>
      <c r="F894" s="627"/>
      <c r="G894" s="628"/>
      <c r="H894" s="608"/>
      <c r="I894" s="611"/>
      <c r="J894" s="1013"/>
      <c r="M894" s="120"/>
      <c r="N894" s="1029">
        <v>0</v>
      </c>
    </row>
    <row r="895" spans="1:14" ht="15" customHeight="1">
      <c r="C895" s="626"/>
      <c r="D895" s="627"/>
      <c r="E895" s="627"/>
      <c r="F895" s="627"/>
      <c r="G895" s="628"/>
      <c r="H895" s="608"/>
      <c r="I895" s="611"/>
      <c r="J895" s="1013"/>
      <c r="M895" s="120"/>
      <c r="N895" s="1029">
        <v>0</v>
      </c>
    </row>
    <row r="896" spans="1:14" ht="15" customHeight="1">
      <c r="C896" s="626"/>
      <c r="D896" s="627"/>
      <c r="E896" s="627"/>
      <c r="F896" s="627"/>
      <c r="G896" s="628"/>
      <c r="H896" s="608"/>
      <c r="I896" s="611"/>
      <c r="J896" s="1013"/>
      <c r="M896" s="120"/>
      <c r="N896" s="1029">
        <v>0</v>
      </c>
    </row>
    <row r="897" spans="3:14" ht="15" customHeight="1">
      <c r="C897" s="626"/>
      <c r="D897" s="627"/>
      <c r="E897" s="627"/>
      <c r="F897" s="627"/>
      <c r="G897" s="628"/>
      <c r="H897" s="608"/>
      <c r="I897" s="611"/>
      <c r="J897" s="1013"/>
      <c r="M897" s="120"/>
      <c r="N897" s="1029">
        <v>0</v>
      </c>
    </row>
    <row r="898" spans="3:14" ht="15" customHeight="1">
      <c r="C898" s="626"/>
      <c r="D898" s="627"/>
      <c r="E898" s="627"/>
      <c r="F898" s="627"/>
      <c r="G898" s="628"/>
      <c r="H898" s="608"/>
      <c r="I898" s="611"/>
      <c r="J898" s="1013"/>
      <c r="M898" s="120"/>
      <c r="N898" s="1029">
        <v>0</v>
      </c>
    </row>
    <row r="899" spans="3:14" ht="15" customHeight="1">
      <c r="C899" s="626"/>
      <c r="D899" s="627"/>
      <c r="E899" s="627"/>
      <c r="F899" s="627"/>
      <c r="G899" s="628"/>
      <c r="H899" s="608"/>
      <c r="I899" s="611"/>
      <c r="J899" s="1013"/>
      <c r="M899" s="120"/>
      <c r="N899" s="1029">
        <v>0</v>
      </c>
    </row>
    <row r="900" spans="3:14" ht="15" customHeight="1">
      <c r="C900" s="626"/>
      <c r="D900" s="627"/>
      <c r="E900" s="627"/>
      <c r="F900" s="627"/>
      <c r="G900" s="628"/>
      <c r="H900" s="608"/>
      <c r="I900" s="611"/>
      <c r="J900" s="1013"/>
      <c r="M900" s="120"/>
      <c r="N900" s="1029">
        <v>0</v>
      </c>
    </row>
    <row r="901" spans="3:14" ht="15" customHeight="1">
      <c r="C901" s="626"/>
      <c r="D901" s="627"/>
      <c r="E901" s="627"/>
      <c r="F901" s="627"/>
      <c r="G901" s="628"/>
      <c r="H901" s="608"/>
      <c r="I901" s="611"/>
      <c r="J901" s="1013"/>
      <c r="M901" s="120"/>
      <c r="N901" s="1029">
        <v>0</v>
      </c>
    </row>
    <row r="902" spans="3:14" ht="15" customHeight="1">
      <c r="M902" s="120"/>
      <c r="N902" s="1029">
        <v>0</v>
      </c>
    </row>
    <row r="903" spans="3:14" ht="15" customHeight="1">
      <c r="M903" s="120"/>
      <c r="N903" s="1029">
        <v>0</v>
      </c>
    </row>
    <row r="904" spans="3:14" ht="15" customHeight="1">
      <c r="M904" s="120"/>
      <c r="N904" s="1029">
        <v>0</v>
      </c>
    </row>
    <row r="905" spans="3:14" ht="15" customHeight="1">
      <c r="M905" s="120"/>
      <c r="N905" s="1029">
        <v>0</v>
      </c>
    </row>
    <row r="906" spans="3:14" ht="15" customHeight="1">
      <c r="C906" s="135" t="s">
        <v>186</v>
      </c>
      <c r="D906" s="136"/>
      <c r="E906" s="136"/>
      <c r="F906" s="136"/>
      <c r="G906" s="136"/>
      <c r="H906" s="136"/>
      <c r="I906" s="136"/>
      <c r="J906" s="136"/>
      <c r="M906" s="120"/>
      <c r="N906" s="1029">
        <v>0</v>
      </c>
    </row>
    <row r="907" spans="3:14" ht="15" customHeight="1">
      <c r="C907" s="136"/>
      <c r="D907" s="136"/>
      <c r="E907" s="136"/>
      <c r="F907" s="136"/>
      <c r="G907" s="136"/>
      <c r="H907" s="136"/>
      <c r="I907" s="136"/>
      <c r="J907" s="136"/>
      <c r="M907" s="120"/>
      <c r="N907" s="1029">
        <v>0</v>
      </c>
    </row>
    <row r="908" spans="3:14" ht="15" customHeight="1">
      <c r="C908" s="626" t="s">
        <v>652</v>
      </c>
      <c r="D908" s="627"/>
      <c r="E908" s="627"/>
      <c r="F908" s="627"/>
      <c r="G908" s="628" t="str">
        <f t="shared" ref="G908:G913" si="150">" "</f>
        <v xml:space="preserve"> </v>
      </c>
      <c r="H908" s="608">
        <v>1.03</v>
      </c>
      <c r="I908" s="614">
        <f>IFERROR(ROUNDUP(ПКР*H908,2),0)</f>
        <v>0</v>
      </c>
      <c r="J908" s="1013" t="s">
        <v>264</v>
      </c>
      <c r="L908" s="1164" t="str">
        <f ca="1">HYPERLINK("#"&amp;$AB$5&amp;"!b21","⇑ ")</f>
        <v xml:space="preserve">⇑ </v>
      </c>
      <c r="M908" s="120"/>
      <c r="N908" s="1029">
        <v>0</v>
      </c>
    </row>
    <row r="909" spans="3:14" ht="15" customHeight="1">
      <c r="C909" s="626" t="s">
        <v>651</v>
      </c>
      <c r="D909" s="627"/>
      <c r="E909" s="627"/>
      <c r="F909" s="627"/>
      <c r="G909" s="628" t="str">
        <f t="shared" si="150"/>
        <v xml:space="preserve"> </v>
      </c>
      <c r="H909" s="608">
        <v>1.03</v>
      </c>
      <c r="I909" s="614">
        <f>IFERROR(ROUNDUP(ППР*H909,2),0)</f>
        <v>0</v>
      </c>
      <c r="J909" s="1013" t="s">
        <v>264</v>
      </c>
      <c r="L909" s="1164"/>
      <c r="M909" s="120"/>
      <c r="N909" s="1029">
        <v>0</v>
      </c>
    </row>
    <row r="910" spans="3:14" ht="15" customHeight="1">
      <c r="C910" s="626" t="s">
        <v>559</v>
      </c>
      <c r="D910" s="627"/>
      <c r="E910" s="627"/>
      <c r="F910" s="627"/>
      <c r="G910" s="628" t="str">
        <f t="shared" si="150"/>
        <v xml:space="preserve"> </v>
      </c>
      <c r="H910" s="608">
        <v>5</v>
      </c>
      <c r="I910" s="611">
        <f>IFERROR(ROUNDUP(СМРЗ.МЕТ*H910*1.03,0),0)</f>
        <v>0</v>
      </c>
      <c r="J910" s="1013" t="s">
        <v>151</v>
      </c>
      <c r="L910" s="1164"/>
      <c r="M910" s="120"/>
      <c r="N910" s="1029">
        <v>0</v>
      </c>
    </row>
    <row r="911" spans="3:14" ht="15" customHeight="1">
      <c r="C911" s="626" t="s">
        <v>189</v>
      </c>
      <c r="D911" s="627"/>
      <c r="E911" s="627"/>
      <c r="F911" s="627"/>
      <c r="G911" s="628" t="str">
        <f t="shared" si="150"/>
        <v xml:space="preserve"> </v>
      </c>
      <c r="H911" s="608">
        <v>5</v>
      </c>
      <c r="I911" s="611">
        <f>IFERROR(ROUNDUP(АНКЕР,0),0)</f>
        <v>0</v>
      </c>
      <c r="J911" s="1013" t="s">
        <v>151</v>
      </c>
      <c r="M911" s="120"/>
      <c r="N911" s="1029">
        <v>0</v>
      </c>
    </row>
    <row r="912" spans="3:14" ht="15" customHeight="1">
      <c r="C912" s="626" t="s">
        <v>1459</v>
      </c>
      <c r="D912" s="627"/>
      <c r="E912" s="627"/>
      <c r="F912" s="627"/>
      <c r="G912" s="628" t="str">
        <f t="shared" si="150"/>
        <v xml:space="preserve"> </v>
      </c>
      <c r="H912" s="608">
        <v>5</v>
      </c>
      <c r="I912" s="611">
        <f>IFERROR(ROUNDUP(СМРЗ.БЕТ*H912*1.03,0),0)+$I$1141</f>
        <v>0</v>
      </c>
      <c r="J912" s="1013" t="s">
        <v>151</v>
      </c>
      <c r="L912" s="1165" t="str">
        <f ca="1">HYPERLINK("#"&amp;$AB$5&amp;"!A1155","ТЕПЛО ПАРАПЕТ ")</f>
        <v xml:space="preserve">ТЕПЛО ПАРАПЕТ </v>
      </c>
      <c r="M912" s="120"/>
      <c r="N912" s="1029">
        <v>0</v>
      </c>
    </row>
    <row r="913" spans="2:14" ht="15" customHeight="1">
      <c r="C913" s="626" t="s">
        <v>653</v>
      </c>
      <c r="D913" s="627"/>
      <c r="E913" s="627"/>
      <c r="F913" s="627"/>
      <c r="G913" s="628" t="str">
        <f t="shared" si="150"/>
        <v xml:space="preserve"> </v>
      </c>
      <c r="H913" s="608">
        <v>0.15</v>
      </c>
      <c r="I913" s="614">
        <f>IFERROR((ROUNDUP(ПКР*H913/310*1000,0))*0.33,0)</f>
        <v>0</v>
      </c>
      <c r="J913" s="1013" t="s">
        <v>183</v>
      </c>
      <c r="L913" s="1166"/>
      <c r="M913" s="120"/>
      <c r="N913" s="1029">
        <v>0</v>
      </c>
    </row>
    <row r="914" spans="2:14" ht="15" customHeight="1">
      <c r="C914" s="626" t="s">
        <v>1476</v>
      </c>
      <c r="D914" s="627"/>
      <c r="E914" s="627"/>
      <c r="F914" s="627"/>
      <c r="G914" s="628" t="str">
        <f>" "</f>
        <v xml:space="preserve"> </v>
      </c>
      <c r="H914" s="608">
        <v>1.1499999999999999</v>
      </c>
      <c r="I914" s="609">
        <f>IFERROR(ROUNDUP(парапетН*H914,0),0)</f>
        <v>0</v>
      </c>
      <c r="J914" s="1013" t="s">
        <v>112</v>
      </c>
      <c r="L914" s="1166"/>
      <c r="M914" s="120"/>
      <c r="N914" s="1029">
        <v>0</v>
      </c>
    </row>
    <row r="915" spans="2:14" ht="15" customHeight="1">
      <c r="C915" s="626" t="s">
        <v>1474</v>
      </c>
      <c r="D915" s="627"/>
      <c r="E915" s="627"/>
      <c r="F915" s="627"/>
      <c r="G915" s="628" t="str">
        <f>" "</f>
        <v xml:space="preserve"> </v>
      </c>
      <c r="H915" s="608">
        <v>1.1499999999999999</v>
      </c>
      <c r="I915" s="609">
        <f>IFERROR(ROUNDUP(парапетВ*H915,0),0)</f>
        <v>0</v>
      </c>
      <c r="J915" s="1013" t="s">
        <v>112</v>
      </c>
      <c r="M915" s="120"/>
      <c r="N915" s="1029">
        <v>0</v>
      </c>
    </row>
    <row r="916" spans="2:14" ht="15" customHeight="1">
      <c r="C916" s="629" t="s">
        <v>182</v>
      </c>
      <c r="D916" s="630"/>
      <c r="E916" s="630"/>
      <c r="F916" s="630"/>
      <c r="G916" s="631" t="str">
        <f>" "</f>
        <v xml:space="preserve"> </v>
      </c>
      <c r="H916" s="608">
        <v>0.25</v>
      </c>
      <c r="I916" s="609">
        <f>IFERROR(ROUNDUP(ПРАЙМЕР*H916,0),0)</f>
        <v>0</v>
      </c>
      <c r="J916" s="1013" t="s">
        <v>183</v>
      </c>
      <c r="M916" s="120"/>
      <c r="N916" s="1029">
        <v>0</v>
      </c>
    </row>
    <row r="917" spans="2:14" ht="15" customHeight="1">
      <c r="B917" s="189"/>
      <c r="C917" s="626" t="str">
        <f>$R$167</f>
        <v>ТЕХНОРУФ 45 ГАЛТЕЛЬ (1.2 м)</v>
      </c>
      <c r="D917" s="627"/>
      <c r="E917" s="627" t="str">
        <f>CONCATENATE($T$167," м.п.")</f>
        <v xml:space="preserve"> м.п.</v>
      </c>
      <c r="F917" s="638" t="str">
        <f>IF($C$917=$Z$37,100," ")</f>
        <v xml:space="preserve"> </v>
      </c>
      <c r="G917" s="628" t="str">
        <f>IF($C$917=$Z$37,"мм"," ")</f>
        <v xml:space="preserve"> </v>
      </c>
      <c r="H917" s="608">
        <v>1.03</v>
      </c>
      <c r="I917" s="711">
        <f>ROUNDUP($T$167*$H$917*0.005,3)</f>
        <v>0</v>
      </c>
      <c r="J917" s="1013" t="s">
        <v>178</v>
      </c>
      <c r="M917" s="120"/>
      <c r="N917" s="1029">
        <v>0</v>
      </c>
    </row>
    <row r="918" spans="2:14" ht="15" customHeight="1">
      <c r="B918" s="189"/>
      <c r="C918" s="626" t="s">
        <v>441</v>
      </c>
      <c r="D918" s="627"/>
      <c r="E918" s="627"/>
      <c r="F918" s="638"/>
      <c r="G918" s="628" t="s">
        <v>150</v>
      </c>
      <c r="H918" s="608">
        <v>1.03</v>
      </c>
      <c r="I918" s="711">
        <f>ROUNDUP(($P$4+2*$P$5)*ГОФРЫ,1)</f>
        <v>0</v>
      </c>
      <c r="J918" s="1013" t="s">
        <v>178</v>
      </c>
      <c r="M918" s="120"/>
      <c r="N918" s="1029">
        <v>0</v>
      </c>
    </row>
    <row r="919" spans="2:14" ht="15" customHeight="1">
      <c r="B919" s="189"/>
      <c r="C919" s="626"/>
      <c r="D919" s="627"/>
      <c r="E919" s="627"/>
      <c r="F919" s="627"/>
      <c r="G919" s="628"/>
      <c r="H919" s="608"/>
      <c r="I919" s="609"/>
      <c r="J919" s="1013"/>
      <c r="M919" s="120"/>
      <c r="N919" s="1029">
        <v>0</v>
      </c>
    </row>
    <row r="920" spans="2:14" ht="15" customHeight="1">
      <c r="B920" s="189"/>
      <c r="C920" s="626"/>
      <c r="D920" s="627"/>
      <c r="E920" s="627"/>
      <c r="F920" s="627"/>
      <c r="G920" s="628"/>
      <c r="H920" s="608"/>
      <c r="I920" s="609"/>
      <c r="J920" s="1013"/>
      <c r="M920" s="120"/>
      <c r="N920" s="1029">
        <v>0</v>
      </c>
    </row>
    <row r="921" spans="2:14" ht="15" customHeight="1">
      <c r="B921" s="189"/>
      <c r="C921" s="626" t="s">
        <v>998</v>
      </c>
      <c r="D921" s="627"/>
      <c r="E921" s="627"/>
      <c r="F921" s="638"/>
      <c r="G921" s="628" t="s">
        <v>150</v>
      </c>
      <c r="H921" s="608">
        <v>1.03</v>
      </c>
      <c r="I921" s="711">
        <f>ROUNDUP(($P$4+2*$P$5)*ГОФРЫ,1)</f>
        <v>0</v>
      </c>
      <c r="J921" s="1013" t="s">
        <v>178</v>
      </c>
      <c r="M921" s="120"/>
      <c r="N921" s="1029">
        <v>0</v>
      </c>
    </row>
    <row r="922" spans="2:14" ht="15" customHeight="1">
      <c r="B922" s="158"/>
      <c r="C922" s="713"/>
      <c r="D922" s="852"/>
      <c r="E922" s="852"/>
      <c r="F922" s="852"/>
      <c r="G922" s="853"/>
      <c r="H922" s="712"/>
      <c r="I922" s="712"/>
      <c r="J922" s="712"/>
      <c r="M922" s="120"/>
      <c r="N922" s="1029">
        <v>0</v>
      </c>
    </row>
    <row r="923" spans="2:14" ht="15" customHeight="1">
      <c r="B923" s="158"/>
      <c r="C923" s="635" t="s">
        <v>678</v>
      </c>
      <c r="D923" s="636"/>
      <c r="E923" s="636"/>
      <c r="F923" s="636"/>
      <c r="G923" s="637"/>
      <c r="H923" s="608">
        <v>1</v>
      </c>
      <c r="I923" s="609">
        <f>IF(AND($V$3=$Y$3,OR($V$2=$AA$20,$V$2=$AA$21)),SUMIF($S$172:$S$176,C923,$V$172:$V$176),0)</f>
        <v>0</v>
      </c>
      <c r="J923" s="1013" t="s">
        <v>151</v>
      </c>
      <c r="M923" s="120"/>
      <c r="N923" s="1029">
        <v>0</v>
      </c>
    </row>
    <row r="924" spans="2:14" ht="15" customHeight="1">
      <c r="B924" s="158"/>
      <c r="C924" s="626" t="s">
        <v>679</v>
      </c>
      <c r="D924" s="627"/>
      <c r="E924" s="627"/>
      <c r="F924" s="627"/>
      <c r="G924" s="628"/>
      <c r="H924" s="608">
        <v>1</v>
      </c>
      <c r="I924" s="609">
        <f>IF(AND($V$3=$Y$3,OR($V$2=$AA$20,$V$2=$AA$21)),SUMIF($S$172:$S$176,C924,$V$172:$V$176),0)</f>
        <v>0</v>
      </c>
      <c r="J924" s="1013" t="s">
        <v>151</v>
      </c>
      <c r="M924" s="120"/>
      <c r="N924" s="1029">
        <v>0</v>
      </c>
    </row>
    <row r="925" spans="2:14" ht="15" customHeight="1">
      <c r="B925" s="158"/>
      <c r="C925" s="626" t="s">
        <v>681</v>
      </c>
      <c r="D925" s="627"/>
      <c r="E925" s="627"/>
      <c r="F925" s="627"/>
      <c r="G925" s="628"/>
      <c r="H925" s="608">
        <v>1</v>
      </c>
      <c r="I925" s="609">
        <f>IF(AND($V$3=$Y$3,OR($V$2=$AA$20,$V$2=$AA$21)),SUMIF($S$172:$S$176,C925,$V$172:$V$176),0)</f>
        <v>0</v>
      </c>
      <c r="J925" s="1013" t="s">
        <v>151</v>
      </c>
      <c r="M925" s="120"/>
      <c r="N925" s="1029">
        <v>0</v>
      </c>
    </row>
    <row r="926" spans="2:14" ht="15" customHeight="1">
      <c r="B926" s="158"/>
      <c r="C926" s="626" t="s">
        <v>680</v>
      </c>
      <c r="D926" s="627"/>
      <c r="E926" s="627"/>
      <c r="F926" s="627"/>
      <c r="G926" s="628"/>
      <c r="H926" s="608">
        <v>1</v>
      </c>
      <c r="I926" s="609">
        <f>IF(AND($V$3=$Y$3,OR($V$2=$AA$20,$V$2=$AA$21)),SUMIF($S$172:$S$176,C926,$V$172:$V$176),0)</f>
        <v>0</v>
      </c>
      <c r="J926" s="1013" t="s">
        <v>151</v>
      </c>
      <c r="M926" s="120"/>
      <c r="N926" s="1029">
        <v>0</v>
      </c>
    </row>
    <row r="927" spans="2:14" ht="15" customHeight="1">
      <c r="C927" s="713"/>
      <c r="D927" s="852"/>
      <c r="E927" s="852"/>
      <c r="F927" s="852"/>
      <c r="G927" s="853"/>
      <c r="H927" s="713"/>
      <c r="I927" s="852"/>
      <c r="J927" s="853"/>
      <c r="M927" s="120"/>
      <c r="N927" s="1029">
        <v>0</v>
      </c>
    </row>
    <row r="928" spans="2:14" ht="15" customHeight="1">
      <c r="C928" s="626" t="s">
        <v>1489</v>
      </c>
      <c r="D928" s="627"/>
      <c r="E928" s="627"/>
      <c r="F928" s="733"/>
      <c r="G928" s="628" t="str">
        <f t="shared" ref="G928:G933" si="151">" "</f>
        <v xml:space="preserve"> </v>
      </c>
      <c r="H928" s="608">
        <v>1.1499999999999999</v>
      </c>
      <c r="I928" s="609">
        <f>IFERROR(ROUNDUP((парапетВ+парапетН)*H928,0),0)</f>
        <v>0</v>
      </c>
      <c r="J928" s="1013" t="s">
        <v>112</v>
      </c>
      <c r="M928" s="120"/>
      <c r="N928" s="1029">
        <v>0</v>
      </c>
    </row>
    <row r="929" spans="3:14" ht="15" customHeight="1">
      <c r="C929" s="626" t="s">
        <v>184</v>
      </c>
      <c r="D929" s="627"/>
      <c r="E929" s="627"/>
      <c r="F929" s="627"/>
      <c r="G929" s="628" t="str">
        <f t="shared" si="151"/>
        <v xml:space="preserve"> </v>
      </c>
      <c r="H929" s="608">
        <v>1.1499999999999999</v>
      </c>
      <c r="I929" s="609">
        <f>IFERROR(ROUNDUP(парапетВ*H929,0),0)</f>
        <v>0</v>
      </c>
      <c r="J929" s="1013" t="s">
        <v>112</v>
      </c>
      <c r="M929" s="120"/>
      <c r="N929" s="1029">
        <v>0</v>
      </c>
    </row>
    <row r="930" spans="3:14" ht="15" customHeight="1">
      <c r="C930" s="626" t="s">
        <v>1483</v>
      </c>
      <c r="D930" s="627"/>
      <c r="E930" s="627"/>
      <c r="F930" s="627"/>
      <c r="G930" s="628" t="str">
        <f t="shared" si="151"/>
        <v xml:space="preserve"> </v>
      </c>
      <c r="H930" s="608">
        <v>1.1499999999999999</v>
      </c>
      <c r="I930" s="609">
        <f>IFERROR(ROUNDUP(парапетН*H930,0),0)</f>
        <v>0</v>
      </c>
      <c r="J930" s="1013" t="s">
        <v>112</v>
      </c>
      <c r="M930" s="120"/>
      <c r="N930" s="1029">
        <v>0</v>
      </c>
    </row>
    <row r="931" spans="3:14" ht="15" customHeight="1">
      <c r="C931" s="626" t="s">
        <v>1484</v>
      </c>
      <c r="D931" s="627"/>
      <c r="E931" s="627"/>
      <c r="F931" s="627"/>
      <c r="G931" s="628" t="str">
        <f t="shared" si="151"/>
        <v xml:space="preserve"> </v>
      </c>
      <c r="H931" s="608">
        <v>1.1499999999999999</v>
      </c>
      <c r="I931" s="609">
        <f>IFERROR(ROUNDUP(парапетВ*H931,0),0)</f>
        <v>0</v>
      </c>
      <c r="J931" s="1013" t="s">
        <v>112</v>
      </c>
      <c r="M931" s="120"/>
      <c r="N931" s="1029">
        <v>0</v>
      </c>
    </row>
    <row r="932" spans="3:14" ht="15" customHeight="1">
      <c r="C932" s="626" t="s">
        <v>1481</v>
      </c>
      <c r="D932" s="627"/>
      <c r="E932" s="627"/>
      <c r="F932" s="627"/>
      <c r="G932" s="628" t="str">
        <f t="shared" si="151"/>
        <v xml:space="preserve"> </v>
      </c>
      <c r="H932" s="608">
        <v>1.1499999999999999</v>
      </c>
      <c r="I932" s="609">
        <f>IFERROR(ROUNDUP(парапетН*H932,0),0)</f>
        <v>0</v>
      </c>
      <c r="J932" s="1013" t="s">
        <v>112</v>
      </c>
      <c r="M932" s="120"/>
      <c r="N932" s="1029">
        <v>0</v>
      </c>
    </row>
    <row r="933" spans="3:14" ht="15" customHeight="1">
      <c r="C933" s="626" t="s">
        <v>187</v>
      </c>
      <c r="D933" s="627"/>
      <c r="E933" s="627"/>
      <c r="F933" s="627"/>
      <c r="G933" s="628" t="str">
        <f t="shared" si="151"/>
        <v xml:space="preserve"> </v>
      </c>
      <c r="H933" s="608">
        <v>1.1499999999999999</v>
      </c>
      <c r="I933" s="609">
        <f>IFERROR(ROUNDUP(парапетН*H933,0),0)</f>
        <v>0</v>
      </c>
      <c r="J933" s="1013" t="s">
        <v>112</v>
      </c>
      <c r="M933" s="120"/>
      <c r="N933" s="1029">
        <v>0</v>
      </c>
    </row>
    <row r="934" spans="3:14" ht="15" customHeight="1">
      <c r="C934" s="626" t="s">
        <v>249</v>
      </c>
      <c r="D934" s="627"/>
      <c r="E934" s="627"/>
      <c r="F934" s="627"/>
      <c r="G934" s="628"/>
      <c r="H934" s="608">
        <v>4</v>
      </c>
      <c r="I934" s="609"/>
      <c r="J934" s="1013" t="s">
        <v>151</v>
      </c>
      <c r="M934" s="120"/>
      <c r="N934" s="1029">
        <v>0</v>
      </c>
    </row>
    <row r="935" spans="3:14" ht="15" customHeight="1">
      <c r="C935" s="626" t="s">
        <v>1485</v>
      </c>
      <c r="D935" s="627"/>
      <c r="E935" s="627"/>
      <c r="F935" s="627"/>
      <c r="G935" s="628" t="str">
        <f>" "</f>
        <v xml:space="preserve"> </v>
      </c>
      <c r="H935" s="608">
        <v>1.1499999999999999</v>
      </c>
      <c r="I935" s="609">
        <f>IFERROR(ROUNDUP(парапетВ*H935,0),0)</f>
        <v>0</v>
      </c>
      <c r="J935" s="1013" t="s">
        <v>112</v>
      </c>
      <c r="M935" s="120"/>
      <c r="N935" s="1029">
        <v>0</v>
      </c>
    </row>
    <row r="936" spans="3:14" ht="15" customHeight="1">
      <c r="C936" s="626" t="s">
        <v>1103</v>
      </c>
      <c r="D936" s="627"/>
      <c r="E936" s="627"/>
      <c r="F936" s="627"/>
      <c r="G936" s="628"/>
      <c r="H936" s="608">
        <v>1.1499999999999999</v>
      </c>
      <c r="I936" s="609">
        <f>IFERROR(ROUNDUP(парапетВ*H936,0),0)</f>
        <v>0</v>
      </c>
      <c r="J936" s="1013" t="s">
        <v>112</v>
      </c>
      <c r="M936" s="120"/>
      <c r="N936" s="1029">
        <v>0</v>
      </c>
    </row>
    <row r="937" spans="3:14" ht="15" customHeight="1">
      <c r="C937" s="626" t="s">
        <v>1486</v>
      </c>
      <c r="D937" s="627"/>
      <c r="E937" s="627"/>
      <c r="F937" s="627"/>
      <c r="G937" s="628"/>
      <c r="H937" s="608">
        <v>1.1499999999999999</v>
      </c>
      <c r="I937" s="609">
        <f>IFERROR(ROUNDUP(парапетВ*H937,0),0)</f>
        <v>0</v>
      </c>
      <c r="J937" s="1013" t="s">
        <v>112</v>
      </c>
      <c r="M937" s="120"/>
      <c r="N937" s="1029">
        <v>0</v>
      </c>
    </row>
    <row r="938" spans="3:14" ht="15" customHeight="1">
      <c r="C938" s="626" t="s">
        <v>1487</v>
      </c>
      <c r="D938" s="627"/>
      <c r="E938" s="627"/>
      <c r="F938" s="627"/>
      <c r="G938" s="628"/>
      <c r="H938" s="608">
        <v>1.1499999999999999</v>
      </c>
      <c r="I938" s="609">
        <f>IFERROR(ROUNDUP(парапетВ*H938,0),0)</f>
        <v>0</v>
      </c>
      <c r="J938" s="1013" t="s">
        <v>112</v>
      </c>
      <c r="M938" s="120"/>
      <c r="N938" s="1029">
        <v>0</v>
      </c>
    </row>
    <row r="939" spans="3:14" ht="15" customHeight="1">
      <c r="C939" s="626" t="s">
        <v>1490</v>
      </c>
      <c r="D939" s="627"/>
      <c r="E939" s="627"/>
      <c r="F939" s="627"/>
      <c r="G939" s="628"/>
      <c r="H939" s="608">
        <v>1.1499999999999999</v>
      </c>
      <c r="I939" s="609">
        <f>IFERROR(ROUNDUP(парапетН*H939,0),0)</f>
        <v>0</v>
      </c>
      <c r="J939" s="1013" t="s">
        <v>112</v>
      </c>
      <c r="M939" s="120"/>
      <c r="N939" s="1029">
        <v>0</v>
      </c>
    </row>
    <row r="940" spans="3:14" ht="15" customHeight="1">
      <c r="C940" s="626" t="s">
        <v>1099</v>
      </c>
      <c r="D940" s="627"/>
      <c r="E940" s="627"/>
      <c r="F940" s="627"/>
      <c r="G940" s="628"/>
      <c r="H940" s="608"/>
      <c r="I940" s="879"/>
      <c r="J940" s="1013" t="s">
        <v>264</v>
      </c>
      <c r="M940" s="120"/>
      <c r="N940" s="1029">
        <v>0</v>
      </c>
    </row>
    <row r="941" spans="3:14" ht="15" customHeight="1">
      <c r="C941" s="626"/>
      <c r="D941" s="627"/>
      <c r="E941" s="627"/>
      <c r="F941" s="627"/>
      <c r="G941" s="628"/>
      <c r="H941" s="608"/>
      <c r="I941" s="609"/>
      <c r="J941" s="1013"/>
      <c r="M941" s="120"/>
      <c r="N941" s="1029">
        <v>0</v>
      </c>
    </row>
    <row r="942" spans="3:14" ht="15" customHeight="1">
      <c r="C942" s="890" t="s">
        <v>1128</v>
      </c>
      <c r="D942" s="891"/>
      <c r="E942" s="891"/>
      <c r="F942" s="891"/>
      <c r="G942" s="892"/>
      <c r="H942" s="893"/>
      <c r="I942" s="878"/>
      <c r="J942" s="685" t="s">
        <v>151</v>
      </c>
      <c r="M942" s="120"/>
      <c r="N942" s="1029">
        <v>0</v>
      </c>
    </row>
    <row r="943" spans="3:14" ht="15" customHeight="1">
      <c r="C943" s="626"/>
      <c r="D943" s="627"/>
      <c r="E943" s="627"/>
      <c r="F943" s="627"/>
      <c r="G943" s="628"/>
      <c r="H943" s="608"/>
      <c r="I943" s="609"/>
      <c r="J943" s="1013"/>
      <c r="M943" s="120"/>
      <c r="N943" s="1029">
        <v>0</v>
      </c>
    </row>
    <row r="944" spans="3:14" ht="15" customHeight="1">
      <c r="C944" s="626"/>
      <c r="D944" s="627"/>
      <c r="E944" s="627"/>
      <c r="F944" s="627"/>
      <c r="G944" s="628"/>
      <c r="H944" s="608"/>
      <c r="I944" s="609"/>
      <c r="J944" s="1013"/>
      <c r="M944" s="120"/>
      <c r="N944" s="1029">
        <v>0</v>
      </c>
    </row>
    <row r="945" spans="3:14" ht="15" customHeight="1">
      <c r="C945" s="626"/>
      <c r="D945" s="627"/>
      <c r="E945" s="627"/>
      <c r="F945" s="627"/>
      <c r="G945" s="628"/>
      <c r="H945" s="608"/>
      <c r="I945" s="609"/>
      <c r="J945" s="1013"/>
      <c r="M945" s="120"/>
      <c r="N945" s="1029">
        <v>0</v>
      </c>
    </row>
    <row r="946" spans="3:14" ht="15" customHeight="1">
      <c r="C946" s="626"/>
      <c r="D946" s="627"/>
      <c r="E946" s="627"/>
      <c r="F946" s="627"/>
      <c r="G946" s="628"/>
      <c r="H946" s="608"/>
      <c r="I946" s="609"/>
      <c r="J946" s="1013"/>
      <c r="M946" s="120"/>
      <c r="N946" s="1029">
        <v>0</v>
      </c>
    </row>
    <row r="947" spans="3:14" ht="15" customHeight="1">
      <c r="C947" s="626"/>
      <c r="D947" s="627"/>
      <c r="E947" s="627"/>
      <c r="F947" s="627"/>
      <c r="G947" s="628"/>
      <c r="H947" s="608"/>
      <c r="I947" s="609"/>
      <c r="J947" s="1013"/>
      <c r="M947" s="120"/>
      <c r="N947" s="1029">
        <v>0</v>
      </c>
    </row>
    <row r="948" spans="3:14" ht="15" customHeight="1">
      <c r="C948" s="626"/>
      <c r="D948" s="627"/>
      <c r="E948" s="627"/>
      <c r="F948" s="627"/>
      <c r="G948" s="628"/>
      <c r="H948" s="608"/>
      <c r="I948" s="609"/>
      <c r="J948" s="1013"/>
      <c r="M948" s="120"/>
      <c r="N948" s="1029">
        <v>0</v>
      </c>
    </row>
    <row r="949" spans="3:14" ht="15" customHeight="1">
      <c r="C949" s="626"/>
      <c r="D949" s="627"/>
      <c r="E949" s="627"/>
      <c r="F949" s="627"/>
      <c r="G949" s="628"/>
      <c r="H949" s="608"/>
      <c r="I949" s="609"/>
      <c r="J949" s="1013"/>
      <c r="M949" s="120"/>
      <c r="N949" s="1029">
        <v>0</v>
      </c>
    </row>
    <row r="950" spans="3:14" ht="15" customHeight="1">
      <c r="C950" s="626"/>
      <c r="D950" s="627"/>
      <c r="E950" s="627"/>
      <c r="F950" s="627"/>
      <c r="G950" s="628"/>
      <c r="H950" s="608"/>
      <c r="I950" s="609"/>
      <c r="J950" s="1013"/>
      <c r="M950" s="120"/>
      <c r="N950" s="1029">
        <v>0</v>
      </c>
    </row>
    <row r="951" spans="3:14" ht="15" customHeight="1">
      <c r="C951" s="626"/>
      <c r="D951" s="627"/>
      <c r="E951" s="627"/>
      <c r="F951" s="627"/>
      <c r="G951" s="628"/>
      <c r="H951" s="608"/>
      <c r="I951" s="609"/>
      <c r="J951" s="1013"/>
      <c r="M951" s="120"/>
      <c r="N951" s="1029">
        <v>0</v>
      </c>
    </row>
    <row r="952" spans="3:14" ht="15" customHeight="1">
      <c r="C952" s="626"/>
      <c r="D952" s="627"/>
      <c r="E952" s="627"/>
      <c r="F952" s="627"/>
      <c r="G952" s="628"/>
      <c r="H952" s="608"/>
      <c r="I952" s="609"/>
      <c r="J952" s="1013"/>
      <c r="M952" s="120"/>
      <c r="N952" s="1029">
        <v>0</v>
      </c>
    </row>
    <row r="953" spans="3:14" ht="15" customHeight="1">
      <c r="C953" s="626"/>
      <c r="D953" s="627"/>
      <c r="E953" s="627"/>
      <c r="F953" s="627"/>
      <c r="G953" s="628"/>
      <c r="H953" s="608"/>
      <c r="I953" s="609"/>
      <c r="J953" s="1013"/>
      <c r="M953" s="120"/>
      <c r="N953" s="1029">
        <v>0</v>
      </c>
    </row>
    <row r="954" spans="3:14" ht="15" customHeight="1">
      <c r="C954" s="626"/>
      <c r="D954" s="627"/>
      <c r="E954" s="627"/>
      <c r="F954" s="627"/>
      <c r="G954" s="628"/>
      <c r="H954" s="608"/>
      <c r="I954" s="609"/>
      <c r="J954" s="1013"/>
      <c r="M954" s="120"/>
      <c r="N954" s="1029">
        <v>0</v>
      </c>
    </row>
    <row r="955" spans="3:14" ht="15" customHeight="1">
      <c r="C955" s="626"/>
      <c r="D955" s="627"/>
      <c r="E955" s="627"/>
      <c r="F955" s="627"/>
      <c r="G955" s="628"/>
      <c r="H955" s="608"/>
      <c r="I955" s="609"/>
      <c r="J955" s="1013"/>
      <c r="M955" s="120"/>
      <c r="N955" s="1029">
        <v>0</v>
      </c>
    </row>
    <row r="956" spans="3:14" ht="15" customHeight="1">
      <c r="C956" s="626"/>
      <c r="D956" s="627"/>
      <c r="E956" s="627"/>
      <c r="F956" s="627"/>
      <c r="G956" s="628"/>
      <c r="H956" s="608"/>
      <c r="I956" s="609"/>
      <c r="J956" s="1013"/>
      <c r="M956" s="120"/>
      <c r="N956" s="1029">
        <v>0</v>
      </c>
    </row>
    <row r="957" spans="3:14" ht="15" customHeight="1">
      <c r="M957" s="120"/>
      <c r="N957" s="1029">
        <v>0</v>
      </c>
    </row>
    <row r="958" spans="3:14" ht="15" customHeight="1">
      <c r="M958" s="120"/>
      <c r="N958" s="1029">
        <v>0</v>
      </c>
    </row>
    <row r="959" spans="3:14" ht="15" customHeight="1">
      <c r="M959" s="120"/>
      <c r="N959" s="1029">
        <v>0</v>
      </c>
    </row>
    <row r="960" spans="3:14" ht="15" customHeight="1">
      <c r="M960" s="120"/>
      <c r="N960" s="1029">
        <v>0</v>
      </c>
    </row>
    <row r="961" spans="2:28" ht="15" customHeight="1">
      <c r="M961" s="120"/>
      <c r="N961" s="1029">
        <v>0</v>
      </c>
    </row>
    <row r="962" spans="2:28" ht="15" customHeight="1">
      <c r="M962" s="120"/>
      <c r="N962" s="1029">
        <v>0</v>
      </c>
    </row>
    <row r="963" spans="2:28" ht="15" customHeight="1">
      <c r="M963" s="120"/>
      <c r="N963" s="1029">
        <v>0</v>
      </c>
    </row>
    <row r="964" spans="2:28" ht="15" customHeight="1">
      <c r="M964" s="120"/>
      <c r="N964" s="1029">
        <v>0</v>
      </c>
    </row>
    <row r="965" spans="2:28" ht="15" customHeight="1">
      <c r="L965" s="1164" t="str">
        <f ca="1">HYPERLINK("#"&amp;$AB$5&amp;"!A1","⇑ ")</f>
        <v xml:space="preserve">⇑ </v>
      </c>
      <c r="M965" s="120"/>
      <c r="N965" s="1029">
        <v>0</v>
      </c>
    </row>
    <row r="966" spans="2:28" ht="15" customHeight="1">
      <c r="C966" s="135" t="s">
        <v>191</v>
      </c>
      <c r="D966" s="136"/>
      <c r="E966" s="136"/>
      <c r="F966" s="136"/>
      <c r="G966" s="136"/>
      <c r="H966" s="136"/>
      <c r="I966" s="136"/>
      <c r="J966" s="136"/>
      <c r="L966" s="1164"/>
      <c r="M966" s="120"/>
      <c r="N966" s="1029">
        <v>0</v>
      </c>
    </row>
    <row r="967" spans="2:28" ht="15" customHeight="1">
      <c r="C967" s="136"/>
      <c r="D967" s="136"/>
      <c r="E967" s="136"/>
      <c r="F967" s="136"/>
      <c r="G967" s="136"/>
      <c r="H967" s="136"/>
      <c r="I967" s="136"/>
      <c r="J967" s="136"/>
      <c r="L967" s="1164"/>
      <c r="M967" s="120"/>
      <c r="N967" s="1029">
        <v>0</v>
      </c>
    </row>
    <row r="968" spans="2:28" ht="15" customHeight="1">
      <c r="C968" s="626" t="s">
        <v>1149</v>
      </c>
      <c r="D968" s="627"/>
      <c r="E968" s="627"/>
      <c r="F968" s="627"/>
      <c r="G968" s="628"/>
      <c r="H968" s="608">
        <v>1</v>
      </c>
      <c r="I968" s="609">
        <f>IFERROR($T$111*1.05/1,0)</f>
        <v>0</v>
      </c>
      <c r="J968" s="1013" t="s">
        <v>112</v>
      </c>
      <c r="M968" s="120"/>
      <c r="N968" s="1029">
        <v>0</v>
      </c>
    </row>
    <row r="969" spans="2:28" ht="15" customHeight="1">
      <c r="C969" s="626"/>
      <c r="D969" s="627"/>
      <c r="E969" s="627"/>
      <c r="F969" s="627"/>
      <c r="G969" s="628"/>
      <c r="H969" s="608"/>
      <c r="I969" s="609"/>
      <c r="M969" s="120"/>
      <c r="N969" s="1029">
        <v>0</v>
      </c>
    </row>
    <row r="970" spans="2:28" ht="15" customHeight="1">
      <c r="C970" s="626" t="s">
        <v>1147</v>
      </c>
      <c r="D970" s="627"/>
      <c r="E970" s="627"/>
      <c r="F970" s="627"/>
      <c r="G970" s="628"/>
      <c r="H970" s="608">
        <v>1</v>
      </c>
      <c r="I970" s="609">
        <f>IFERROR(H970*$T$109,0)</f>
        <v>0</v>
      </c>
      <c r="J970" s="1013" t="s">
        <v>151</v>
      </c>
      <c r="M970" s="120"/>
      <c r="N970" s="1029">
        <v>0</v>
      </c>
    </row>
    <row r="971" spans="2:28" ht="15" customHeight="1">
      <c r="B971" s="158"/>
      <c r="C971" s="626" t="str">
        <f>$R$108</f>
        <v>Воронка с обжимным металлическим фланцем с обогревом 110х720 мм</v>
      </c>
      <c r="D971" s="627"/>
      <c r="E971" s="627"/>
      <c r="F971" s="627"/>
      <c r="G971" s="628"/>
      <c r="H971" s="608">
        <v>1</v>
      </c>
      <c r="I971" s="609">
        <f>IFERROR(H971*$T$108,0)</f>
        <v>0</v>
      </c>
      <c r="J971" s="1013" t="s">
        <v>151</v>
      </c>
      <c r="M971" s="120"/>
      <c r="N971" s="1029">
        <v>0</v>
      </c>
      <c r="AB971" s="1"/>
    </row>
    <row r="972" spans="2:28" ht="15" customHeight="1">
      <c r="B972" s="158"/>
      <c r="C972" s="626"/>
      <c r="D972" s="627"/>
      <c r="E972" s="627"/>
      <c r="F972" s="627"/>
      <c r="G972" s="628"/>
      <c r="H972" s="608"/>
      <c r="I972" s="609"/>
      <c r="J972" s="1013"/>
      <c r="M972" s="120"/>
      <c r="N972" s="1029">
        <v>0</v>
      </c>
      <c r="AB972" s="1"/>
    </row>
    <row r="973" spans="2:28" ht="15" customHeight="1">
      <c r="B973" s="158"/>
      <c r="C973" s="626" t="s">
        <v>530</v>
      </c>
      <c r="D973" s="627"/>
      <c r="E973" s="627"/>
      <c r="F973" s="627"/>
      <c r="G973" s="628"/>
      <c r="H973" s="608">
        <v>1</v>
      </c>
      <c r="I973" s="609">
        <v>0</v>
      </c>
      <c r="J973" s="1013" t="s">
        <v>151</v>
      </c>
      <c r="M973" s="120"/>
      <c r="N973" s="1029">
        <v>0</v>
      </c>
    </row>
    <row r="974" spans="2:28" ht="15" customHeight="1">
      <c r="B974" s="158"/>
      <c r="C974" s="626" t="s">
        <v>1152</v>
      </c>
      <c r="D974" s="627"/>
      <c r="E974" s="627"/>
      <c r="F974" s="627"/>
      <c r="G974" s="628"/>
      <c r="H974" s="608">
        <v>1.1499999999999999</v>
      </c>
      <c r="I974" s="609">
        <f>ROUNDUP((ПЛ*0.006*H974+$AC$186+N("ГИ на ограждение")),0)</f>
        <v>0</v>
      </c>
      <c r="J974" s="1013" t="s">
        <v>112</v>
      </c>
      <c r="M974" s="120"/>
      <c r="N974" s="1029">
        <v>0</v>
      </c>
    </row>
    <row r="975" spans="2:28" ht="15" customHeight="1">
      <c r="B975" s="158"/>
      <c r="C975" s="626" t="s">
        <v>442</v>
      </c>
      <c r="D975" s="627"/>
      <c r="E975" s="627"/>
      <c r="F975" s="627"/>
      <c r="G975" s="628"/>
      <c r="H975" s="608">
        <v>1</v>
      </c>
      <c r="I975" s="609">
        <f>ROUNDUP(ПЛ*0.0005/3+N("/3 - перевод в канистры"),0)</f>
        <v>0</v>
      </c>
      <c r="J975" s="1013" t="s">
        <v>151</v>
      </c>
      <c r="M975" s="120"/>
      <c r="N975" s="1029">
        <v>0</v>
      </c>
    </row>
    <row r="976" spans="2:28" ht="15" customHeight="1">
      <c r="B976" s="158"/>
      <c r="C976" s="626" t="s">
        <v>742</v>
      </c>
      <c r="D976" s="627"/>
      <c r="E976" s="627"/>
      <c r="F976" s="627"/>
      <c r="G976" s="628"/>
      <c r="H976" s="608">
        <v>1</v>
      </c>
      <c r="I976" s="609">
        <f>ROUNDUP(ПЛ/235,0)</f>
        <v>0</v>
      </c>
      <c r="J976" s="1013" t="s">
        <v>151</v>
      </c>
      <c r="L976" s="381"/>
      <c r="M976" s="120"/>
      <c r="N976" s="1029">
        <v>0</v>
      </c>
    </row>
    <row r="977" spans="2:16" ht="15" customHeight="1">
      <c r="C977" s="626" t="s">
        <v>200</v>
      </c>
      <c r="D977" s="627"/>
      <c r="E977" s="627"/>
      <c r="F977" s="627"/>
      <c r="G977" s="628"/>
      <c r="H977" s="608">
        <v>1.1499999999999999</v>
      </c>
      <c r="I977" s="609">
        <f>ROUNDUP(ПЛ*H977,0)</f>
        <v>0</v>
      </c>
      <c r="J977" s="1013" t="s">
        <v>112</v>
      </c>
      <c r="M977" s="120"/>
      <c r="N977" s="1029">
        <v>0</v>
      </c>
    </row>
    <row r="978" spans="2:16" ht="15" customHeight="1">
      <c r="B978" s="158"/>
      <c r="C978" s="629" t="s">
        <v>529</v>
      </c>
      <c r="D978" s="630"/>
      <c r="E978" s="630"/>
      <c r="F978" s="630"/>
      <c r="G978" s="631"/>
      <c r="H978" s="680">
        <v>1</v>
      </c>
      <c r="I978" s="681">
        <f>ROUNDUP((0.004*ПЛ),0)</f>
        <v>0</v>
      </c>
      <c r="J978" s="682" t="s">
        <v>151</v>
      </c>
      <c r="M978" s="120"/>
      <c r="N978" s="1029">
        <v>0</v>
      </c>
    </row>
    <row r="979" spans="2:16" ht="15" customHeight="1">
      <c r="B979" s="158"/>
      <c r="C979" s="789" t="s">
        <v>826</v>
      </c>
      <c r="D979" s="790"/>
      <c r="E979" s="790"/>
      <c r="F979" s="790"/>
      <c r="G979" s="791"/>
      <c r="H979" s="792">
        <v>1</v>
      </c>
      <c r="I979" s="793">
        <f>I971</f>
        <v>0</v>
      </c>
      <c r="J979" s="794" t="s">
        <v>151</v>
      </c>
      <c r="M979" s="120"/>
      <c r="N979" s="1029">
        <v>0</v>
      </c>
      <c r="P979" s="525" t="s">
        <v>827</v>
      </c>
    </row>
    <row r="980" spans="2:16" ht="15" customHeight="1">
      <c r="C980" s="714" t="s">
        <v>179</v>
      </c>
      <c r="D980" s="715"/>
      <c r="E980" s="715"/>
      <c r="F980" s="715"/>
      <c r="G980" s="716" t="str">
        <f>" "</f>
        <v xml:space="preserve"> </v>
      </c>
      <c r="H980" s="717">
        <v>1.2</v>
      </c>
      <c r="I980" s="718">
        <f>ROUNDUP(ПЛ*H980,0)</f>
        <v>0</v>
      </c>
      <c r="J980" s="712" t="s">
        <v>112</v>
      </c>
      <c r="M980" s="120"/>
      <c r="N980" s="1029">
        <v>0</v>
      </c>
    </row>
    <row r="981" spans="2:16" ht="15" customHeight="1">
      <c r="C981" s="626" t="s">
        <v>248</v>
      </c>
      <c r="D981" s="627"/>
      <c r="E981" s="627"/>
      <c r="F981" s="627"/>
      <c r="G981" s="628" t="str">
        <f>" "</f>
        <v xml:space="preserve"> </v>
      </c>
      <c r="H981" s="608">
        <v>1.2</v>
      </c>
      <c r="I981" s="609">
        <f>ROUNDUP(ПЛ*H981,0)</f>
        <v>0</v>
      </c>
      <c r="J981" s="1013" t="s">
        <v>112</v>
      </c>
      <c r="M981" s="120"/>
      <c r="N981" s="1029">
        <v>0</v>
      </c>
    </row>
    <row r="982" spans="2:16" ht="15" customHeight="1">
      <c r="C982" s="626" t="s">
        <v>192</v>
      </c>
      <c r="D982" s="627"/>
      <c r="E982" s="627"/>
      <c r="F982" s="627"/>
      <c r="G982" s="628"/>
      <c r="H982" s="608">
        <v>1.1000000000000001</v>
      </c>
      <c r="I982" s="609">
        <f>ROUNDUP(ПЛ*H982,0)</f>
        <v>0</v>
      </c>
      <c r="J982" s="1013" t="s">
        <v>112</v>
      </c>
      <c r="M982" s="120"/>
      <c r="N982" s="1029">
        <v>0</v>
      </c>
    </row>
    <row r="983" spans="2:16" ht="15" customHeight="1">
      <c r="C983" s="626" t="s">
        <v>193</v>
      </c>
      <c r="D983" s="627"/>
      <c r="E983" s="627"/>
      <c r="F983" s="627"/>
      <c r="G983" s="628"/>
      <c r="H983" s="608">
        <v>1.1000000000000001</v>
      </c>
      <c r="I983" s="609">
        <f>ROUNDUP(ПЛ*H983,0)</f>
        <v>0</v>
      </c>
      <c r="J983" s="1013" t="s">
        <v>112</v>
      </c>
      <c r="K983" s="719"/>
      <c r="L983" s="170"/>
      <c r="M983" s="120"/>
      <c r="N983" s="1029">
        <v>0</v>
      </c>
    </row>
    <row r="984" spans="2:16" ht="15" customHeight="1">
      <c r="B984" s="241"/>
      <c r="C984" s="626" t="s">
        <v>341</v>
      </c>
      <c r="D984" s="627"/>
      <c r="E984" s="627"/>
      <c r="F984" s="627"/>
      <c r="G984" s="628"/>
      <c r="H984" s="608">
        <v>7.1428569999999999E-3</v>
      </c>
      <c r="I984" s="611"/>
      <c r="J984" s="1013" t="s">
        <v>151</v>
      </c>
      <c r="K984" s="1167" t="s">
        <v>342</v>
      </c>
      <c r="L984" s="1167"/>
      <c r="M984" s="120"/>
      <c r="N984" s="1029">
        <v>0</v>
      </c>
    </row>
    <row r="985" spans="2:16" ht="15" customHeight="1">
      <c r="B985" s="241"/>
      <c r="C985" s="626" t="s">
        <v>343</v>
      </c>
      <c r="D985" s="627"/>
      <c r="E985" s="627"/>
      <c r="F985" s="627"/>
      <c r="G985" s="628"/>
      <c r="H985" s="608">
        <v>7.1428569999999999E-3</v>
      </c>
      <c r="I985" s="611"/>
      <c r="J985" s="1013" t="s">
        <v>151</v>
      </c>
      <c r="K985" s="1167"/>
      <c r="L985" s="1167"/>
      <c r="M985" s="120"/>
      <c r="N985" s="1029">
        <v>0</v>
      </c>
    </row>
    <row r="986" spans="2:16" ht="15" customHeight="1">
      <c r="B986" s="241"/>
      <c r="C986" s="626" t="s">
        <v>344</v>
      </c>
      <c r="D986" s="627"/>
      <c r="E986" s="627"/>
      <c r="F986" s="627"/>
      <c r="G986" s="628"/>
      <c r="H986" s="608">
        <v>0.05</v>
      </c>
      <c r="I986" s="611"/>
      <c r="J986" s="1013" t="s">
        <v>151</v>
      </c>
      <c r="K986" s="1168" t="s">
        <v>345</v>
      </c>
      <c r="L986" s="1168"/>
      <c r="M986" s="120"/>
      <c r="N986" s="1029">
        <v>0</v>
      </c>
      <c r="P986" s="525" t="s">
        <v>695</v>
      </c>
    </row>
    <row r="987" spans="2:16" ht="15" customHeight="1">
      <c r="B987" s="241"/>
      <c r="C987" s="626" t="s">
        <v>677</v>
      </c>
      <c r="D987" s="627"/>
      <c r="E987" s="627"/>
      <c r="F987" s="627"/>
      <c r="G987" s="628"/>
      <c r="H987" s="613">
        <v>2.5000000000000001E-2</v>
      </c>
      <c r="I987" s="614"/>
      <c r="J987" s="1013" t="s">
        <v>151</v>
      </c>
      <c r="K987" s="1168"/>
      <c r="L987" s="1168"/>
      <c r="M987" s="120"/>
      <c r="N987" s="1029">
        <v>0</v>
      </c>
      <c r="P987" s="525" t="s">
        <v>695</v>
      </c>
    </row>
    <row r="988" spans="2:16" ht="15" customHeight="1">
      <c r="B988" s="241"/>
      <c r="C988" s="626" t="s">
        <v>802</v>
      </c>
      <c r="D988" s="627"/>
      <c r="E988" s="627"/>
      <c r="F988" s="627"/>
      <c r="G988" s="628"/>
      <c r="H988" s="608">
        <v>0.25</v>
      </c>
      <c r="I988" s="611"/>
      <c r="J988" s="1013" t="s">
        <v>151</v>
      </c>
      <c r="K988" s="1168"/>
      <c r="L988" s="1168"/>
      <c r="M988" s="120"/>
      <c r="N988" s="1029">
        <v>0</v>
      </c>
    </row>
    <row r="989" spans="2:16" ht="15" customHeight="1">
      <c r="C989" s="626" t="s">
        <v>908</v>
      </c>
      <c r="D989" s="627"/>
      <c r="E989" s="627"/>
      <c r="F989" s="627"/>
      <c r="G989" s="628"/>
      <c r="H989" s="608">
        <v>1</v>
      </c>
      <c r="I989" s="609"/>
      <c r="J989" s="1013" t="s">
        <v>151</v>
      </c>
      <c r="M989" s="120"/>
      <c r="N989" s="1029">
        <v>0</v>
      </c>
      <c r="P989" s="525" t="s">
        <v>910</v>
      </c>
    </row>
    <row r="990" spans="2:16" ht="15" customHeight="1">
      <c r="C990" s="626" t="s">
        <v>196</v>
      </c>
      <c r="D990" s="627"/>
      <c r="E990" s="627"/>
      <c r="F990" s="627"/>
      <c r="G990" s="628"/>
      <c r="H990" s="608">
        <v>1.1499999999999999</v>
      </c>
      <c r="I990" s="609">
        <f t="shared" ref="I990:I1007" si="152">ROUNDUP(ПЛ*H990,0)</f>
        <v>0</v>
      </c>
      <c r="J990" s="1013" t="s">
        <v>112</v>
      </c>
      <c r="M990" s="120"/>
      <c r="N990" s="1029">
        <v>0</v>
      </c>
    </row>
    <row r="991" spans="2:16" ht="15" customHeight="1">
      <c r="C991" s="626" t="s">
        <v>202</v>
      </c>
      <c r="D991" s="627"/>
      <c r="E991" s="627"/>
      <c r="F991" s="627"/>
      <c r="G991" s="628"/>
      <c r="H991" s="608">
        <v>1.1499999999999999</v>
      </c>
      <c r="I991" s="609">
        <f t="shared" si="152"/>
        <v>0</v>
      </c>
      <c r="J991" s="1013" t="s">
        <v>112</v>
      </c>
      <c r="M991" s="120"/>
      <c r="N991" s="1029">
        <v>0</v>
      </c>
    </row>
    <row r="992" spans="2:16" ht="15" customHeight="1">
      <c r="C992" s="626" t="s">
        <v>205</v>
      </c>
      <c r="D992" s="627"/>
      <c r="E992" s="627"/>
      <c r="F992" s="627"/>
      <c r="G992" s="628"/>
      <c r="H992" s="608">
        <v>1.1499999999999999</v>
      </c>
      <c r="I992" s="609">
        <f t="shared" si="152"/>
        <v>0</v>
      </c>
      <c r="J992" s="1013" t="s">
        <v>112</v>
      </c>
      <c r="M992" s="120"/>
      <c r="N992" s="1029">
        <v>0</v>
      </c>
    </row>
    <row r="993" spans="3:14" ht="15" customHeight="1">
      <c r="C993" s="626" t="s">
        <v>266</v>
      </c>
      <c r="D993" s="627"/>
      <c r="E993" s="627"/>
      <c r="F993" s="627"/>
      <c r="G993" s="628"/>
      <c r="H993" s="608">
        <v>1.1499999999999999</v>
      </c>
      <c r="I993" s="609">
        <f t="shared" si="152"/>
        <v>0</v>
      </c>
      <c r="J993" s="1013" t="s">
        <v>112</v>
      </c>
      <c r="M993" s="120"/>
      <c r="N993" s="1029">
        <v>0</v>
      </c>
    </row>
    <row r="994" spans="3:14" ht="15" customHeight="1">
      <c r="C994" s="626" t="s">
        <v>194</v>
      </c>
      <c r="D994" s="627"/>
      <c r="E994" s="627"/>
      <c r="F994" s="627"/>
      <c r="G994" s="628"/>
      <c r="H994" s="608">
        <v>1.1499999999999999</v>
      </c>
      <c r="I994" s="609">
        <f t="shared" si="152"/>
        <v>0</v>
      </c>
      <c r="J994" s="1013" t="s">
        <v>112</v>
      </c>
      <c r="M994" s="120"/>
      <c r="N994" s="1029">
        <v>0</v>
      </c>
    </row>
    <row r="995" spans="3:14" ht="15" customHeight="1">
      <c r="C995" s="626" t="s">
        <v>203</v>
      </c>
      <c r="D995" s="627"/>
      <c r="E995" s="627"/>
      <c r="F995" s="627"/>
      <c r="G995" s="628"/>
      <c r="H995" s="608">
        <v>1.1499999999999999</v>
      </c>
      <c r="I995" s="609">
        <f t="shared" si="152"/>
        <v>0</v>
      </c>
      <c r="J995" s="1013" t="s">
        <v>112</v>
      </c>
      <c r="M995" s="120"/>
      <c r="N995" s="1029">
        <v>0</v>
      </c>
    </row>
    <row r="996" spans="3:14" ht="15" customHeight="1">
      <c r="C996" s="626" t="s">
        <v>346</v>
      </c>
      <c r="D996" s="627"/>
      <c r="E996" s="627"/>
      <c r="F996" s="627"/>
      <c r="G996" s="628"/>
      <c r="H996" s="608">
        <v>1.1499999999999999</v>
      </c>
      <c r="I996" s="609">
        <f t="shared" si="152"/>
        <v>0</v>
      </c>
      <c r="J996" s="1013" t="s">
        <v>112</v>
      </c>
      <c r="M996" s="120"/>
      <c r="N996" s="1029">
        <v>0</v>
      </c>
    </row>
    <row r="997" spans="3:14" ht="15" customHeight="1">
      <c r="C997" s="626" t="s">
        <v>290</v>
      </c>
      <c r="D997" s="627"/>
      <c r="E997" s="627"/>
      <c r="F997" s="627"/>
      <c r="G997" s="628"/>
      <c r="H997" s="608">
        <v>1.1499999999999999</v>
      </c>
      <c r="I997" s="609">
        <f t="shared" si="152"/>
        <v>0</v>
      </c>
      <c r="J997" s="1013" t="s">
        <v>112</v>
      </c>
      <c r="M997" s="120"/>
      <c r="N997" s="1029">
        <v>0</v>
      </c>
    </row>
    <row r="998" spans="3:14" ht="15" customHeight="1">
      <c r="C998" s="626" t="s">
        <v>289</v>
      </c>
      <c r="D998" s="627"/>
      <c r="E998" s="627"/>
      <c r="F998" s="627"/>
      <c r="G998" s="628"/>
      <c r="H998" s="608">
        <v>1.1499999999999999</v>
      </c>
      <c r="I998" s="609">
        <f t="shared" si="152"/>
        <v>0</v>
      </c>
      <c r="J998" s="1013" t="s">
        <v>112</v>
      </c>
      <c r="M998" s="120"/>
      <c r="N998" s="1029">
        <v>0</v>
      </c>
    </row>
    <row r="999" spans="3:14" ht="15" customHeight="1">
      <c r="C999" s="626" t="s">
        <v>288</v>
      </c>
      <c r="D999" s="627"/>
      <c r="E999" s="627"/>
      <c r="F999" s="627"/>
      <c r="G999" s="628"/>
      <c r="H999" s="608">
        <v>1.1499999999999999</v>
      </c>
      <c r="I999" s="609">
        <f t="shared" si="152"/>
        <v>0</v>
      </c>
      <c r="J999" s="1013" t="s">
        <v>112</v>
      </c>
      <c r="M999" s="120"/>
      <c r="N999" s="1029">
        <v>0</v>
      </c>
    </row>
    <row r="1000" spans="3:14" ht="15" customHeight="1">
      <c r="C1000" s="626" t="s">
        <v>347</v>
      </c>
      <c r="D1000" s="627"/>
      <c r="E1000" s="627"/>
      <c r="F1000" s="627"/>
      <c r="G1000" s="628"/>
      <c r="H1000" s="608">
        <v>1.1499999999999999</v>
      </c>
      <c r="I1000" s="609">
        <f t="shared" si="152"/>
        <v>0</v>
      </c>
      <c r="J1000" s="1013" t="s">
        <v>112</v>
      </c>
      <c r="M1000" s="120"/>
      <c r="N1000" s="1029">
        <v>0</v>
      </c>
    </row>
    <row r="1001" spans="3:14" ht="15" customHeight="1">
      <c r="C1001" s="626" t="s">
        <v>348</v>
      </c>
      <c r="D1001" s="627"/>
      <c r="E1001" s="627"/>
      <c r="F1001" s="627"/>
      <c r="G1001" s="628"/>
      <c r="H1001" s="608">
        <v>1.1499999999999999</v>
      </c>
      <c r="I1001" s="609">
        <f t="shared" si="152"/>
        <v>0</v>
      </c>
      <c r="J1001" s="1013" t="s">
        <v>112</v>
      </c>
      <c r="M1001" s="120"/>
      <c r="N1001" s="1029">
        <v>0</v>
      </c>
    </row>
    <row r="1002" spans="3:14" ht="15" customHeight="1">
      <c r="C1002" s="626" t="s">
        <v>794</v>
      </c>
      <c r="D1002" s="627"/>
      <c r="E1002" s="627"/>
      <c r="F1002" s="627"/>
      <c r="G1002" s="628"/>
      <c r="H1002" s="608">
        <v>1.1499999999999999</v>
      </c>
      <c r="I1002" s="609">
        <f t="shared" si="152"/>
        <v>0</v>
      </c>
      <c r="J1002" s="1013" t="s">
        <v>112</v>
      </c>
      <c r="M1002" s="120"/>
      <c r="N1002" s="1029">
        <v>0</v>
      </c>
    </row>
    <row r="1003" spans="3:14" ht="15" customHeight="1">
      <c r="C1003" s="626" t="s">
        <v>195</v>
      </c>
      <c r="D1003" s="627"/>
      <c r="E1003" s="627"/>
      <c r="F1003" s="627"/>
      <c r="G1003" s="628"/>
      <c r="H1003" s="608">
        <v>1.1499999999999999</v>
      </c>
      <c r="I1003" s="609">
        <f t="shared" si="152"/>
        <v>0</v>
      </c>
      <c r="J1003" s="1013" t="s">
        <v>112</v>
      </c>
      <c r="M1003" s="120"/>
      <c r="N1003" s="1029">
        <v>0</v>
      </c>
    </row>
    <row r="1004" spans="3:14" ht="15" customHeight="1">
      <c r="C1004" s="626" t="s">
        <v>201</v>
      </c>
      <c r="D1004" s="627"/>
      <c r="E1004" s="627"/>
      <c r="F1004" s="627"/>
      <c r="G1004" s="628"/>
      <c r="H1004" s="608">
        <v>1.1499999999999999</v>
      </c>
      <c r="I1004" s="609">
        <f t="shared" si="152"/>
        <v>0</v>
      </c>
      <c r="J1004" s="1013" t="s">
        <v>112</v>
      </c>
      <c r="M1004" s="120"/>
      <c r="N1004" s="1029">
        <v>0</v>
      </c>
    </row>
    <row r="1005" spans="3:14" ht="15" customHeight="1">
      <c r="C1005" s="626" t="s">
        <v>204</v>
      </c>
      <c r="D1005" s="627"/>
      <c r="E1005" s="627"/>
      <c r="F1005" s="627"/>
      <c r="G1005" s="628"/>
      <c r="H1005" s="608">
        <v>1.1499999999999999</v>
      </c>
      <c r="I1005" s="609">
        <f t="shared" si="152"/>
        <v>0</v>
      </c>
      <c r="J1005" s="1013" t="s">
        <v>112</v>
      </c>
      <c r="M1005" s="120"/>
      <c r="N1005" s="1029">
        <v>0</v>
      </c>
    </row>
    <row r="1006" spans="3:14" ht="15" customHeight="1">
      <c r="C1006" s="626" t="s">
        <v>265</v>
      </c>
      <c r="D1006" s="627"/>
      <c r="E1006" s="627"/>
      <c r="F1006" s="627"/>
      <c r="G1006" s="628"/>
      <c r="H1006" s="608">
        <v>1.1499999999999999</v>
      </c>
      <c r="I1006" s="609">
        <f t="shared" si="152"/>
        <v>0</v>
      </c>
      <c r="J1006" s="1013" t="s">
        <v>112</v>
      </c>
      <c r="M1006" s="120"/>
      <c r="N1006" s="1029">
        <v>0</v>
      </c>
    </row>
    <row r="1007" spans="3:14" ht="15" customHeight="1">
      <c r="C1007" s="629" t="s">
        <v>349</v>
      </c>
      <c r="D1007" s="630"/>
      <c r="E1007" s="630"/>
      <c r="F1007" s="630"/>
      <c r="G1007" s="631"/>
      <c r="H1007" s="680">
        <v>1.1499999999999999</v>
      </c>
      <c r="I1007" s="681">
        <f t="shared" si="152"/>
        <v>0</v>
      </c>
      <c r="J1007" s="682" t="s">
        <v>112</v>
      </c>
      <c r="M1007" s="120"/>
      <c r="N1007" s="1029">
        <v>0</v>
      </c>
    </row>
    <row r="1008" spans="3:14" ht="15" customHeight="1">
      <c r="C1008" s="626" t="s">
        <v>430</v>
      </c>
      <c r="D1008" s="627"/>
      <c r="E1008" s="628" t="s">
        <v>1505</v>
      </c>
      <c r="G1008" s="1010">
        <v>0</v>
      </c>
      <c r="H1008" s="608">
        <v>1.05</v>
      </c>
      <c r="I1008" s="609">
        <f>IFERROR(ПЛ/G1008*H1008/2,0)</f>
        <v>0</v>
      </c>
      <c r="J1008" s="1013" t="s">
        <v>151</v>
      </c>
      <c r="M1008" s="120"/>
      <c r="N1008" s="1029">
        <v>0</v>
      </c>
    </row>
    <row r="1009" spans="3:14" ht="15" customHeight="1">
      <c r="C1009" s="635" t="s">
        <v>282</v>
      </c>
      <c r="D1009" s="636"/>
      <c r="E1009" s="636"/>
      <c r="F1009" s="636"/>
      <c r="G1009" s="637"/>
      <c r="H1009" s="688">
        <v>0.25</v>
      </c>
      <c r="I1009" s="720">
        <f>ROUNDUP(ПЛ*H1009,0)</f>
        <v>0</v>
      </c>
      <c r="J1009" s="676" t="s">
        <v>183</v>
      </c>
      <c r="M1009" s="120"/>
      <c r="N1009" s="1029">
        <v>0</v>
      </c>
    </row>
    <row r="1010" spans="3:14" ht="15" customHeight="1">
      <c r="C1010" s="626" t="s">
        <v>285</v>
      </c>
      <c r="D1010" s="627"/>
      <c r="E1010" s="627"/>
      <c r="F1010" s="627"/>
      <c r="G1010" s="628"/>
      <c r="H1010" s="608">
        <v>0.7</v>
      </c>
      <c r="I1010" s="609">
        <f>ROUNDUP(ПЛ*H1010,0)</f>
        <v>0</v>
      </c>
      <c r="J1010" s="1013" t="s">
        <v>183</v>
      </c>
      <c r="M1010" s="120"/>
      <c r="N1010" s="1029">
        <v>0</v>
      </c>
    </row>
    <row r="1011" spans="3:14" ht="15" customHeight="1">
      <c r="C1011" s="626" t="s">
        <v>286</v>
      </c>
      <c r="D1011" s="627"/>
      <c r="E1011" s="627"/>
      <c r="F1011" s="627"/>
      <c r="G1011" s="628"/>
      <c r="H1011" s="608">
        <v>0.5</v>
      </c>
      <c r="I1011" s="609">
        <f>ROUNDUP(ПЛ*H1011,0)</f>
        <v>0</v>
      </c>
      <c r="J1011" s="1013" t="s">
        <v>183</v>
      </c>
      <c r="M1011" s="120"/>
      <c r="N1011" s="1029">
        <v>0</v>
      </c>
    </row>
    <row r="1012" spans="3:14" ht="15" customHeight="1">
      <c r="C1012" s="626" t="s">
        <v>283</v>
      </c>
      <c r="D1012" s="627"/>
      <c r="E1012" s="627"/>
      <c r="F1012" s="627"/>
      <c r="G1012" s="628"/>
      <c r="H1012" s="608">
        <v>0.2</v>
      </c>
      <c r="I1012" s="609">
        <f>ROUNDUP(ПЛ*H1012,0)</f>
        <v>0</v>
      </c>
      <c r="J1012" s="1013" t="s">
        <v>183</v>
      </c>
      <c r="K1012" s="719"/>
      <c r="L1012" s="170"/>
      <c r="M1012" s="120"/>
      <c r="N1012" s="1029">
        <v>0</v>
      </c>
    </row>
    <row r="1013" spans="3:14" ht="15" customHeight="1">
      <c r="C1013" s="626" t="s">
        <v>460</v>
      </c>
      <c r="D1013" s="627"/>
      <c r="E1013" s="627"/>
      <c r="F1013" s="627"/>
      <c r="G1013" s="628"/>
      <c r="H1013" s="608">
        <v>1.1499999999999999</v>
      </c>
      <c r="I1013" s="609"/>
      <c r="J1013" s="1013" t="s">
        <v>112</v>
      </c>
      <c r="K1013" s="1163" t="s">
        <v>462</v>
      </c>
      <c r="L1013" s="1163"/>
      <c r="M1013" s="120"/>
      <c r="N1013" s="1029">
        <v>0</v>
      </c>
    </row>
    <row r="1014" spans="3:14" ht="15" customHeight="1">
      <c r="C1014" s="626" t="s">
        <v>461</v>
      </c>
      <c r="D1014" s="627"/>
      <c r="E1014" s="627"/>
      <c r="F1014" s="627"/>
      <c r="G1014" s="628"/>
      <c r="H1014" s="608">
        <v>1.1499999999999999</v>
      </c>
      <c r="I1014" s="609"/>
      <c r="J1014" s="1013" t="s">
        <v>112</v>
      </c>
      <c r="K1014" s="1163"/>
      <c r="L1014" s="1163"/>
      <c r="M1014" s="120"/>
      <c r="N1014" s="1029">
        <v>0</v>
      </c>
    </row>
    <row r="1015" spans="3:14" ht="15" customHeight="1">
      <c r="C1015" s="626" t="s">
        <v>438</v>
      </c>
      <c r="D1015" s="627"/>
      <c r="E1015" s="627"/>
      <c r="F1015" s="627"/>
      <c r="G1015" s="628"/>
      <c r="H1015" s="608">
        <v>1.1499999999999999</v>
      </c>
      <c r="I1015" s="609">
        <f>ROUNDUP(ПЛ*H1015,0)</f>
        <v>0</v>
      </c>
      <c r="J1015" s="1013" t="s">
        <v>112</v>
      </c>
      <c r="M1015" s="120"/>
      <c r="N1015" s="1029">
        <v>0</v>
      </c>
    </row>
    <row r="1016" spans="3:14" ht="15" customHeight="1">
      <c r="C1016" s="626" t="s">
        <v>439</v>
      </c>
      <c r="D1016" s="627"/>
      <c r="E1016" s="627"/>
      <c r="F1016" s="627"/>
      <c r="G1016" s="628"/>
      <c r="H1016" s="608">
        <v>1.1499999999999999</v>
      </c>
      <c r="I1016" s="609">
        <f>ROUNDUP(ПЛ*H1016,0)</f>
        <v>0</v>
      </c>
      <c r="J1016" s="1013" t="s">
        <v>112</v>
      </c>
      <c r="M1016" s="120"/>
      <c r="N1016" s="1029">
        <v>0</v>
      </c>
    </row>
    <row r="1017" spans="3:14" ht="15" customHeight="1">
      <c r="C1017" s="629" t="s">
        <v>440</v>
      </c>
      <c r="D1017" s="630"/>
      <c r="E1017" s="630"/>
      <c r="F1017" s="630"/>
      <c r="G1017" s="631"/>
      <c r="H1017" s="680">
        <v>1.1499999999999999</v>
      </c>
      <c r="I1017" s="681">
        <f>ROUNDUP(ПЛ*H1017,0)</f>
        <v>0</v>
      </c>
      <c r="J1017" s="682" t="s">
        <v>112</v>
      </c>
      <c r="L1017" s="277"/>
      <c r="M1017" s="120"/>
      <c r="N1017" s="1029">
        <v>0</v>
      </c>
    </row>
    <row r="1018" spans="3:14" ht="15" customHeight="1">
      <c r="C1018" s="626" t="s">
        <v>456</v>
      </c>
      <c r="D1018" s="627"/>
      <c r="E1018" s="627"/>
      <c r="F1018" s="627"/>
      <c r="G1018" s="628"/>
      <c r="H1018" s="608">
        <v>1.1100000000000001</v>
      </c>
      <c r="I1018" s="611">
        <v>0</v>
      </c>
      <c r="J1018" s="1013" t="s">
        <v>112</v>
      </c>
      <c r="M1018" s="120"/>
      <c r="N1018" s="1029">
        <v>0</v>
      </c>
    </row>
    <row r="1019" spans="3:14" ht="15" customHeight="1">
      <c r="C1019" s="626" t="s">
        <v>457</v>
      </c>
      <c r="D1019" s="627"/>
      <c r="E1019" s="627"/>
      <c r="F1019" s="627"/>
      <c r="G1019" s="628"/>
      <c r="H1019" s="608">
        <v>1.17</v>
      </c>
      <c r="I1019" s="611">
        <v>0</v>
      </c>
      <c r="J1019" s="1013" t="s">
        <v>112</v>
      </c>
      <c r="M1019" s="120"/>
      <c r="N1019" s="1029">
        <v>0</v>
      </c>
    </row>
    <row r="1020" spans="3:14" ht="15" customHeight="1">
      <c r="C1020" s="626" t="s">
        <v>458</v>
      </c>
      <c r="D1020" s="627"/>
      <c r="E1020" s="627"/>
      <c r="F1020" s="627"/>
      <c r="G1020" s="628"/>
      <c r="H1020" s="608">
        <v>1.25</v>
      </c>
      <c r="I1020" s="611">
        <v>0</v>
      </c>
      <c r="J1020" s="1013" t="s">
        <v>112</v>
      </c>
      <c r="M1020" s="120"/>
      <c r="N1020" s="1029">
        <v>0</v>
      </c>
    </row>
    <row r="1021" spans="3:14" ht="15" customHeight="1">
      <c r="C1021" s="626" t="s">
        <v>459</v>
      </c>
      <c r="D1021" s="627"/>
      <c r="E1021" s="627"/>
      <c r="F1021" s="627"/>
      <c r="G1021" s="628"/>
      <c r="H1021" s="608">
        <v>1.35</v>
      </c>
      <c r="I1021" s="611">
        <v>0</v>
      </c>
      <c r="J1021" s="1013" t="s">
        <v>112</v>
      </c>
      <c r="L1021" s="1164" t="str">
        <f ca="1">HYPERLINK("#"&amp;$AB$5&amp;"!b21","⇑ ")</f>
        <v xml:space="preserve">⇑ </v>
      </c>
      <c r="M1021" s="120"/>
      <c r="N1021" s="1029">
        <v>0</v>
      </c>
    </row>
    <row r="1022" spans="3:14" ht="15" customHeight="1">
      <c r="L1022" s="1164"/>
      <c r="M1022" s="120"/>
      <c r="N1022" s="1029">
        <v>0</v>
      </c>
    </row>
    <row r="1023" spans="3:14" ht="15" customHeight="1">
      <c r="C1023" s="135" t="s">
        <v>206</v>
      </c>
      <c r="D1023" s="136"/>
      <c r="E1023" s="136"/>
      <c r="F1023" s="136"/>
      <c r="G1023" s="136"/>
      <c r="H1023" s="136"/>
      <c r="I1023" s="136"/>
      <c r="J1023" s="136"/>
      <c r="L1023" s="1164"/>
      <c r="M1023" s="120"/>
      <c r="N1023" s="1029">
        <v>0</v>
      </c>
    </row>
    <row r="1024" spans="3:14" ht="15" customHeight="1">
      <c r="C1024" s="136"/>
      <c r="D1024" s="136"/>
      <c r="E1024" s="136"/>
      <c r="F1024" s="136"/>
      <c r="G1024" s="136"/>
      <c r="H1024" s="136"/>
      <c r="I1024" s="136"/>
      <c r="J1024" s="136"/>
      <c r="K1024" s="106"/>
      <c r="M1024" s="120"/>
      <c r="N1024" s="1029">
        <v>0</v>
      </c>
    </row>
    <row r="1025" spans="2:17" ht="15" customHeight="1">
      <c r="C1025" s="626" t="s">
        <v>477</v>
      </c>
      <c r="D1025" s="627"/>
      <c r="E1025" s="627"/>
      <c r="F1025" s="627"/>
      <c r="G1025" s="628"/>
      <c r="H1025" s="608">
        <v>1</v>
      </c>
      <c r="I1025" s="611">
        <f>IFERROR($T$112*H1025,0)</f>
        <v>0</v>
      </c>
      <c r="J1025" s="1013" t="s">
        <v>151</v>
      </c>
      <c r="L1025" s="1165" t="str">
        <f ca="1">HYPERLINK("#"&amp;$AB$5&amp;"!A1155","ТЕПЛО ПАРАПЕТ ")</f>
        <v xml:space="preserve">ТЕПЛО ПАРАПЕТ </v>
      </c>
      <c r="M1025" s="120"/>
      <c r="N1025" s="1029">
        <v>0</v>
      </c>
    </row>
    <row r="1026" spans="2:17" ht="15" customHeight="1">
      <c r="C1026" s="626" t="s">
        <v>478</v>
      </c>
      <c r="D1026" s="627"/>
      <c r="E1026" s="627"/>
      <c r="F1026" s="627"/>
      <c r="G1026" s="628"/>
      <c r="H1026" s="608">
        <v>1</v>
      </c>
      <c r="I1026" s="611">
        <f>IFERROR($T$113*H1026,0)</f>
        <v>0</v>
      </c>
      <c r="J1026" s="1013" t="s">
        <v>151</v>
      </c>
      <c r="L1026" s="1165"/>
      <c r="M1026" s="120"/>
      <c r="N1026" s="1029">
        <v>0</v>
      </c>
    </row>
    <row r="1027" spans="2:17" ht="15" customHeight="1">
      <c r="C1027" s="626" t="s">
        <v>1090</v>
      </c>
      <c r="D1027" s="627"/>
      <c r="E1027" s="627"/>
      <c r="F1027" s="627"/>
      <c r="G1027" s="628" t="str">
        <f t="shared" ref="G1027:G1034" si="153">" "</f>
        <v xml:space="preserve"> </v>
      </c>
      <c r="H1027" s="608">
        <v>5</v>
      </c>
      <c r="I1027" s="611">
        <f>IFERROR(ROUNDUP(ТЭ*H1027*1.03,0),0)</f>
        <v>0</v>
      </c>
      <c r="J1027" s="1013" t="s">
        <v>151</v>
      </c>
      <c r="L1027" s="1165"/>
      <c r="M1027" s="120"/>
      <c r="N1027" s="1029">
        <v>0</v>
      </c>
    </row>
    <row r="1028" spans="2:17" ht="15" customHeight="1">
      <c r="C1028" s="626" t="str">
        <f ca="1">IF(OR(ПРИМЕЧАНИЯ!$Q$20&lt;1000,ПРИМЕЧАНИЯ!$Q$20=1000),"Рейка краевая алюминиевая ТехноНИКОЛЬ PRO, 2 м","Рейка краевая алюминиевая ТехноНИКОЛЬ, 2 м")</f>
        <v>Рейка краевая алюминиевая ТехноНИКОЛЬ, 2 м</v>
      </c>
      <c r="D1028" s="627"/>
      <c r="E1028" s="627"/>
      <c r="F1028" s="627"/>
      <c r="G1028" s="628" t="str">
        <f t="shared" si="153"/>
        <v xml:space="preserve"> </v>
      </c>
      <c r="H1028" s="608">
        <v>1.03</v>
      </c>
      <c r="I1028" s="614">
        <f>IFERROR(ROUNDUP(ПКР*H1028,2),0)</f>
        <v>0</v>
      </c>
      <c r="J1028" s="1013" t="s">
        <v>264</v>
      </c>
      <c r="M1028" s="120"/>
      <c r="N1028" s="1029">
        <v>0</v>
      </c>
      <c r="Q1028" s="1"/>
    </row>
    <row r="1029" spans="2:17" ht="15" customHeight="1">
      <c r="C1029" s="626" t="str">
        <f ca="1">IF(OR(ПРИМЕЧАНИЯ!$Q$20&lt;1000,ПРИМЕЧАНИЯ!$Q$20=1000),"Рейка прижимная алюминиевая ТехноНИКОЛЬ PRO, 2 м","Рейка прижимная алюминиевая ТехноНИКОЛЬ, 2 м")</f>
        <v>Рейка прижимная алюминиевая ТехноНИКОЛЬ, 2 м</v>
      </c>
      <c r="D1029" s="627"/>
      <c r="E1029" s="627"/>
      <c r="F1029" s="627"/>
      <c r="G1029" s="628" t="str">
        <f t="shared" si="153"/>
        <v xml:space="preserve"> </v>
      </c>
      <c r="H1029" s="608">
        <v>1.03</v>
      </c>
      <c r="I1029" s="614">
        <f>IFERROR(ROUNDUP(ППР*H1029,2),0)</f>
        <v>0</v>
      </c>
      <c r="J1029" s="1013" t="s">
        <v>264</v>
      </c>
      <c r="M1029" s="120"/>
      <c r="N1029" s="1029">
        <v>0</v>
      </c>
      <c r="Q1029" s="1"/>
    </row>
    <row r="1030" spans="2:17" ht="15" customHeight="1">
      <c r="C1030" s="626" t="s">
        <v>559</v>
      </c>
      <c r="D1030" s="627"/>
      <c r="E1030" s="627"/>
      <c r="F1030" s="627"/>
      <c r="G1030" s="628" t="str">
        <f t="shared" si="153"/>
        <v xml:space="preserve"> </v>
      </c>
      <c r="H1030" s="608">
        <v>5</v>
      </c>
      <c r="I1030" s="611">
        <f>IFERROR(ROUNDUP(СМРЗ.МЕТ*H1030*1.03,0),0)</f>
        <v>0</v>
      </c>
      <c r="J1030" s="1013" t="s">
        <v>151</v>
      </c>
      <c r="M1030" s="120"/>
      <c r="N1030" s="1029">
        <v>0</v>
      </c>
    </row>
    <row r="1031" spans="2:17" ht="15" customHeight="1">
      <c r="C1031" s="626" t="s">
        <v>189</v>
      </c>
      <c r="D1031" s="627"/>
      <c r="E1031" s="627"/>
      <c r="F1031" s="627"/>
      <c r="G1031" s="628" t="str">
        <f t="shared" si="153"/>
        <v xml:space="preserve"> </v>
      </c>
      <c r="H1031" s="608">
        <v>5</v>
      </c>
      <c r="I1031" s="611">
        <f>IFERROR(ROUNDUP(АНКЕР,0),0)</f>
        <v>0</v>
      </c>
      <c r="J1031" s="1013" t="s">
        <v>151</v>
      </c>
      <c r="M1031" s="120"/>
      <c r="N1031" s="1029">
        <v>0</v>
      </c>
    </row>
    <row r="1032" spans="2:17" ht="15" customHeight="1">
      <c r="C1032" s="626" t="s">
        <v>1459</v>
      </c>
      <c r="D1032" s="627"/>
      <c r="E1032" s="627"/>
      <c r="F1032" s="627"/>
      <c r="G1032" s="628" t="str">
        <f t="shared" si="153"/>
        <v xml:space="preserve"> </v>
      </c>
      <c r="H1032" s="608">
        <v>5</v>
      </c>
      <c r="I1032" s="611">
        <f>IFERROR(ROUNDUP(СМРЗ.БЕТ*H1032*1.03,0),0)+$I$1141</f>
        <v>0</v>
      </c>
      <c r="J1032" s="1013" t="s">
        <v>151</v>
      </c>
      <c r="K1032" s="106"/>
      <c r="M1032" s="120"/>
      <c r="N1032" s="1029">
        <v>0</v>
      </c>
    </row>
    <row r="1033" spans="2:17" ht="15" customHeight="1">
      <c r="C1033" s="626" t="s">
        <v>192</v>
      </c>
      <c r="D1033" s="627"/>
      <c r="E1033" s="627"/>
      <c r="F1033" s="627"/>
      <c r="G1033" s="628" t="str">
        <f t="shared" si="153"/>
        <v xml:space="preserve"> </v>
      </c>
      <c r="H1033" s="608">
        <v>1.1000000000000001</v>
      </c>
      <c r="I1033" s="609">
        <f>IFERROR(ROUNDUP(ГнП*H1033+IFERROR(IF($R$110=$AA$16,$T$110*1.9,0),0),0),0)</f>
        <v>0</v>
      </c>
      <c r="J1033" s="1013" t="s">
        <v>112</v>
      </c>
      <c r="M1033" s="120"/>
      <c r="N1033" s="1029">
        <v>0</v>
      </c>
    </row>
    <row r="1034" spans="2:17" ht="15" customHeight="1">
      <c r="C1034" s="626" t="s">
        <v>936</v>
      </c>
      <c r="D1034" s="627"/>
      <c r="E1034" s="627"/>
      <c r="F1034" s="627"/>
      <c r="G1034" s="628" t="str">
        <f t="shared" si="153"/>
        <v xml:space="preserve"> </v>
      </c>
      <c r="H1034" s="608">
        <v>0.15</v>
      </c>
      <c r="I1034" s="611">
        <f>IFERROR(ROUNDUP((ПКР*H1034+$F$1035*0.025)*1000/600+$T$108*300/600+$AD$186+N("герметик на ограждения"),0),0)</f>
        <v>0</v>
      </c>
      <c r="J1034" s="1013" t="s">
        <v>151</v>
      </c>
      <c r="M1034" s="120"/>
      <c r="N1034" s="1029">
        <v>0</v>
      </c>
    </row>
    <row r="1035" spans="2:17" ht="15" customHeight="1">
      <c r="C1035" s="626" t="s">
        <v>408</v>
      </c>
      <c r="D1035" s="627"/>
      <c r="E1035" s="627"/>
      <c r="F1035" s="721"/>
      <c r="G1035" s="628" t="str">
        <f>CONCATENATE(($S$101+$U$106)," м")</f>
        <v>0 м</v>
      </c>
      <c r="H1035" s="608">
        <v>1.05</v>
      </c>
      <c r="I1035" s="614">
        <f>ROUNDUP(($S$101+$U$106)*H1035*0.33+N("полоса шириной 2 метра поделенная на 6 частей по 33 см"),2)</f>
        <v>0</v>
      </c>
      <c r="J1035" s="1013" t="s">
        <v>112</v>
      </c>
      <c r="M1035" s="120"/>
      <c r="N1035" s="1029">
        <v>0</v>
      </c>
    </row>
    <row r="1036" spans="2:17" ht="15" customHeight="1">
      <c r="C1036" s="626" t="s">
        <v>200</v>
      </c>
      <c r="D1036" s="627"/>
      <c r="E1036" s="627"/>
      <c r="F1036" s="627"/>
      <c r="G1036" s="628" t="str">
        <f>" "</f>
        <v xml:space="preserve"> </v>
      </c>
      <c r="H1036" s="608">
        <v>1.1499999999999999</v>
      </c>
      <c r="I1036" s="609">
        <f>IFERROR(ROUNDUP(парапетВ*H1036+IFERROR(IF($R$110=$AA$16,($T$110*1.05*1.15),0),0),0),0)</f>
        <v>0</v>
      </c>
      <c r="J1036" s="1013" t="s">
        <v>112</v>
      </c>
      <c r="M1036" s="120"/>
      <c r="N1036" s="1029">
        <v>0</v>
      </c>
    </row>
    <row r="1037" spans="2:17" ht="15" customHeight="1">
      <c r="C1037" s="629" t="s">
        <v>198</v>
      </c>
      <c r="D1037" s="630"/>
      <c r="E1037" s="630"/>
      <c r="F1037" s="630"/>
      <c r="G1037" s="631"/>
      <c r="H1037" s="608">
        <v>1</v>
      </c>
      <c r="I1037" s="611">
        <f>IFERROR(IF($R$110=$AA$15,ROUNDUP($T$110*1.05/0.6,0),0),0)</f>
        <v>0</v>
      </c>
      <c r="J1037" s="1013" t="s">
        <v>151</v>
      </c>
      <c r="M1037" s="120"/>
      <c r="N1037" s="1029">
        <v>0</v>
      </c>
    </row>
    <row r="1038" spans="2:17" ht="15" customHeight="1">
      <c r="B1038" s="189"/>
      <c r="C1038" s="626" t="s">
        <v>441</v>
      </c>
      <c r="D1038" s="627"/>
      <c r="E1038" s="627"/>
      <c r="F1038" s="638"/>
      <c r="G1038" s="628" t="s">
        <v>150</v>
      </c>
      <c r="H1038" s="608">
        <v>1.03</v>
      </c>
      <c r="I1038" s="609">
        <f>ROUNDUP(($P$4+2*$P$5)*ГОФРЫ,1)</f>
        <v>0</v>
      </c>
      <c r="J1038" s="1013" t="s">
        <v>178</v>
      </c>
      <c r="M1038" s="120"/>
      <c r="N1038" s="1029">
        <v>0</v>
      </c>
    </row>
    <row r="1039" spans="2:17" ht="15" customHeight="1">
      <c r="B1039" s="189"/>
      <c r="C1039" s="710"/>
      <c r="D1039" s="632"/>
      <c r="E1039" s="632"/>
      <c r="F1039" s="633"/>
      <c r="G1039" s="632"/>
      <c r="H1039" s="608"/>
      <c r="I1039" s="711"/>
      <c r="J1039" s="1013"/>
      <c r="M1039" s="120"/>
      <c r="N1039" s="1029">
        <v>0</v>
      </c>
    </row>
    <row r="1040" spans="2:17" ht="15" customHeight="1">
      <c r="B1040" s="189"/>
      <c r="C1040" s="626"/>
      <c r="D1040" s="627"/>
      <c r="E1040" s="627"/>
      <c r="F1040" s="640"/>
      <c r="G1040" s="628"/>
      <c r="H1040" s="608"/>
      <c r="I1040" s="609"/>
      <c r="J1040" s="1013"/>
      <c r="M1040" s="120"/>
      <c r="N1040" s="1029">
        <v>0</v>
      </c>
    </row>
    <row r="1041" spans="2:16" ht="15" customHeight="1">
      <c r="B1041" s="189"/>
      <c r="C1041" s="626" t="s">
        <v>991</v>
      </c>
      <c r="D1041" s="627"/>
      <c r="E1041" s="627" t="s">
        <v>1437</v>
      </c>
      <c r="F1041" s="638"/>
      <c r="G1041" s="628" t="s">
        <v>150</v>
      </c>
      <c r="H1041" s="608">
        <v>1.03</v>
      </c>
      <c r="I1041" s="609">
        <f>ROUNDUP(($P$4+2*$P$5)*ГОФРЫ,1)</f>
        <v>0</v>
      </c>
      <c r="J1041" s="1013" t="s">
        <v>178</v>
      </c>
      <c r="M1041" s="120"/>
      <c r="N1041" s="1029">
        <v>0</v>
      </c>
      <c r="P1041" s="106"/>
    </row>
    <row r="1042" spans="2:16" ht="15" customHeight="1">
      <c r="B1042" s="158"/>
      <c r="C1042" s="713"/>
      <c r="D1042" s="852"/>
      <c r="E1042" s="852"/>
      <c r="F1042" s="852"/>
      <c r="G1042" s="853"/>
      <c r="H1042" s="712"/>
      <c r="I1042" s="712"/>
      <c r="J1042" s="712"/>
      <c r="M1042" s="120"/>
      <c r="N1042" s="1029">
        <v>0</v>
      </c>
    </row>
    <row r="1043" spans="2:16" ht="15" customHeight="1">
      <c r="B1043" s="158"/>
      <c r="C1043" s="1014" t="s">
        <v>678</v>
      </c>
      <c r="D1043" s="627"/>
      <c r="E1043" s="627"/>
      <c r="F1043" s="638"/>
      <c r="G1043" s="627"/>
      <c r="H1043" s="608">
        <v>1</v>
      </c>
      <c r="I1043" s="609">
        <f>IF(AND($V$3=$Y$4,OR($V$2=$AA$20,$V$2=$AA$21)),SUMIF($S$172:$S$176,C1043,$V$172:$V$176),0)</f>
        <v>0</v>
      </c>
      <c r="J1043" s="1013" t="s">
        <v>151</v>
      </c>
      <c r="M1043" s="120"/>
      <c r="N1043" s="1029">
        <v>0</v>
      </c>
      <c r="P1043" s="106"/>
    </row>
    <row r="1044" spans="2:16" ht="15" customHeight="1">
      <c r="B1044" s="158"/>
      <c r="C1044" s="648" t="s">
        <v>679</v>
      </c>
      <c r="D1044" s="630"/>
      <c r="E1044" s="630"/>
      <c r="F1044" s="722"/>
      <c r="G1044" s="630"/>
      <c r="H1044" s="608">
        <v>1</v>
      </c>
      <c r="I1044" s="609">
        <f>IF(AND($V$3=$Y$4,OR($V$2=$AA$20,$V$2=$AA$21)),SUMIF($S$172:$S$176,C1044,$V$172:$V$176),0)</f>
        <v>0</v>
      </c>
      <c r="J1044" s="1013" t="s">
        <v>151</v>
      </c>
      <c r="M1044" s="120"/>
      <c r="N1044" s="1029">
        <v>0</v>
      </c>
      <c r="P1044" s="106"/>
    </row>
    <row r="1045" spans="2:16" ht="15" customHeight="1">
      <c r="B1045" s="158"/>
      <c r="C1045" s="1014" t="s">
        <v>681</v>
      </c>
      <c r="D1045" s="627"/>
      <c r="E1045" s="627"/>
      <c r="F1045" s="638"/>
      <c r="G1045" s="627"/>
      <c r="H1045" s="608">
        <v>1</v>
      </c>
      <c r="I1045" s="609">
        <f>IF(AND($V$3=$Y$4,OR($V$2=$AA$20,$V$2=$AA$21)),SUMIF($S$172:$S$176,C1045,$V$172:$V$176),0)</f>
        <v>0</v>
      </c>
      <c r="J1045" s="1013" t="s">
        <v>151</v>
      </c>
      <c r="M1045" s="120"/>
      <c r="N1045" s="1029">
        <v>0</v>
      </c>
      <c r="P1045" s="106"/>
    </row>
    <row r="1046" spans="2:16" ht="15" customHeight="1">
      <c r="B1046" s="158"/>
      <c r="C1046" s="1014" t="s">
        <v>680</v>
      </c>
      <c r="D1046" s="627"/>
      <c r="E1046" s="627"/>
      <c r="F1046" s="638"/>
      <c r="G1046" s="627"/>
      <c r="H1046" s="608">
        <v>1</v>
      </c>
      <c r="I1046" s="609">
        <f>IF(AND($V$3=$Y$4,OR($V$2=$AA$20,$V$2=$AA$21)),SUMIF($S$172:$S$176,C1046,$V$172:$V$176),0)</f>
        <v>0</v>
      </c>
      <c r="J1046" s="1013" t="s">
        <v>151</v>
      </c>
      <c r="M1046" s="120"/>
      <c r="N1046" s="1029">
        <v>0</v>
      </c>
      <c r="P1046" s="106"/>
    </row>
    <row r="1047" spans="2:16" ht="15" customHeight="1">
      <c r="C1047" s="713"/>
      <c r="D1047" s="852"/>
      <c r="E1047" s="852"/>
      <c r="F1047" s="852"/>
      <c r="G1047" s="853"/>
      <c r="H1047" s="712"/>
      <c r="I1047" s="712"/>
      <c r="J1047" s="712"/>
      <c r="M1047" s="120"/>
      <c r="N1047" s="1029">
        <v>0</v>
      </c>
    </row>
    <row r="1048" spans="2:16" ht="15" customHeight="1">
      <c r="C1048" s="626" t="s">
        <v>188</v>
      </c>
      <c r="D1048" s="627"/>
      <c r="E1048" s="627"/>
      <c r="F1048" s="627"/>
      <c r="G1048" s="628" t="str">
        <f t="shared" ref="G1048:G1059" si="154">" "</f>
        <v xml:space="preserve"> </v>
      </c>
      <c r="H1048" s="608">
        <v>1.03</v>
      </c>
      <c r="I1048" s="611">
        <f>IFERROR(MROUND(ROUNDUP(ППР*H1048,0),3),0)</f>
        <v>0</v>
      </c>
      <c r="J1048" s="1013" t="s">
        <v>264</v>
      </c>
      <c r="M1048" s="120"/>
      <c r="N1048" s="1029">
        <v>0</v>
      </c>
    </row>
    <row r="1049" spans="2:16" ht="15" customHeight="1">
      <c r="C1049" s="626" t="s">
        <v>196</v>
      </c>
      <c r="D1049" s="627"/>
      <c r="E1049" s="627"/>
      <c r="F1049" s="627"/>
      <c r="G1049" s="628" t="str">
        <f t="shared" si="154"/>
        <v xml:space="preserve"> </v>
      </c>
      <c r="H1049" s="608">
        <v>1.1499999999999999</v>
      </c>
      <c r="I1049" s="609">
        <f t="shared" ref="I1049:I1060" si="155">IFERROR(ROUNDUP(парапетВ*H1049+IFERROR(IF($R$110=$AA$16,($T$110*1.05*1.15)),0),0),0)</f>
        <v>0</v>
      </c>
      <c r="J1049" s="1013" t="s">
        <v>112</v>
      </c>
      <c r="M1049" s="120"/>
      <c r="N1049" s="1029">
        <v>0</v>
      </c>
    </row>
    <row r="1050" spans="2:16" ht="15" customHeight="1">
      <c r="C1050" s="626" t="s">
        <v>202</v>
      </c>
      <c r="D1050" s="627"/>
      <c r="E1050" s="627"/>
      <c r="F1050" s="627"/>
      <c r="G1050" s="628" t="str">
        <f t="shared" si="154"/>
        <v xml:space="preserve"> </v>
      </c>
      <c r="H1050" s="608">
        <v>1.1499999999999999</v>
      </c>
      <c r="I1050" s="609">
        <f t="shared" si="155"/>
        <v>0</v>
      </c>
      <c r="J1050" s="1013" t="s">
        <v>112</v>
      </c>
      <c r="M1050" s="120"/>
      <c r="N1050" s="1029">
        <v>0</v>
      </c>
    </row>
    <row r="1051" spans="2:16" ht="15" customHeight="1">
      <c r="C1051" s="626" t="s">
        <v>205</v>
      </c>
      <c r="D1051" s="627"/>
      <c r="E1051" s="627"/>
      <c r="F1051" s="627"/>
      <c r="G1051" s="628" t="str">
        <f t="shared" si="154"/>
        <v xml:space="preserve"> </v>
      </c>
      <c r="H1051" s="608">
        <v>1.1499999999999999</v>
      </c>
      <c r="I1051" s="609">
        <f t="shared" si="155"/>
        <v>0</v>
      </c>
      <c r="J1051" s="1013" t="s">
        <v>112</v>
      </c>
      <c r="M1051" s="120"/>
      <c r="N1051" s="1029">
        <v>0</v>
      </c>
    </row>
    <row r="1052" spans="2:16" ht="15" customHeight="1">
      <c r="C1052" s="626" t="s">
        <v>266</v>
      </c>
      <c r="D1052" s="627"/>
      <c r="E1052" s="627"/>
      <c r="F1052" s="627"/>
      <c r="G1052" s="628" t="str">
        <f t="shared" si="154"/>
        <v xml:space="preserve"> </v>
      </c>
      <c r="H1052" s="608">
        <v>1.1499999999999999</v>
      </c>
      <c r="I1052" s="609">
        <f t="shared" si="155"/>
        <v>0</v>
      </c>
      <c r="J1052" s="1013" t="s">
        <v>112</v>
      </c>
      <c r="M1052" s="120"/>
      <c r="N1052" s="1029">
        <v>0</v>
      </c>
    </row>
    <row r="1053" spans="2:16" ht="15" customHeight="1">
      <c r="C1053" s="626" t="s">
        <v>194</v>
      </c>
      <c r="D1053" s="627"/>
      <c r="E1053" s="627"/>
      <c r="F1053" s="627"/>
      <c r="G1053" s="628" t="str">
        <f t="shared" si="154"/>
        <v xml:space="preserve"> </v>
      </c>
      <c r="H1053" s="608">
        <v>1.1499999999999999</v>
      </c>
      <c r="I1053" s="609">
        <f t="shared" si="155"/>
        <v>0</v>
      </c>
      <c r="J1053" s="1013" t="s">
        <v>112</v>
      </c>
      <c r="M1053" s="120"/>
      <c r="N1053" s="1029">
        <v>0</v>
      </c>
    </row>
    <row r="1054" spans="2:16" ht="15" customHeight="1">
      <c r="C1054" s="626" t="s">
        <v>203</v>
      </c>
      <c r="D1054" s="627"/>
      <c r="E1054" s="627"/>
      <c r="F1054" s="627"/>
      <c r="G1054" s="628" t="str">
        <f t="shared" si="154"/>
        <v xml:space="preserve"> </v>
      </c>
      <c r="H1054" s="608">
        <v>1.1499999999999999</v>
      </c>
      <c r="I1054" s="609">
        <f t="shared" si="155"/>
        <v>0</v>
      </c>
      <c r="J1054" s="1013" t="s">
        <v>112</v>
      </c>
      <c r="M1054" s="120"/>
      <c r="N1054" s="1029">
        <v>0</v>
      </c>
    </row>
    <row r="1055" spans="2:16" ht="15" customHeight="1">
      <c r="C1055" s="626" t="s">
        <v>346</v>
      </c>
      <c r="D1055" s="627"/>
      <c r="E1055" s="627"/>
      <c r="F1055" s="627"/>
      <c r="G1055" s="628" t="str">
        <f t="shared" si="154"/>
        <v xml:space="preserve"> </v>
      </c>
      <c r="H1055" s="608">
        <v>1.1499999999999999</v>
      </c>
      <c r="I1055" s="609">
        <f t="shared" si="155"/>
        <v>0</v>
      </c>
      <c r="J1055" s="1013" t="s">
        <v>112</v>
      </c>
      <c r="M1055" s="120"/>
      <c r="N1055" s="1029">
        <v>0</v>
      </c>
    </row>
    <row r="1056" spans="2:16" ht="15" customHeight="1">
      <c r="C1056" s="626" t="s">
        <v>195</v>
      </c>
      <c r="D1056" s="627"/>
      <c r="E1056" s="627"/>
      <c r="F1056" s="627"/>
      <c r="G1056" s="628" t="str">
        <f t="shared" si="154"/>
        <v xml:space="preserve"> </v>
      </c>
      <c r="H1056" s="608">
        <v>1.1499999999999999</v>
      </c>
      <c r="I1056" s="609">
        <f t="shared" si="155"/>
        <v>0</v>
      </c>
      <c r="J1056" s="1013" t="s">
        <v>112</v>
      </c>
      <c r="M1056" s="120"/>
      <c r="N1056" s="1029">
        <v>0</v>
      </c>
    </row>
    <row r="1057" spans="3:14" ht="15" customHeight="1">
      <c r="C1057" s="626" t="s">
        <v>201</v>
      </c>
      <c r="D1057" s="627"/>
      <c r="E1057" s="627"/>
      <c r="F1057" s="627"/>
      <c r="G1057" s="628" t="str">
        <f t="shared" si="154"/>
        <v xml:space="preserve"> </v>
      </c>
      <c r="H1057" s="608">
        <v>1.1499999999999999</v>
      </c>
      <c r="I1057" s="609">
        <f t="shared" si="155"/>
        <v>0</v>
      </c>
      <c r="J1057" s="1013" t="s">
        <v>112</v>
      </c>
      <c r="M1057" s="120"/>
      <c r="N1057" s="1029">
        <v>0</v>
      </c>
    </row>
    <row r="1058" spans="3:14" ht="15" customHeight="1">
      <c r="C1058" s="626" t="s">
        <v>204</v>
      </c>
      <c r="D1058" s="627"/>
      <c r="E1058" s="627"/>
      <c r="F1058" s="627"/>
      <c r="G1058" s="628" t="str">
        <f t="shared" si="154"/>
        <v xml:space="preserve"> </v>
      </c>
      <c r="H1058" s="608">
        <v>1.1499999999999999</v>
      </c>
      <c r="I1058" s="609">
        <f t="shared" si="155"/>
        <v>0</v>
      </c>
      <c r="J1058" s="1013" t="s">
        <v>112</v>
      </c>
      <c r="M1058" s="120"/>
      <c r="N1058" s="1029">
        <v>0</v>
      </c>
    </row>
    <row r="1059" spans="3:14" ht="15" customHeight="1">
      <c r="C1059" s="626" t="s">
        <v>265</v>
      </c>
      <c r="D1059" s="627"/>
      <c r="E1059" s="627"/>
      <c r="F1059" s="627"/>
      <c r="G1059" s="628" t="str">
        <f t="shared" si="154"/>
        <v xml:space="preserve"> </v>
      </c>
      <c r="H1059" s="608">
        <v>1.1499999999999999</v>
      </c>
      <c r="I1059" s="609">
        <f t="shared" si="155"/>
        <v>0</v>
      </c>
      <c r="J1059" s="1013" t="s">
        <v>112</v>
      </c>
      <c r="M1059" s="120"/>
      <c r="N1059" s="1029">
        <v>0</v>
      </c>
    </row>
    <row r="1060" spans="3:14" ht="15" customHeight="1">
      <c r="C1060" s="626" t="s">
        <v>349</v>
      </c>
      <c r="D1060" s="627"/>
      <c r="E1060" s="627"/>
      <c r="F1060" s="627"/>
      <c r="G1060" s="628"/>
      <c r="H1060" s="608">
        <v>1.1499999999999999</v>
      </c>
      <c r="I1060" s="609">
        <f t="shared" si="155"/>
        <v>0</v>
      </c>
      <c r="J1060" s="1013" t="s">
        <v>112</v>
      </c>
      <c r="M1060" s="120"/>
      <c r="N1060" s="1029">
        <v>0</v>
      </c>
    </row>
    <row r="1061" spans="3:14" ht="15" customHeight="1">
      <c r="C1061" s="626"/>
      <c r="D1061" s="627"/>
      <c r="E1061" s="627"/>
      <c r="F1061" s="627"/>
      <c r="G1061" s="628"/>
      <c r="H1061" s="608"/>
      <c r="I1061" s="609"/>
      <c r="J1061" s="1013"/>
      <c r="M1061" s="120"/>
      <c r="N1061" s="1029">
        <v>0</v>
      </c>
    </row>
    <row r="1062" spans="3:14" ht="15" customHeight="1">
      <c r="C1062" s="626"/>
      <c r="D1062" s="627"/>
      <c r="E1062" s="627"/>
      <c r="F1062" s="627"/>
      <c r="G1062" s="628"/>
      <c r="H1062" s="608"/>
      <c r="I1062" s="609"/>
      <c r="J1062" s="1013"/>
      <c r="M1062" s="120"/>
      <c r="N1062" s="1029">
        <v>0</v>
      </c>
    </row>
    <row r="1063" spans="3:14" ht="15" customHeight="1">
      <c r="C1063" s="626"/>
      <c r="D1063" s="627"/>
      <c r="E1063" s="627"/>
      <c r="F1063" s="627"/>
      <c r="G1063" s="628"/>
      <c r="H1063" s="608"/>
      <c r="I1063" s="609"/>
      <c r="J1063" s="1013"/>
      <c r="M1063" s="120"/>
      <c r="N1063" s="1029">
        <v>0</v>
      </c>
    </row>
    <row r="1064" spans="3:14" ht="15" customHeight="1">
      <c r="C1064" s="626" t="s">
        <v>282</v>
      </c>
      <c r="D1064" s="627"/>
      <c r="E1064" s="627"/>
      <c r="F1064" s="627"/>
      <c r="G1064" s="628"/>
      <c r="H1064" s="608">
        <v>0.25</v>
      </c>
      <c r="I1064" s="611">
        <f>IFERROR(ROUNDUP(парапетВ*H1064,0),0)</f>
        <v>0</v>
      </c>
      <c r="J1064" s="1013" t="s">
        <v>183</v>
      </c>
      <c r="M1064" s="120"/>
      <c r="N1064" s="1029">
        <v>0</v>
      </c>
    </row>
    <row r="1065" spans="3:14" ht="15" customHeight="1">
      <c r="C1065" s="626" t="s">
        <v>285</v>
      </c>
      <c r="D1065" s="627"/>
      <c r="E1065" s="627"/>
      <c r="F1065" s="627"/>
      <c r="G1065" s="628"/>
      <c r="H1065" s="608">
        <v>0.7</v>
      </c>
      <c r="I1065" s="611">
        <f>IFERROR(ROUNDUP(парапетВ*H1065,0),0)</f>
        <v>0</v>
      </c>
      <c r="J1065" s="1013" t="s">
        <v>183</v>
      </c>
      <c r="M1065" s="120"/>
      <c r="N1065" s="1029">
        <v>0</v>
      </c>
    </row>
    <row r="1066" spans="3:14" ht="15" customHeight="1">
      <c r="C1066" s="626" t="s">
        <v>286</v>
      </c>
      <c r="D1066" s="627"/>
      <c r="E1066" s="627"/>
      <c r="F1066" s="627"/>
      <c r="G1066" s="628"/>
      <c r="H1066" s="608">
        <v>0.5</v>
      </c>
      <c r="I1066" s="611">
        <f>IFERROR(ROUNDUP(парапетВ*H1066,0),0)</f>
        <v>0</v>
      </c>
      <c r="J1066" s="1013" t="s">
        <v>183</v>
      </c>
      <c r="M1066" s="120"/>
      <c r="N1066" s="1029">
        <v>0</v>
      </c>
    </row>
    <row r="1067" spans="3:14" ht="15" customHeight="1">
      <c r="C1067" s="626" t="s">
        <v>283</v>
      </c>
      <c r="D1067" s="627"/>
      <c r="E1067" s="627"/>
      <c r="F1067" s="627"/>
      <c r="G1067" s="628"/>
      <c r="H1067" s="608">
        <v>0.2</v>
      </c>
      <c r="I1067" s="611">
        <f>IFERROR(ROUNDUP(парапетВ*H1067,0),0)</f>
        <v>0</v>
      </c>
      <c r="J1067" s="1013" t="s">
        <v>183</v>
      </c>
      <c r="M1067" s="120"/>
      <c r="N1067" s="1029">
        <v>0</v>
      </c>
    </row>
    <row r="1068" spans="3:14" ht="15" customHeight="1">
      <c r="C1068" s="626" t="s">
        <v>284</v>
      </c>
      <c r="D1068" s="627"/>
      <c r="E1068" s="627"/>
      <c r="F1068" s="627"/>
      <c r="G1068" s="628"/>
      <c r="H1068" s="608">
        <v>1.05</v>
      </c>
      <c r="I1068" s="611">
        <f>IFERROR(ROUNDUP(парапетВ*H1068,0),0)</f>
        <v>0</v>
      </c>
      <c r="J1068" s="1013" t="s">
        <v>112</v>
      </c>
      <c r="M1068" s="120"/>
      <c r="N1068" s="1029">
        <v>0</v>
      </c>
    </row>
    <row r="1069" spans="3:14" ht="15" customHeight="1">
      <c r="C1069" s="626" t="s">
        <v>1099</v>
      </c>
      <c r="D1069" s="627"/>
      <c r="E1069" s="627"/>
      <c r="F1069" s="627"/>
      <c r="G1069" s="628"/>
      <c r="H1069" s="608"/>
      <c r="I1069" s="878">
        <v>0</v>
      </c>
      <c r="J1069" s="1013" t="s">
        <v>264</v>
      </c>
      <c r="M1069" s="120"/>
      <c r="N1069" s="1029">
        <v>0</v>
      </c>
    </row>
    <row r="1070" spans="3:14" ht="15" customHeight="1">
      <c r="C1070" s="890" t="s">
        <v>1128</v>
      </c>
      <c r="D1070" s="891"/>
      <c r="E1070" s="891"/>
      <c r="F1070" s="891"/>
      <c r="G1070" s="892"/>
      <c r="H1070" s="893"/>
      <c r="I1070" s="878"/>
      <c r="J1070" s="685" t="s">
        <v>151</v>
      </c>
      <c r="M1070" s="120"/>
      <c r="N1070" s="1029">
        <v>0</v>
      </c>
    </row>
    <row r="1071" spans="3:14" ht="15" customHeight="1">
      <c r="M1071" s="120"/>
      <c r="N1071" s="1029">
        <v>0</v>
      </c>
    </row>
    <row r="1072" spans="3:14" ht="15" customHeight="1">
      <c r="M1072" s="120"/>
      <c r="N1072" s="1029">
        <v>0</v>
      </c>
    </row>
    <row r="1073" spans="1:14" ht="15" customHeight="1">
      <c r="M1073" s="120"/>
      <c r="N1073" s="1029">
        <v>0</v>
      </c>
    </row>
    <row r="1074" spans="1:14" ht="15" customHeight="1">
      <c r="M1074" s="120"/>
      <c r="N1074" s="1029">
        <v>0</v>
      </c>
    </row>
    <row r="1075" spans="1:14" ht="15" customHeight="1">
      <c r="M1075" s="120"/>
      <c r="N1075" s="1029">
        <v>0</v>
      </c>
    </row>
    <row r="1076" spans="1:14" ht="15" customHeight="1">
      <c r="M1076" s="120"/>
      <c r="N1076" s="1029">
        <v>0</v>
      </c>
    </row>
    <row r="1077" spans="1:14" ht="15" customHeight="1">
      <c r="C1077" s="135" t="s">
        <v>209</v>
      </c>
      <c r="L1077" s="1164" t="str">
        <f ca="1">HYPERLINK("#"&amp;$AB$5&amp;"!b21","⇑ ")</f>
        <v xml:space="preserve">⇑ </v>
      </c>
      <c r="M1077" s="120"/>
      <c r="N1077" s="1029">
        <v>0</v>
      </c>
    </row>
    <row r="1078" spans="1:14" ht="15.75" customHeight="1">
      <c r="D1078" s="136"/>
      <c r="E1078" s="136"/>
      <c r="F1078" s="136"/>
      <c r="G1078" s="136"/>
      <c r="H1078" s="136"/>
      <c r="I1078" s="136"/>
      <c r="J1078" s="136"/>
      <c r="L1078" s="1164"/>
      <c r="M1078" s="120"/>
      <c r="N1078" s="1029">
        <v>0</v>
      </c>
    </row>
    <row r="1079" spans="1:14" ht="15" customHeight="1">
      <c r="C1079" s="626" t="s">
        <v>754</v>
      </c>
      <c r="D1079" s="627"/>
      <c r="E1079" s="627"/>
      <c r="F1079" s="627"/>
      <c r="G1079" s="628"/>
      <c r="H1079" s="608"/>
      <c r="I1079" s="711">
        <f>ROUNDUP(IF(T3=Y14,S8,0),3)</f>
        <v>0</v>
      </c>
      <c r="J1079" s="1013" t="s">
        <v>178</v>
      </c>
      <c r="L1079" s="1164"/>
      <c r="M1079" s="120"/>
      <c r="N1079" s="1029">
        <v>0</v>
      </c>
    </row>
    <row r="1080" spans="1:14" ht="15" customHeight="1">
      <c r="C1080" s="626" t="s">
        <v>755</v>
      </c>
      <c r="D1080" s="627"/>
      <c r="E1080" s="627"/>
      <c r="F1080" s="627"/>
      <c r="G1080" s="628"/>
      <c r="H1080" s="608"/>
      <c r="I1080" s="711">
        <f>ROUNDUP(IF(T3=Y14,S9,0),3)</f>
        <v>0</v>
      </c>
      <c r="J1080" s="1013" t="s">
        <v>178</v>
      </c>
      <c r="M1080" s="120"/>
      <c r="N1080" s="1029">
        <v>0</v>
      </c>
    </row>
    <row r="1081" spans="1:14" ht="15" customHeight="1">
      <c r="C1081" s="626" t="s">
        <v>756</v>
      </c>
      <c r="D1081" s="627"/>
      <c r="E1081" s="627"/>
      <c r="F1081" s="627"/>
      <c r="G1081" s="628"/>
      <c r="H1081" s="608"/>
      <c r="I1081" s="711">
        <f>ROUNDUP(IF(T3=Y14,S10,0),3)</f>
        <v>0</v>
      </c>
      <c r="J1081" s="1013" t="s">
        <v>178</v>
      </c>
      <c r="M1081" s="120"/>
      <c r="N1081" s="1029">
        <v>0</v>
      </c>
    </row>
    <row r="1082" spans="1:14" ht="15" customHeight="1">
      <c r="A1082" s="106" t="s">
        <v>1145</v>
      </c>
      <c r="B1082" s="106"/>
      <c r="C1082" s="626" t="s">
        <v>757</v>
      </c>
      <c r="D1082" s="627"/>
      <c r="E1082" s="627"/>
      <c r="F1082" s="627"/>
      <c r="G1082" s="628"/>
      <c r="H1082" s="608"/>
      <c r="I1082" s="900">
        <v>0</v>
      </c>
      <c r="J1082" s="1013" t="s">
        <v>178</v>
      </c>
      <c r="M1082" s="120"/>
      <c r="N1082" s="1029">
        <v>0</v>
      </c>
    </row>
    <row r="1083" spans="1:14" ht="15" customHeight="1">
      <c r="C1083" s="626" t="s">
        <v>758</v>
      </c>
      <c r="D1083" s="627"/>
      <c r="E1083" s="627"/>
      <c r="F1083" s="627"/>
      <c r="G1083" s="628"/>
      <c r="H1083" s="608"/>
      <c r="I1083" s="711">
        <f>ROUNDUP(IF(T4=Y20,W8,0),3)</f>
        <v>0</v>
      </c>
      <c r="J1083" s="1013" t="s">
        <v>178</v>
      </c>
      <c r="M1083" s="120"/>
      <c r="N1083" s="1029">
        <v>0</v>
      </c>
    </row>
    <row r="1084" spans="1:14" ht="15" customHeight="1">
      <c r="C1084" s="626" t="s">
        <v>759</v>
      </c>
      <c r="D1084" s="627"/>
      <c r="E1084" s="627"/>
      <c r="F1084" s="627"/>
      <c r="G1084" s="628"/>
      <c r="H1084" s="608"/>
      <c r="I1084" s="711">
        <f>ROUNDUP(IF(T4=Y20,W9,0),3)</f>
        <v>0</v>
      </c>
      <c r="J1084" s="1013" t="s">
        <v>178</v>
      </c>
      <c r="M1084" s="120"/>
      <c r="N1084" s="1029">
        <v>0</v>
      </c>
    </row>
    <row r="1085" spans="1:14" ht="15" customHeight="1">
      <c r="C1085" s="629" t="s">
        <v>760</v>
      </c>
      <c r="D1085" s="630"/>
      <c r="E1085" s="630"/>
      <c r="F1085" s="630"/>
      <c r="G1085" s="631"/>
      <c r="H1085" s="608"/>
      <c r="I1085" s="711">
        <f>ROUNDUP(IF(T4=Y20,W10,0),3)</f>
        <v>0</v>
      </c>
      <c r="J1085" s="1013" t="s">
        <v>178</v>
      </c>
      <c r="M1085" s="120"/>
      <c r="N1085" s="1029">
        <v>0</v>
      </c>
    </row>
    <row r="1086" spans="1:14" ht="15" customHeight="1">
      <c r="C1086" s="626" t="s">
        <v>895</v>
      </c>
      <c r="D1086" s="630"/>
      <c r="E1086" s="630"/>
      <c r="F1086" s="630"/>
      <c r="G1086" s="631"/>
      <c r="H1086" s="608"/>
      <c r="I1086" s="711">
        <f>ROUNDUP(IF(T4=Y22,W8,0),3)</f>
        <v>0</v>
      </c>
      <c r="J1086" s="1013" t="s">
        <v>178</v>
      </c>
      <c r="M1086" s="120"/>
      <c r="N1086" s="1029">
        <v>0</v>
      </c>
    </row>
    <row r="1087" spans="1:14" ht="15" customHeight="1">
      <c r="C1087" s="626" t="s">
        <v>896</v>
      </c>
      <c r="D1087" s="630"/>
      <c r="E1087" s="630"/>
      <c r="F1087" s="630"/>
      <c r="G1087" s="631"/>
      <c r="H1087" s="608"/>
      <c r="I1087" s="711">
        <f>ROUNDUP(IF(T4=Y22,W9,0),3)</f>
        <v>0</v>
      </c>
      <c r="J1087" s="1013" t="s">
        <v>178</v>
      </c>
      <c r="M1087" s="120"/>
      <c r="N1087" s="1029">
        <v>0</v>
      </c>
    </row>
    <row r="1088" spans="1:14" ht="15" customHeight="1">
      <c r="C1088" s="626" t="s">
        <v>1462</v>
      </c>
      <c r="D1088" s="630"/>
      <c r="E1088" s="630"/>
      <c r="F1088" s="630"/>
      <c r="G1088" s="631"/>
      <c r="H1088" s="608"/>
      <c r="I1088" s="711">
        <f>ROUNDUP(IF(T4=Y22,W10,0),3)</f>
        <v>0</v>
      </c>
      <c r="J1088" s="1013" t="s">
        <v>178</v>
      </c>
      <c r="M1088" s="120"/>
      <c r="N1088" s="1029">
        <v>0</v>
      </c>
    </row>
    <row r="1089" spans="3:14" ht="15" customHeight="1">
      <c r="C1089" s="714"/>
      <c r="D1089" s="715"/>
      <c r="E1089" s="715"/>
      <c r="F1089" s="715"/>
      <c r="G1089" s="716"/>
      <c r="H1089" s="717"/>
      <c r="I1089" s="723"/>
      <c r="J1089" s="712"/>
      <c r="M1089" s="120"/>
      <c r="N1089" s="1029">
        <v>0</v>
      </c>
    </row>
    <row r="1090" spans="3:14" ht="15" customHeight="1">
      <c r="C1090" s="626" t="s">
        <v>919</v>
      </c>
      <c r="D1090" s="630"/>
      <c r="E1090" s="630"/>
      <c r="F1090" s="630"/>
      <c r="G1090" s="631"/>
      <c r="H1090" s="608"/>
      <c r="I1090" s="711">
        <f>ROUNDUP(IF(T3=Y15,S8,0),3)</f>
        <v>0</v>
      </c>
      <c r="J1090" s="1013" t="s">
        <v>178</v>
      </c>
      <c r="M1090" s="120"/>
      <c r="N1090" s="1029">
        <v>0</v>
      </c>
    </row>
    <row r="1091" spans="3:14" ht="15" customHeight="1">
      <c r="C1091" s="626" t="s">
        <v>927</v>
      </c>
      <c r="D1091" s="630"/>
      <c r="E1091" s="630"/>
      <c r="F1091" s="630"/>
      <c r="G1091" s="631"/>
      <c r="H1091" s="608"/>
      <c r="I1091" s="711">
        <f>ROUNDUP(IF(T3=Y15,S9,0),3)</f>
        <v>0</v>
      </c>
      <c r="J1091" s="1013" t="s">
        <v>178</v>
      </c>
      <c r="M1091" s="120"/>
      <c r="N1091" s="1029">
        <v>0</v>
      </c>
    </row>
    <row r="1092" spans="3:14" ht="15" customHeight="1">
      <c r="C1092" s="626" t="s">
        <v>920</v>
      </c>
      <c r="D1092" s="630"/>
      <c r="E1092" s="630"/>
      <c r="F1092" s="630"/>
      <c r="G1092" s="631"/>
      <c r="H1092" s="608"/>
      <c r="I1092" s="711">
        <f>ROUNDUP(IF(T3=Y15,S10,0),3)</f>
        <v>0</v>
      </c>
      <c r="J1092" s="1013" t="s">
        <v>178</v>
      </c>
      <c r="M1092" s="120"/>
      <c r="N1092" s="1029">
        <v>0</v>
      </c>
    </row>
    <row r="1093" spans="3:14" ht="15" customHeight="1">
      <c r="C1093" s="626" t="s">
        <v>921</v>
      </c>
      <c r="D1093" s="630"/>
      <c r="E1093" s="630"/>
      <c r="F1093" s="630"/>
      <c r="G1093" s="631"/>
      <c r="H1093" s="608"/>
      <c r="I1093" s="711">
        <f>ROUNDUP(IF($T$4=$Y$21,W8,0),3)</f>
        <v>0</v>
      </c>
      <c r="J1093" s="1013" t="s">
        <v>178</v>
      </c>
      <c r="M1093" s="120"/>
      <c r="N1093" s="1029">
        <v>0</v>
      </c>
    </row>
    <row r="1094" spans="3:14" ht="15" customHeight="1">
      <c r="C1094" s="626" t="s">
        <v>922</v>
      </c>
      <c r="D1094" s="630"/>
      <c r="E1094" s="630"/>
      <c r="F1094" s="630"/>
      <c r="G1094" s="631"/>
      <c r="H1094" s="608"/>
      <c r="I1094" s="711">
        <f>ROUNDUP(IF($T$4=$Y$21,W9,0),3)</f>
        <v>0</v>
      </c>
      <c r="J1094" s="1013" t="s">
        <v>178</v>
      </c>
      <c r="M1094" s="120"/>
      <c r="N1094" s="1029">
        <v>0</v>
      </c>
    </row>
    <row r="1095" spans="3:14" ht="15" customHeight="1">
      <c r="C1095" s="629" t="s">
        <v>923</v>
      </c>
      <c r="D1095" s="630"/>
      <c r="E1095" s="630"/>
      <c r="F1095" s="630"/>
      <c r="G1095" s="631"/>
      <c r="H1095" s="608"/>
      <c r="I1095" s="711">
        <f>ROUNDUP(IF($T$4=$Y$21,W10,0),3)</f>
        <v>0</v>
      </c>
      <c r="J1095" s="1013" t="s">
        <v>178</v>
      </c>
      <c r="M1095" s="120"/>
      <c r="N1095" s="1029">
        <v>0</v>
      </c>
    </row>
    <row r="1096" spans="3:14" ht="15" customHeight="1">
      <c r="C1096" s="714"/>
      <c r="D1096" s="715"/>
      <c r="E1096" s="715"/>
      <c r="F1096" s="715"/>
      <c r="G1096" s="716"/>
      <c r="H1096" s="717"/>
      <c r="I1096" s="723"/>
      <c r="J1096" s="712"/>
      <c r="M1096" s="120"/>
      <c r="N1096" s="1029">
        <v>0</v>
      </c>
    </row>
    <row r="1097" spans="3:14" ht="15" customHeight="1">
      <c r="C1097" s="635" t="s">
        <v>1444</v>
      </c>
      <c r="D1097" s="636"/>
      <c r="E1097" s="636"/>
      <c r="F1097" s="636"/>
      <c r="G1097" s="637"/>
      <c r="H1097" s="608"/>
      <c r="I1097" s="711">
        <f>ROUNDUP(IF($T$3=$Y$16,$S$8,0),3)</f>
        <v>0</v>
      </c>
      <c r="J1097" s="1013" t="s">
        <v>178</v>
      </c>
      <c r="M1097" s="120"/>
      <c r="N1097" s="1029">
        <v>0</v>
      </c>
    </row>
    <row r="1098" spans="3:14" ht="15" customHeight="1">
      <c r="C1098" s="626" t="s">
        <v>1445</v>
      </c>
      <c r="D1098" s="627"/>
      <c r="E1098" s="627"/>
      <c r="F1098" s="627"/>
      <c r="G1098" s="628"/>
      <c r="H1098" s="608"/>
      <c r="I1098" s="711">
        <f>ROUNDUP(IF($T$3=$Y$16,$S$9,0),3)</f>
        <v>0</v>
      </c>
      <c r="J1098" s="1013" t="s">
        <v>178</v>
      </c>
      <c r="M1098" s="120"/>
      <c r="N1098" s="1029">
        <v>0</v>
      </c>
    </row>
    <row r="1099" spans="3:14" ht="15" customHeight="1">
      <c r="C1099" s="635" t="s">
        <v>1446</v>
      </c>
      <c r="D1099" s="627"/>
      <c r="E1099" s="627"/>
      <c r="F1099" s="627"/>
      <c r="G1099" s="628"/>
      <c r="H1099" s="608"/>
      <c r="I1099" s="711">
        <f>ROUNDUP(IF($T$3=$Y$17,$S$8,0),3)</f>
        <v>0</v>
      </c>
      <c r="J1099" s="1013" t="s">
        <v>178</v>
      </c>
      <c r="M1099" s="120"/>
      <c r="N1099" s="1029">
        <v>0</v>
      </c>
    </row>
    <row r="1100" spans="3:14" ht="15" customHeight="1">
      <c r="C1100" s="626" t="s">
        <v>1447</v>
      </c>
      <c r="D1100" s="627"/>
      <c r="E1100" s="627"/>
      <c r="F1100" s="627"/>
      <c r="G1100" s="628"/>
      <c r="H1100" s="608"/>
      <c r="I1100" s="711">
        <f>ROUNDUP(IF($T$3=$Y$17,$S$9,0),3)</f>
        <v>0</v>
      </c>
      <c r="J1100" s="1013" t="s">
        <v>178</v>
      </c>
      <c r="M1100" s="120"/>
      <c r="N1100" s="1029">
        <v>0</v>
      </c>
    </row>
    <row r="1101" spans="3:14" ht="15" customHeight="1">
      <c r="C1101" s="626" t="s">
        <v>1265</v>
      </c>
      <c r="D1101" s="627"/>
      <c r="E1101" s="627"/>
      <c r="F1101" s="627"/>
      <c r="G1101" s="628"/>
      <c r="H1101" s="608"/>
      <c r="I1101" s="711">
        <f>ROUNDUP(IF(T3=Y16,S10,0),3)</f>
        <v>0</v>
      </c>
      <c r="J1101" s="1013" t="s">
        <v>178</v>
      </c>
      <c r="M1101" s="120"/>
      <c r="N1101" s="1029">
        <v>0</v>
      </c>
    </row>
    <row r="1102" spans="3:14" ht="15" customHeight="1">
      <c r="C1102" s="626" t="s">
        <v>1266</v>
      </c>
      <c r="D1102" s="627"/>
      <c r="E1102" s="627"/>
      <c r="F1102" s="627"/>
      <c r="G1102" s="628"/>
      <c r="H1102" s="608"/>
      <c r="I1102" s="711">
        <f>ROUNDUP(IF(T3=Y17,S10,0),3)</f>
        <v>0</v>
      </c>
      <c r="J1102" s="1013" t="s">
        <v>178</v>
      </c>
      <c r="M1102" s="120"/>
      <c r="N1102" s="1029">
        <v>0</v>
      </c>
    </row>
    <row r="1103" spans="3:14" ht="15" customHeight="1">
      <c r="C1103" s="626" t="s">
        <v>1448</v>
      </c>
      <c r="D1103" s="627"/>
      <c r="E1103" s="627"/>
      <c r="F1103" s="627"/>
      <c r="G1103" s="628"/>
      <c r="H1103" s="608"/>
      <c r="I1103" s="711">
        <f>ROUNDUP(IF($T$4=$Y$23,$W$8,0),3)</f>
        <v>0</v>
      </c>
      <c r="J1103" s="1013" t="s">
        <v>178</v>
      </c>
      <c r="M1103" s="120"/>
      <c r="N1103" s="1029">
        <v>0</v>
      </c>
    </row>
    <row r="1104" spans="3:14" ht="15" customHeight="1">
      <c r="C1104" s="626" t="s">
        <v>1449</v>
      </c>
      <c r="D1104" s="627"/>
      <c r="E1104" s="627"/>
      <c r="F1104" s="627"/>
      <c r="G1104" s="628"/>
      <c r="H1104" s="608"/>
      <c r="I1104" s="711">
        <f>ROUNDUP(IF(T4=Y23,W9,0),3)</f>
        <v>0</v>
      </c>
      <c r="J1104" s="1013" t="s">
        <v>178</v>
      </c>
      <c r="M1104" s="120"/>
      <c r="N1104" s="1029">
        <v>0</v>
      </c>
    </row>
    <row r="1105" spans="3:14" ht="15" customHeight="1">
      <c r="C1105" s="626" t="s">
        <v>1450</v>
      </c>
      <c r="D1105" s="630"/>
      <c r="E1105" s="630"/>
      <c r="F1105" s="630"/>
      <c r="G1105" s="631"/>
      <c r="H1105" s="608"/>
      <c r="I1105" s="711">
        <f>ROUNDUP(IF($T$4=$Y$24,$W$8,0),3)</f>
        <v>0</v>
      </c>
      <c r="J1105" s="1013" t="s">
        <v>178</v>
      </c>
      <c r="M1105" s="120"/>
      <c r="N1105" s="1029">
        <v>0</v>
      </c>
    </row>
    <row r="1106" spans="3:14" ht="15" customHeight="1">
      <c r="C1106" s="626" t="s">
        <v>1443</v>
      </c>
      <c r="D1106" s="630"/>
      <c r="E1106" s="630"/>
      <c r="F1106" s="630"/>
      <c r="G1106" s="631"/>
      <c r="H1106" s="608"/>
      <c r="I1106" s="711">
        <f>ROUNDUP(IF($T$4=$Y$24,$W$9,0),3)</f>
        <v>0</v>
      </c>
      <c r="J1106" s="1013" t="s">
        <v>178</v>
      </c>
      <c r="M1106" s="120"/>
      <c r="N1106" s="1029">
        <v>0</v>
      </c>
    </row>
    <row r="1107" spans="3:14" ht="15" customHeight="1">
      <c r="C1107" s="629" t="s">
        <v>1265</v>
      </c>
      <c r="D1107" s="630"/>
      <c r="E1107" s="630"/>
      <c r="F1107" s="630"/>
      <c r="G1107" s="631"/>
      <c r="H1107" s="608"/>
      <c r="I1107" s="711">
        <f>ROUNDUP(IF($T$4=Y23,$W$10,0),3)</f>
        <v>0</v>
      </c>
      <c r="J1107" s="1013" t="s">
        <v>178</v>
      </c>
      <c r="M1107" s="120"/>
      <c r="N1107" s="1029">
        <v>0</v>
      </c>
    </row>
    <row r="1108" spans="3:14" ht="15" customHeight="1">
      <c r="C1108" s="629" t="s">
        <v>1266</v>
      </c>
      <c r="D1108" s="630"/>
      <c r="E1108" s="630"/>
      <c r="F1108" s="630"/>
      <c r="G1108" s="631"/>
      <c r="H1108" s="608"/>
      <c r="I1108" s="711">
        <f>ROUNDUP(IF($T$4=Y24,$W$10,0),3)</f>
        <v>0</v>
      </c>
      <c r="J1108" s="1013" t="s">
        <v>178</v>
      </c>
      <c r="M1108" s="120"/>
      <c r="N1108" s="1029">
        <v>0</v>
      </c>
    </row>
    <row r="1109" spans="3:14" ht="15" customHeight="1">
      <c r="C1109" s="714"/>
      <c r="D1109" s="715"/>
      <c r="E1109" s="715"/>
      <c r="F1109" s="715"/>
      <c r="G1109" s="716"/>
      <c r="H1109" s="717"/>
      <c r="I1109" s="723"/>
      <c r="J1109" s="712"/>
      <c r="M1109" s="120"/>
      <c r="N1109" s="1029">
        <v>0</v>
      </c>
    </row>
    <row r="1110" spans="3:14" ht="15" customHeight="1">
      <c r="C1110" s="626" t="s">
        <v>409</v>
      </c>
      <c r="D1110" s="627"/>
      <c r="E1110" s="627"/>
      <c r="F1110" s="627"/>
      <c r="G1110" s="628"/>
      <c r="H1110" s="608"/>
      <c r="I1110" s="711">
        <f>ROUNDUP(IF(T4=Y27,W8,0),3)</f>
        <v>0</v>
      </c>
      <c r="J1110" s="1013" t="s">
        <v>178</v>
      </c>
      <c r="M1110" s="120"/>
      <c r="N1110" s="1029">
        <v>0</v>
      </c>
    </row>
    <row r="1111" spans="3:14" ht="15" customHeight="1">
      <c r="C1111" s="725" t="s">
        <v>454</v>
      </c>
      <c r="D1111" s="630"/>
      <c r="E1111" s="630"/>
      <c r="F1111" s="630"/>
      <c r="G1111" s="631"/>
      <c r="H1111" s="608"/>
      <c r="I1111" s="711">
        <f>ROUNDUP(IF(T4=Y27,W9,0),3)</f>
        <v>0</v>
      </c>
      <c r="J1111" s="1013" t="s">
        <v>178</v>
      </c>
      <c r="M1111" s="120"/>
      <c r="N1111" s="1029">
        <v>0</v>
      </c>
    </row>
    <row r="1112" spans="3:14" ht="15" customHeight="1">
      <c r="C1112" s="714"/>
      <c r="D1112" s="715"/>
      <c r="E1112" s="715"/>
      <c r="F1112" s="715"/>
      <c r="G1112" s="716"/>
      <c r="H1112" s="717"/>
      <c r="I1112" s="723"/>
      <c r="J1112" s="712"/>
      <c r="M1112" s="120"/>
      <c r="N1112" s="1029">
        <v>0</v>
      </c>
    </row>
    <row r="1113" spans="3:14" ht="15" customHeight="1">
      <c r="C1113" s="626" t="s">
        <v>269</v>
      </c>
      <c r="D1113" s="627"/>
      <c r="E1113" s="627"/>
      <c r="F1113" s="627"/>
      <c r="G1113" s="628"/>
      <c r="H1113" s="608"/>
      <c r="I1113" s="711">
        <f>ROUNDUP(IF(T3=Y18,S8,0),3)</f>
        <v>0</v>
      </c>
      <c r="J1113" s="1013" t="s">
        <v>112</v>
      </c>
      <c r="M1113" s="120"/>
      <c r="N1113" s="1029">
        <v>0</v>
      </c>
    </row>
    <row r="1114" spans="3:14" ht="15" customHeight="1">
      <c r="C1114" s="626" t="s">
        <v>270</v>
      </c>
      <c r="D1114" s="627"/>
      <c r="E1114" s="627"/>
      <c r="F1114" s="627"/>
      <c r="G1114" s="628"/>
      <c r="H1114" s="608"/>
      <c r="I1114" s="711">
        <f>ROUNDUP(IF(T3=Y18,S9,0),3)</f>
        <v>0</v>
      </c>
      <c r="J1114" s="1013" t="s">
        <v>112</v>
      </c>
      <c r="M1114" s="120"/>
      <c r="N1114" s="1029">
        <v>0</v>
      </c>
    </row>
    <row r="1115" spans="3:14" ht="15" customHeight="1">
      <c r="C1115" s="626" t="s">
        <v>210</v>
      </c>
      <c r="D1115" s="627"/>
      <c r="E1115" s="627"/>
      <c r="F1115" s="627"/>
      <c r="G1115" s="628"/>
      <c r="H1115" s="608"/>
      <c r="I1115" s="711">
        <f>ROUNDUP(IF(T3=Y18,S10,0),3)</f>
        <v>0</v>
      </c>
      <c r="J1115" s="1013" t="s">
        <v>112</v>
      </c>
      <c r="M1115" s="120"/>
      <c r="N1115" s="1029">
        <v>0</v>
      </c>
    </row>
    <row r="1116" spans="3:14" ht="15" customHeight="1">
      <c r="C1116" s="626" t="s">
        <v>271</v>
      </c>
      <c r="D1116" s="627"/>
      <c r="E1116" s="627"/>
      <c r="F1116" s="627"/>
      <c r="G1116" s="628"/>
      <c r="H1116" s="608"/>
      <c r="I1116" s="711">
        <f>ROUNDUP(IF(OR(T4=Y25,T4=Y26),W8,0),3)</f>
        <v>0</v>
      </c>
      <c r="J1116" s="1013" t="s">
        <v>112</v>
      </c>
      <c r="M1116" s="120"/>
      <c r="N1116" s="1029">
        <v>0</v>
      </c>
    </row>
    <row r="1117" spans="3:14" ht="15" customHeight="1">
      <c r="C1117" s="626" t="s">
        <v>945</v>
      </c>
      <c r="D1117" s="627"/>
      <c r="E1117" s="627"/>
      <c r="F1117" s="627"/>
      <c r="G1117" s="628"/>
      <c r="H1117" s="608"/>
      <c r="I1117" s="711">
        <f>ROUNDUP(IF(T4=Y26,W9,0),3)</f>
        <v>0</v>
      </c>
      <c r="J1117" s="1013" t="s">
        <v>112</v>
      </c>
      <c r="M1117" s="120"/>
      <c r="N1117" s="1029">
        <v>0</v>
      </c>
    </row>
    <row r="1118" spans="3:14" ht="15" customHeight="1">
      <c r="C1118" s="626" t="s">
        <v>210</v>
      </c>
      <c r="D1118" s="627"/>
      <c r="E1118" s="627"/>
      <c r="F1118" s="627"/>
      <c r="G1118" s="628"/>
      <c r="H1118" s="608"/>
      <c r="I1118" s="711">
        <f>ROUNDUP(IF(T4=Y25,W9,0),3)</f>
        <v>0</v>
      </c>
      <c r="J1118" s="1013" t="s">
        <v>112</v>
      </c>
      <c r="M1118" s="120"/>
      <c r="N1118" s="1029">
        <v>0</v>
      </c>
    </row>
    <row r="1119" spans="3:14" ht="15" customHeight="1">
      <c r="C1119" s="626" t="s">
        <v>949</v>
      </c>
      <c r="D1119" s="627"/>
      <c r="E1119" s="627"/>
      <c r="F1119" s="627"/>
      <c r="G1119" s="628"/>
      <c r="H1119" s="608"/>
      <c r="I1119" s="711">
        <f>ROUNDUP(IF(T4=Y26,W10,0),3)</f>
        <v>0</v>
      </c>
      <c r="J1119" s="1013" t="s">
        <v>112</v>
      </c>
      <c r="M1119" s="120"/>
      <c r="N1119" s="1029">
        <v>0</v>
      </c>
    </row>
    <row r="1120" spans="3:14" ht="15" customHeight="1">
      <c r="N1120" s="1029">
        <v>0</v>
      </c>
    </row>
    <row r="1121" spans="14:14" ht="15" customHeight="1">
      <c r="N1121" s="1029">
        <v>0</v>
      </c>
    </row>
    <row r="1122" spans="14:14" ht="15" customHeight="1">
      <c r="N1122" s="1029">
        <v>0</v>
      </c>
    </row>
    <row r="1123" spans="14:14" ht="15" customHeight="1">
      <c r="N1123" s="1029">
        <v>0</v>
      </c>
    </row>
    <row r="1124" spans="14:14" ht="15" customHeight="1">
      <c r="N1124" s="1029">
        <v>0</v>
      </c>
    </row>
    <row r="1125" spans="14:14" ht="15" customHeight="1">
      <c r="N1125" s="1029">
        <v>0</v>
      </c>
    </row>
    <row r="1126" spans="14:14" ht="15" customHeight="1">
      <c r="N1126" s="1029">
        <v>0</v>
      </c>
    </row>
    <row r="1127" spans="14:14" ht="15" customHeight="1">
      <c r="N1127" s="1029">
        <v>0</v>
      </c>
    </row>
    <row r="1128" spans="14:14" ht="15" customHeight="1">
      <c r="N1128" s="1029">
        <v>0</v>
      </c>
    </row>
    <row r="1129" spans="14:14" ht="15" customHeight="1">
      <c r="N1129" s="1029">
        <v>0</v>
      </c>
    </row>
    <row r="1130" spans="14:14" ht="15" customHeight="1">
      <c r="N1130" s="1029">
        <v>0</v>
      </c>
    </row>
    <row r="1131" spans="14:14" ht="15" customHeight="1">
      <c r="N1131" s="1029">
        <v>0</v>
      </c>
    </row>
    <row r="1132" spans="14:14" ht="15" customHeight="1">
      <c r="N1132" s="1029">
        <v>0</v>
      </c>
    </row>
    <row r="1133" spans="14:14" ht="15" customHeight="1">
      <c r="N1133" s="1029">
        <v>0</v>
      </c>
    </row>
    <row r="1134" spans="14:14" ht="15" customHeight="1">
      <c r="N1134" s="1029">
        <v>0</v>
      </c>
    </row>
    <row r="1135" spans="14:14" ht="15" customHeight="1">
      <c r="N1135" s="1029">
        <v>0</v>
      </c>
    </row>
    <row r="1136" spans="14:14" ht="15" customHeight="1">
      <c r="N1136" s="1029">
        <v>0</v>
      </c>
    </row>
    <row r="1137" spans="3:19" ht="15" customHeight="1">
      <c r="N1137" s="1029">
        <v>0</v>
      </c>
    </row>
    <row r="1138" spans="3:19" ht="15" customHeight="1">
      <c r="N1138" s="1029">
        <v>0</v>
      </c>
    </row>
    <row r="1139" spans="3:19" ht="15" customHeight="1">
      <c r="N1139" s="1029">
        <v>0</v>
      </c>
      <c r="S1139" s="1"/>
    </row>
    <row r="1140" spans="3:19" ht="15" customHeight="1">
      <c r="N1140" s="1029">
        <v>0</v>
      </c>
    </row>
    <row r="1141" spans="3:19" ht="15" customHeight="1">
      <c r="C1141" s="364" t="s">
        <v>464</v>
      </c>
      <c r="D1141" s="365"/>
      <c r="E1141" s="365"/>
      <c r="F1141" s="366">
        <v>50</v>
      </c>
      <c r="G1141" s="365" t="s">
        <v>150</v>
      </c>
      <c r="H1141" s="1032" t="str">
        <f t="shared" ref="H1141:H1163" si="156">" "</f>
        <v xml:space="preserve"> </v>
      </c>
      <c r="I1141" s="367">
        <f>SUM(SUMIF($AG$79:$AG$227,F1141,$AH$79:$AH$227),SUMIF($AK$79:$AK$175,F1141,$AL$79:$AL$175))</f>
        <v>0</v>
      </c>
      <c r="J1141" s="1032" t="s">
        <v>190</v>
      </c>
      <c r="N1141" s="1029">
        <v>0</v>
      </c>
    </row>
    <row r="1142" spans="3:19" ht="15" customHeight="1">
      <c r="N1142" s="1029">
        <v>0</v>
      </c>
    </row>
    <row r="1143" spans="3:19" ht="15" customHeight="1">
      <c r="C1143" s="106"/>
      <c r="N1143" s="1029">
        <v>0</v>
      </c>
    </row>
    <row r="1144" spans="3:19" ht="15" customHeight="1">
      <c r="N1144" s="1029">
        <v>0</v>
      </c>
    </row>
    <row r="1145" spans="3:19" ht="15" customHeight="1">
      <c r="C1145" s="135" t="s">
        <v>317</v>
      </c>
      <c r="L1145" s="1164" t="str">
        <f ca="1">HYPERLINK("#"&amp;$AB$5&amp;"!b21","⇑ ")</f>
        <v xml:space="preserve">⇑ </v>
      </c>
      <c r="N1145" s="1029">
        <v>0</v>
      </c>
    </row>
    <row r="1146" spans="3:19" ht="15" customHeight="1">
      <c r="I1146" s="1024"/>
      <c r="L1146" s="1164"/>
      <c r="N1146" s="1029">
        <v>0</v>
      </c>
    </row>
    <row r="1147" spans="3:19" ht="15" customHeight="1">
      <c r="L1147" s="1164"/>
      <c r="N1147" s="1029">
        <v>0</v>
      </c>
    </row>
    <row r="1148" spans="3:19" ht="15" customHeight="1">
      <c r="I1148" s="724" t="s">
        <v>330</v>
      </c>
      <c r="K1148" s="106"/>
      <c r="N1148" s="1029">
        <v>0</v>
      </c>
    </row>
    <row r="1149" spans="3:19" ht="15" customHeight="1">
      <c r="C1149" s="626" t="s">
        <v>531</v>
      </c>
      <c r="D1149" s="627"/>
      <c r="E1149" s="627"/>
      <c r="F1149" s="656">
        <v>60</v>
      </c>
      <c r="G1149" s="628" t="s">
        <v>150</v>
      </c>
      <c r="H1149" s="608" t="str">
        <f t="shared" si="156"/>
        <v xml:space="preserve"> </v>
      </c>
      <c r="I1149" s="609">
        <f t="shared" ref="I1149:I1155" si="157">SUM(SUMIF($AG$79:$AG$227,F1149,$AH$79:$AH$227),SUMIF($AK$79:$AK$175,F1149,$AL$79:$AL$175))</f>
        <v>0</v>
      </c>
      <c r="J1149" s="1013" t="s">
        <v>190</v>
      </c>
      <c r="N1149" s="1029">
        <v>0</v>
      </c>
    </row>
    <row r="1150" spans="3:19" ht="15" customHeight="1">
      <c r="C1150" s="626" t="s">
        <v>531</v>
      </c>
      <c r="D1150" s="627"/>
      <c r="E1150" s="627"/>
      <c r="F1150" s="656">
        <v>70</v>
      </c>
      <c r="G1150" s="628" t="s">
        <v>150</v>
      </c>
      <c r="H1150" s="608" t="str">
        <f t="shared" si="156"/>
        <v xml:space="preserve"> </v>
      </c>
      <c r="I1150" s="609">
        <f t="shared" si="157"/>
        <v>0</v>
      </c>
      <c r="J1150" s="1013" t="s">
        <v>190</v>
      </c>
      <c r="N1150" s="1029">
        <v>0</v>
      </c>
    </row>
    <row r="1151" spans="3:19" ht="15" customHeight="1">
      <c r="C1151" s="626" t="s">
        <v>531</v>
      </c>
      <c r="D1151" s="627"/>
      <c r="E1151" s="627"/>
      <c r="F1151" s="656">
        <v>80</v>
      </c>
      <c r="G1151" s="628" t="s">
        <v>150</v>
      </c>
      <c r="H1151" s="608" t="str">
        <f t="shared" si="156"/>
        <v xml:space="preserve"> </v>
      </c>
      <c r="I1151" s="609">
        <f t="shared" si="157"/>
        <v>0</v>
      </c>
      <c r="J1151" s="1013" t="s">
        <v>190</v>
      </c>
      <c r="N1151" s="1029">
        <v>0</v>
      </c>
    </row>
    <row r="1152" spans="3:19" ht="15" customHeight="1">
      <c r="C1152" s="626" t="s">
        <v>531</v>
      </c>
      <c r="D1152" s="627"/>
      <c r="E1152" s="627"/>
      <c r="F1152" s="656">
        <v>100</v>
      </c>
      <c r="G1152" s="628" t="s">
        <v>150</v>
      </c>
      <c r="H1152" s="608" t="str">
        <f t="shared" si="156"/>
        <v xml:space="preserve"> </v>
      </c>
      <c r="I1152" s="609">
        <f t="shared" si="157"/>
        <v>0</v>
      </c>
      <c r="J1152" s="1013" t="s">
        <v>190</v>
      </c>
      <c r="N1152" s="1029">
        <v>0</v>
      </c>
    </row>
    <row r="1153" spans="3:14" ht="15" customHeight="1">
      <c r="C1153" s="626" t="s">
        <v>531</v>
      </c>
      <c r="D1153" s="627"/>
      <c r="E1153" s="627"/>
      <c r="F1153" s="656">
        <v>120</v>
      </c>
      <c r="G1153" s="628" t="s">
        <v>150</v>
      </c>
      <c r="H1153" s="608" t="str">
        <f t="shared" si="156"/>
        <v xml:space="preserve"> </v>
      </c>
      <c r="I1153" s="609">
        <f t="shared" si="157"/>
        <v>0</v>
      </c>
      <c r="J1153" s="1013" t="s">
        <v>190</v>
      </c>
      <c r="N1153" s="1029">
        <v>0</v>
      </c>
    </row>
    <row r="1154" spans="3:14" ht="15" customHeight="1">
      <c r="C1154" s="626" t="s">
        <v>531</v>
      </c>
      <c r="D1154" s="627"/>
      <c r="E1154" s="627"/>
      <c r="F1154" s="656">
        <v>160</v>
      </c>
      <c r="G1154" s="628" t="s">
        <v>150</v>
      </c>
      <c r="H1154" s="608" t="str">
        <f t="shared" si="156"/>
        <v xml:space="preserve"> </v>
      </c>
      <c r="I1154" s="609">
        <f t="shared" si="157"/>
        <v>0</v>
      </c>
      <c r="J1154" s="1013" t="s">
        <v>190</v>
      </c>
      <c r="N1154" s="1029">
        <v>0</v>
      </c>
    </row>
    <row r="1155" spans="3:14" ht="15" customHeight="1">
      <c r="C1155" s="626" t="s">
        <v>531</v>
      </c>
      <c r="D1155" s="627"/>
      <c r="E1155" s="627"/>
      <c r="F1155" s="656">
        <v>200</v>
      </c>
      <c r="G1155" s="628" t="s">
        <v>150</v>
      </c>
      <c r="H1155" s="608" t="str">
        <f t="shared" si="156"/>
        <v xml:space="preserve"> </v>
      </c>
      <c r="I1155" s="609">
        <f t="shared" si="157"/>
        <v>0</v>
      </c>
      <c r="J1155" s="1013" t="s">
        <v>190</v>
      </c>
      <c r="N1155" s="1029">
        <v>0</v>
      </c>
    </row>
    <row r="1156" spans="3:14" ht="15" customHeight="1">
      <c r="C1156" s="626" t="s">
        <v>268</v>
      </c>
      <c r="D1156" s="627"/>
      <c r="E1156" s="627"/>
      <c r="F1156" s="656">
        <v>20</v>
      </c>
      <c r="G1156" s="628" t="s">
        <v>150</v>
      </c>
      <c r="H1156" s="608" t="str">
        <f t="shared" si="156"/>
        <v xml:space="preserve"> </v>
      </c>
      <c r="I1156" s="609">
        <f t="shared" ref="I1156:I1163" ca="1" si="158">SUMIF($AI$79:$AI$227,F1156,$AJ$79:$AJ$175)</f>
        <v>0</v>
      </c>
      <c r="J1156" s="1013" t="s">
        <v>190</v>
      </c>
      <c r="N1156" s="1029">
        <v>0</v>
      </c>
    </row>
    <row r="1157" spans="3:14" ht="15" customHeight="1">
      <c r="C1157" s="626" t="s">
        <v>268</v>
      </c>
      <c r="D1157" s="627"/>
      <c r="E1157" s="627"/>
      <c r="F1157" s="656">
        <v>50</v>
      </c>
      <c r="G1157" s="628" t="s">
        <v>150</v>
      </c>
      <c r="H1157" s="608" t="str">
        <f t="shared" si="156"/>
        <v xml:space="preserve"> </v>
      </c>
      <c r="I1157" s="609">
        <f t="shared" ca="1" si="158"/>
        <v>0</v>
      </c>
      <c r="J1157" s="1013" t="s">
        <v>190</v>
      </c>
      <c r="N1157" s="1029">
        <v>0</v>
      </c>
    </row>
    <row r="1158" spans="3:14" ht="15" customHeight="1">
      <c r="C1158" s="626" t="s">
        <v>268</v>
      </c>
      <c r="D1158" s="627"/>
      <c r="E1158" s="627"/>
      <c r="F1158" s="656">
        <v>80</v>
      </c>
      <c r="G1158" s="628" t="s">
        <v>150</v>
      </c>
      <c r="H1158" s="608" t="str">
        <f t="shared" si="156"/>
        <v xml:space="preserve"> </v>
      </c>
      <c r="I1158" s="609">
        <f t="shared" ca="1" si="158"/>
        <v>0</v>
      </c>
      <c r="J1158" s="1013" t="s">
        <v>190</v>
      </c>
      <c r="N1158" s="1029">
        <v>0</v>
      </c>
    </row>
    <row r="1159" spans="3:14" ht="15" customHeight="1">
      <c r="C1159" s="626" t="s">
        <v>268</v>
      </c>
      <c r="D1159" s="627"/>
      <c r="E1159" s="627"/>
      <c r="F1159" s="656">
        <v>100</v>
      </c>
      <c r="G1159" s="628" t="s">
        <v>150</v>
      </c>
      <c r="H1159" s="608" t="str">
        <f t="shared" si="156"/>
        <v xml:space="preserve"> </v>
      </c>
      <c r="I1159" s="609">
        <f t="shared" ca="1" si="158"/>
        <v>0</v>
      </c>
      <c r="J1159" s="1013" t="s">
        <v>190</v>
      </c>
      <c r="N1159" s="1029">
        <v>0</v>
      </c>
    </row>
    <row r="1160" spans="3:14" ht="15" customHeight="1">
      <c r="C1160" s="626" t="s">
        <v>268</v>
      </c>
      <c r="D1160" s="627"/>
      <c r="E1160" s="627"/>
      <c r="F1160" s="656">
        <v>120</v>
      </c>
      <c r="G1160" s="628" t="s">
        <v>150</v>
      </c>
      <c r="H1160" s="608" t="str">
        <f t="shared" si="156"/>
        <v xml:space="preserve"> </v>
      </c>
      <c r="I1160" s="609">
        <f t="shared" ca="1" si="158"/>
        <v>0</v>
      </c>
      <c r="J1160" s="1013" t="s">
        <v>190</v>
      </c>
      <c r="N1160" s="1029">
        <v>0</v>
      </c>
    </row>
    <row r="1161" spans="3:14" ht="15" customHeight="1">
      <c r="C1161" s="626" t="s">
        <v>268</v>
      </c>
      <c r="D1161" s="627"/>
      <c r="E1161" s="627"/>
      <c r="F1161" s="656">
        <v>130</v>
      </c>
      <c r="G1161" s="628" t="s">
        <v>150</v>
      </c>
      <c r="H1161" s="608" t="str">
        <f t="shared" si="156"/>
        <v xml:space="preserve"> </v>
      </c>
      <c r="I1161" s="609">
        <f t="shared" ca="1" si="158"/>
        <v>0</v>
      </c>
      <c r="J1161" s="1013" t="s">
        <v>190</v>
      </c>
      <c r="N1161" s="1029">
        <v>0</v>
      </c>
    </row>
    <row r="1162" spans="3:14" ht="15" customHeight="1">
      <c r="C1162" s="626" t="s">
        <v>268</v>
      </c>
      <c r="D1162" s="627"/>
      <c r="E1162" s="627"/>
      <c r="F1162" s="656">
        <v>140</v>
      </c>
      <c r="G1162" s="628" t="s">
        <v>150</v>
      </c>
      <c r="H1162" s="608" t="str">
        <f t="shared" si="156"/>
        <v xml:space="preserve"> </v>
      </c>
      <c r="I1162" s="609">
        <f t="shared" ca="1" si="158"/>
        <v>0</v>
      </c>
      <c r="J1162" s="1013" t="s">
        <v>190</v>
      </c>
      <c r="N1162" s="1029">
        <v>0</v>
      </c>
    </row>
    <row r="1163" spans="3:14" ht="15" customHeight="1">
      <c r="C1163" s="626" t="s">
        <v>268</v>
      </c>
      <c r="D1163" s="627"/>
      <c r="E1163" s="627"/>
      <c r="F1163" s="656">
        <v>150</v>
      </c>
      <c r="G1163" s="628" t="s">
        <v>150</v>
      </c>
      <c r="H1163" s="608" t="str">
        <f t="shared" si="156"/>
        <v xml:space="preserve"> </v>
      </c>
      <c r="I1163" s="609">
        <f t="shared" ca="1" si="158"/>
        <v>0</v>
      </c>
      <c r="J1163" s="1013" t="s">
        <v>190</v>
      </c>
      <c r="N1163" s="1029">
        <v>0</v>
      </c>
    </row>
    <row r="1164" spans="3:14" ht="15" customHeight="1">
      <c r="C1164" s="763" t="s">
        <v>316</v>
      </c>
      <c r="D1164" s="636"/>
      <c r="E1164" s="636"/>
      <c r="F1164" s="762">
        <v>50</v>
      </c>
      <c r="G1164" s="637" t="s">
        <v>150</v>
      </c>
      <c r="H1164" s="608">
        <v>1.03</v>
      </c>
      <c r="I1164" s="711">
        <f t="shared" ref="I1164:I1177" ca="1" si="159">SUMIFS($AF$79:$AF$152,$V$79:$V$152,F1164,$W$79:$W$152,$Y$29)</f>
        <v>0</v>
      </c>
      <c r="J1164" s="1013" t="s">
        <v>178</v>
      </c>
      <c r="N1164" s="1029">
        <v>0</v>
      </c>
    </row>
    <row r="1165" spans="3:14" ht="15" customHeight="1">
      <c r="C1165" s="626" t="s">
        <v>316</v>
      </c>
      <c r="D1165" s="627"/>
      <c r="E1165" s="627"/>
      <c r="F1165" s="656">
        <v>60</v>
      </c>
      <c r="G1165" s="628" t="s">
        <v>150</v>
      </c>
      <c r="H1165" s="608">
        <v>1.03</v>
      </c>
      <c r="I1165" s="711">
        <f t="shared" ca="1" si="159"/>
        <v>0</v>
      </c>
      <c r="J1165" s="1013" t="s">
        <v>178</v>
      </c>
      <c r="N1165" s="1029">
        <v>0</v>
      </c>
    </row>
    <row r="1166" spans="3:14" ht="15" customHeight="1">
      <c r="C1166" s="626" t="s">
        <v>316</v>
      </c>
      <c r="D1166" s="627"/>
      <c r="E1166" s="627"/>
      <c r="F1166" s="656">
        <v>70</v>
      </c>
      <c r="G1166" s="628" t="s">
        <v>150</v>
      </c>
      <c r="H1166" s="608">
        <v>1.03</v>
      </c>
      <c r="I1166" s="711">
        <f t="shared" ca="1" si="159"/>
        <v>0</v>
      </c>
      <c r="J1166" s="1013" t="s">
        <v>178</v>
      </c>
      <c r="N1166" s="1029">
        <v>0</v>
      </c>
    </row>
    <row r="1167" spans="3:14" ht="15" customHeight="1">
      <c r="C1167" s="626" t="s">
        <v>316</v>
      </c>
      <c r="D1167" s="627"/>
      <c r="E1167" s="627"/>
      <c r="F1167" s="656">
        <v>80</v>
      </c>
      <c r="G1167" s="628" t="s">
        <v>150</v>
      </c>
      <c r="H1167" s="608">
        <v>1.03</v>
      </c>
      <c r="I1167" s="711">
        <f t="shared" ca="1" si="159"/>
        <v>0</v>
      </c>
      <c r="J1167" s="1013" t="s">
        <v>178</v>
      </c>
      <c r="N1167" s="1029">
        <v>0</v>
      </c>
    </row>
    <row r="1168" spans="3:14" ht="15" customHeight="1">
      <c r="C1168" s="626" t="s">
        <v>316</v>
      </c>
      <c r="D1168" s="627"/>
      <c r="E1168" s="627"/>
      <c r="F1168" s="656">
        <v>90</v>
      </c>
      <c r="G1168" s="628" t="s">
        <v>150</v>
      </c>
      <c r="H1168" s="608">
        <v>1.03</v>
      </c>
      <c r="I1168" s="711">
        <f t="shared" ca="1" si="159"/>
        <v>0</v>
      </c>
      <c r="J1168" s="1013" t="s">
        <v>178</v>
      </c>
      <c r="N1168" s="1029">
        <v>0</v>
      </c>
    </row>
    <row r="1169" spans="3:14" ht="15" customHeight="1">
      <c r="C1169" s="626" t="s">
        <v>316</v>
      </c>
      <c r="D1169" s="627"/>
      <c r="E1169" s="627"/>
      <c r="F1169" s="656">
        <v>100</v>
      </c>
      <c r="G1169" s="628" t="s">
        <v>150</v>
      </c>
      <c r="H1169" s="608">
        <v>1.03</v>
      </c>
      <c r="I1169" s="711">
        <f t="shared" ca="1" si="159"/>
        <v>0</v>
      </c>
      <c r="J1169" s="1013" t="s">
        <v>178</v>
      </c>
      <c r="N1169" s="1029">
        <v>0</v>
      </c>
    </row>
    <row r="1170" spans="3:14" ht="15" customHeight="1">
      <c r="C1170" s="626" t="s">
        <v>316</v>
      </c>
      <c r="D1170" s="627"/>
      <c r="E1170" s="627"/>
      <c r="F1170" s="656">
        <v>110</v>
      </c>
      <c r="G1170" s="628" t="s">
        <v>150</v>
      </c>
      <c r="H1170" s="608">
        <v>1.03</v>
      </c>
      <c r="I1170" s="711">
        <f t="shared" ca="1" si="159"/>
        <v>0</v>
      </c>
      <c r="J1170" s="1013" t="s">
        <v>178</v>
      </c>
      <c r="N1170" s="1029">
        <v>0</v>
      </c>
    </row>
    <row r="1171" spans="3:14" ht="15" customHeight="1">
      <c r="C1171" s="626" t="s">
        <v>316</v>
      </c>
      <c r="D1171" s="627"/>
      <c r="E1171" s="627"/>
      <c r="F1171" s="656">
        <v>120</v>
      </c>
      <c r="G1171" s="628" t="s">
        <v>150</v>
      </c>
      <c r="H1171" s="608">
        <v>1.03</v>
      </c>
      <c r="I1171" s="711">
        <f t="shared" ca="1" si="159"/>
        <v>0</v>
      </c>
      <c r="J1171" s="1013" t="s">
        <v>178</v>
      </c>
      <c r="N1171" s="1029">
        <v>0</v>
      </c>
    </row>
    <row r="1172" spans="3:14" ht="15" customHeight="1">
      <c r="C1172" s="626" t="s">
        <v>316</v>
      </c>
      <c r="D1172" s="627"/>
      <c r="E1172" s="627"/>
      <c r="F1172" s="656">
        <v>130</v>
      </c>
      <c r="G1172" s="628" t="s">
        <v>150</v>
      </c>
      <c r="H1172" s="608">
        <v>1.03</v>
      </c>
      <c r="I1172" s="711">
        <f t="shared" ca="1" si="159"/>
        <v>0</v>
      </c>
      <c r="J1172" s="1013" t="s">
        <v>178</v>
      </c>
      <c r="N1172" s="1029">
        <v>0</v>
      </c>
    </row>
    <row r="1173" spans="3:14" ht="15" customHeight="1">
      <c r="C1173" s="626" t="s">
        <v>316</v>
      </c>
      <c r="D1173" s="627"/>
      <c r="E1173" s="627"/>
      <c r="F1173" s="656">
        <v>140</v>
      </c>
      <c r="G1173" s="628" t="s">
        <v>150</v>
      </c>
      <c r="H1173" s="608">
        <v>1.03</v>
      </c>
      <c r="I1173" s="711">
        <f t="shared" ca="1" si="159"/>
        <v>0</v>
      </c>
      <c r="J1173" s="1013" t="s">
        <v>178</v>
      </c>
      <c r="N1173" s="1029">
        <v>0</v>
      </c>
    </row>
    <row r="1174" spans="3:14" ht="15" customHeight="1">
      <c r="C1174" s="626" t="s">
        <v>316</v>
      </c>
      <c r="D1174" s="627"/>
      <c r="E1174" s="627"/>
      <c r="F1174" s="656">
        <v>150</v>
      </c>
      <c r="G1174" s="628" t="s">
        <v>150</v>
      </c>
      <c r="H1174" s="608">
        <v>1.03</v>
      </c>
      <c r="I1174" s="711">
        <f t="shared" ca="1" si="159"/>
        <v>0</v>
      </c>
      <c r="J1174" s="1013" t="s">
        <v>178</v>
      </c>
      <c r="N1174" s="1029">
        <v>0</v>
      </c>
    </row>
    <row r="1175" spans="3:14" ht="15" customHeight="1">
      <c r="C1175" s="626" t="s">
        <v>316</v>
      </c>
      <c r="D1175" s="627"/>
      <c r="E1175" s="627"/>
      <c r="F1175" s="656">
        <v>160</v>
      </c>
      <c r="G1175" s="628" t="s">
        <v>150</v>
      </c>
      <c r="H1175" s="608">
        <v>1.03</v>
      </c>
      <c r="I1175" s="711">
        <f t="shared" ca="1" si="159"/>
        <v>0</v>
      </c>
      <c r="J1175" s="1013" t="s">
        <v>178</v>
      </c>
      <c r="N1175" s="1029">
        <v>0</v>
      </c>
    </row>
    <row r="1176" spans="3:14" ht="15" customHeight="1">
      <c r="C1176" s="626" t="s">
        <v>316</v>
      </c>
      <c r="D1176" s="627"/>
      <c r="E1176" s="627"/>
      <c r="F1176" s="656">
        <v>170</v>
      </c>
      <c r="G1176" s="628" t="s">
        <v>150</v>
      </c>
      <c r="H1176" s="608">
        <v>1.03</v>
      </c>
      <c r="I1176" s="711">
        <f t="shared" ca="1" si="159"/>
        <v>0</v>
      </c>
      <c r="J1176" s="1013" t="s">
        <v>178</v>
      </c>
      <c r="N1176" s="1029">
        <v>0</v>
      </c>
    </row>
    <row r="1177" spans="3:14" ht="15" customHeight="1">
      <c r="C1177" s="626" t="s">
        <v>316</v>
      </c>
      <c r="D1177" s="627"/>
      <c r="E1177" s="627"/>
      <c r="F1177" s="656">
        <v>180</v>
      </c>
      <c r="G1177" s="628" t="s">
        <v>150</v>
      </c>
      <c r="H1177" s="608">
        <v>1.03</v>
      </c>
      <c r="I1177" s="711">
        <f t="shared" ca="1" si="159"/>
        <v>0</v>
      </c>
      <c r="J1177" s="1013" t="s">
        <v>178</v>
      </c>
      <c r="N1177" s="1029">
        <v>0</v>
      </c>
    </row>
    <row r="1178" spans="3:14" ht="15" customHeight="1">
      <c r="C1178" s="763" t="s">
        <v>327</v>
      </c>
      <c r="D1178" s="636"/>
      <c r="E1178" s="636"/>
      <c r="F1178" s="762">
        <v>50</v>
      </c>
      <c r="G1178" s="637" t="s">
        <v>150</v>
      </c>
      <c r="H1178" s="608">
        <v>1.03</v>
      </c>
      <c r="I1178" s="711">
        <f t="shared" ref="I1178:I1191" ca="1" si="160">SUMIFS($AF$79:$AF$152,$V$79:$V$152,F1178,$W$79:$W$152,$Y$31)</f>
        <v>0</v>
      </c>
      <c r="J1178" s="1013" t="s">
        <v>178</v>
      </c>
      <c r="N1178" s="1029">
        <v>0</v>
      </c>
    </row>
    <row r="1179" spans="3:14" ht="15" customHeight="1">
      <c r="C1179" s="626" t="s">
        <v>327</v>
      </c>
      <c r="D1179" s="627"/>
      <c r="E1179" s="627"/>
      <c r="F1179" s="656">
        <v>60</v>
      </c>
      <c r="G1179" s="628" t="s">
        <v>150</v>
      </c>
      <c r="H1179" s="608">
        <v>1.03</v>
      </c>
      <c r="I1179" s="711">
        <f t="shared" ca="1" si="160"/>
        <v>0</v>
      </c>
      <c r="J1179" s="1013" t="s">
        <v>178</v>
      </c>
      <c r="N1179" s="1029">
        <v>0</v>
      </c>
    </row>
    <row r="1180" spans="3:14" ht="15" customHeight="1">
      <c r="C1180" s="626" t="s">
        <v>327</v>
      </c>
      <c r="D1180" s="627"/>
      <c r="E1180" s="627"/>
      <c r="F1180" s="656">
        <v>70</v>
      </c>
      <c r="G1180" s="628" t="s">
        <v>150</v>
      </c>
      <c r="H1180" s="608">
        <v>1.03</v>
      </c>
      <c r="I1180" s="711">
        <f t="shared" ca="1" si="160"/>
        <v>0</v>
      </c>
      <c r="J1180" s="1013" t="s">
        <v>178</v>
      </c>
      <c r="N1180" s="1029">
        <v>0</v>
      </c>
    </row>
    <row r="1181" spans="3:14" ht="15" customHeight="1">
      <c r="C1181" s="626" t="s">
        <v>327</v>
      </c>
      <c r="D1181" s="627"/>
      <c r="E1181" s="627"/>
      <c r="F1181" s="656">
        <v>80</v>
      </c>
      <c r="G1181" s="628" t="s">
        <v>150</v>
      </c>
      <c r="H1181" s="608">
        <v>1.03</v>
      </c>
      <c r="I1181" s="711">
        <f t="shared" ca="1" si="160"/>
        <v>0</v>
      </c>
      <c r="J1181" s="1013" t="s">
        <v>178</v>
      </c>
      <c r="N1181" s="1029">
        <v>0</v>
      </c>
    </row>
    <row r="1182" spans="3:14" ht="15" customHeight="1">
      <c r="C1182" s="626" t="s">
        <v>327</v>
      </c>
      <c r="D1182" s="627"/>
      <c r="E1182" s="627"/>
      <c r="F1182" s="656">
        <v>90</v>
      </c>
      <c r="G1182" s="628" t="s">
        <v>150</v>
      </c>
      <c r="H1182" s="608">
        <v>1.03</v>
      </c>
      <c r="I1182" s="711">
        <f t="shared" ca="1" si="160"/>
        <v>0</v>
      </c>
      <c r="J1182" s="1013" t="s">
        <v>178</v>
      </c>
      <c r="N1182" s="1029">
        <v>0</v>
      </c>
    </row>
    <row r="1183" spans="3:14" ht="15" customHeight="1">
      <c r="C1183" s="626" t="s">
        <v>327</v>
      </c>
      <c r="D1183" s="627"/>
      <c r="E1183" s="627"/>
      <c r="F1183" s="656">
        <v>100</v>
      </c>
      <c r="G1183" s="628" t="s">
        <v>150</v>
      </c>
      <c r="H1183" s="608">
        <v>1.03</v>
 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stomHeight="1">
      <c r="C1184" s="626" t="s">
        <v>327</v>
      </c>
      <c r="D1184" s="627"/>
      <c r="E1184" s="627"/>
      <c r="F1184" s="656">
        <v>110</v>
      </c>
      <c r="G1184" s="628" t="s">
        <v>150</v>
      </c>
      <c r="H1184" s="608">
        <v>1.03</v>
      </c>
      <c r="I1184" s="711">
        <f t="shared" ca="1" si="160"/>
        <v>0</v>
      </c>
      <c r="J1184" s="1013" t="s">
        <v>178</v>
      </c>
      <c r="N1184" s="1029">
        <v>0</v>
      </c>
    </row>
    <row r="1185" spans="3:14" ht="15" customHeight="1">
      <c r="C1185" s="626" t="s">
        <v>327</v>
      </c>
      <c r="D1185" s="627"/>
      <c r="E1185" s="627"/>
      <c r="F1185" s="656">
        <v>120</v>
      </c>
      <c r="G1185" s="628" t="s">
        <v>150</v>
      </c>
      <c r="H1185" s="608">
        <v>1.03</v>
      </c>
      <c r="I1185" s="711">
        <f t="shared" ca="1" si="160"/>
        <v>0</v>
      </c>
      <c r="J1185" s="1013" t="s">
        <v>178</v>
      </c>
      <c r="N1185" s="1029">
        <v>0</v>
      </c>
    </row>
    <row r="1186" spans="3:14" ht="15" customHeight="1">
      <c r="C1186" s="626" t="s">
        <v>327</v>
      </c>
      <c r="D1186" s="627"/>
      <c r="E1186" s="627"/>
      <c r="F1186" s="656">
        <v>130</v>
      </c>
      <c r="G1186" s="628" t="s">
        <v>150</v>
      </c>
      <c r="H1186" s="608">
        <v>1.03</v>
      </c>
      <c r="I1186" s="711">
        <f t="shared" ca="1" si="160"/>
        <v>0</v>
      </c>
      <c r="J1186" s="1013" t="s">
        <v>178</v>
      </c>
      <c r="N1186" s="1029">
        <v>0</v>
      </c>
    </row>
    <row r="1187" spans="3:14" ht="15" customHeight="1">
      <c r="C1187" s="626" t="s">
        <v>327</v>
      </c>
      <c r="D1187" s="627"/>
      <c r="E1187" s="627"/>
      <c r="F1187" s="656">
        <v>140</v>
      </c>
      <c r="G1187" s="628" t="s">
        <v>150</v>
      </c>
      <c r="H1187" s="608">
        <v>1.03</v>
      </c>
      <c r="I1187" s="711">
        <f t="shared" ca="1" si="160"/>
        <v>0</v>
      </c>
      <c r="J1187" s="1013" t="s">
        <v>178</v>
      </c>
      <c r="N1187" s="1029">
        <v>0</v>
      </c>
    </row>
    <row r="1188" spans="3:14" ht="15" customHeight="1">
      <c r="C1188" s="626" t="s">
        <v>327</v>
      </c>
      <c r="D1188" s="627"/>
      <c r="E1188" s="627"/>
      <c r="F1188" s="656">
        <v>150</v>
      </c>
      <c r="G1188" s="628" t="s">
        <v>150</v>
      </c>
      <c r="H1188" s="608">
        <v>1.03</v>
      </c>
      <c r="I1188" s="711">
        <f t="shared" ca="1" si="160"/>
        <v>0</v>
      </c>
      <c r="J1188" s="1013" t="s">
        <v>178</v>
      </c>
      <c r="N1188" s="1029">
        <v>0</v>
      </c>
    </row>
    <row r="1189" spans="3:14" ht="15" customHeight="1">
      <c r="C1189" s="626" t="s">
        <v>327</v>
      </c>
      <c r="D1189" s="627"/>
      <c r="E1189" s="627"/>
      <c r="F1189" s="656">
        <v>160</v>
      </c>
      <c r="G1189" s="628" t="s">
        <v>150</v>
      </c>
      <c r="H1189" s="608">
        <v>1.03</v>
      </c>
      <c r="I1189" s="711">
        <f t="shared" ca="1" si="160"/>
        <v>0</v>
      </c>
      <c r="J1189" s="1013" t="s">
        <v>178</v>
      </c>
      <c r="N1189" s="1029">
        <v>0</v>
      </c>
    </row>
    <row r="1190" spans="3:14" ht="15" customHeight="1">
      <c r="C1190" s="626" t="s">
        <v>327</v>
      </c>
      <c r="D1190" s="627"/>
      <c r="E1190" s="627"/>
      <c r="F1190" s="656">
        <v>170</v>
      </c>
      <c r="G1190" s="628" t="s">
        <v>150</v>
      </c>
      <c r="H1190" s="608">
        <v>1.03</v>
      </c>
      <c r="I1190" s="711">
        <f t="shared" ca="1" si="160"/>
        <v>0</v>
      </c>
      <c r="J1190" s="1013" t="s">
        <v>178</v>
      </c>
      <c r="N1190" s="1029">
        <v>0</v>
      </c>
    </row>
    <row r="1191" spans="3:14" ht="15" customHeight="1">
      <c r="C1191" s="626" t="s">
        <v>327</v>
      </c>
      <c r="D1191" s="627"/>
      <c r="E1191" s="627"/>
      <c r="F1191" s="656">
        <v>180</v>
      </c>
      <c r="G1191" s="628" t="s">
        <v>150</v>
      </c>
      <c r="H1191" s="608">
        <v>1.03</v>
      </c>
      <c r="I1191" s="711">
        <f t="shared" ca="1" si="160"/>
        <v>0</v>
      </c>
      <c r="J1191" s="1013" t="s">
        <v>178</v>
      </c>
      <c r="N1191" s="865">
        <v>0</v>
      </c>
    </row>
    <row r="1192" spans="3:14" ht="15" customHeight="1">
      <c r="C1192" s="763" t="s">
        <v>325</v>
      </c>
      <c r="D1192" s="627"/>
      <c r="E1192" s="627"/>
      <c r="F1192" s="656">
        <v>30</v>
      </c>
      <c r="G1192" s="628" t="s">
        <v>150</v>
      </c>
      <c r="H1192" s="608">
        <v>1.03</v>
      </c>
      <c r="I1192" s="711">
        <f t="shared" ref="I1192:I1207" ca="1" si="161">SUMIFS($AF$79:$AF$152,$V$79:$V$152,F1192,$W$79:$W$152,$Y$30)</f>
        <v>0</v>
      </c>
      <c r="J1192" s="1013" t="s">
        <v>178</v>
      </c>
      <c r="N1192" s="865">
        <v>0</v>
      </c>
    </row>
    <row r="1193" spans="3:14" ht="15" customHeight="1">
      <c r="C1193" s="626" t="s">
        <v>325</v>
      </c>
      <c r="D1193" s="627"/>
      <c r="E1193" s="627"/>
      <c r="F1193" s="656">
        <v>40</v>
      </c>
      <c r="G1193" s="628" t="s">
        <v>150</v>
      </c>
      <c r="H1193" s="608">
        <v>1.03</v>
      </c>
      <c r="I1193" s="711">
        <f t="shared" ca="1" si="161"/>
        <v>0</v>
      </c>
      <c r="J1193" s="1013" t="s">
        <v>178</v>
      </c>
      <c r="N1193" s="865">
        <v>0</v>
      </c>
    </row>
    <row r="1194" spans="3:14" ht="15" customHeight="1">
      <c r="C1194" s="626" t="s">
        <v>325</v>
      </c>
      <c r="D1194" s="627"/>
      <c r="E1194" s="627"/>
      <c r="F1194" s="656">
        <v>50</v>
      </c>
      <c r="G1194" s="628" t="s">
        <v>150</v>
      </c>
      <c r="H1194" s="608">
        <v>1.03</v>
      </c>
      <c r="I1194" s="711">
        <f t="shared" ca="1" si="161"/>
        <v>0</v>
      </c>
      <c r="J1194" s="1013" t="s">
        <v>178</v>
      </c>
      <c r="N1194" s="865">
        <v>0</v>
      </c>
    </row>
    <row r="1195" spans="3:14" ht="15" customHeight="1">
      <c r="C1195" s="626" t="s">
        <v>325</v>
      </c>
      <c r="D1195" s="627"/>
      <c r="E1195" s="627"/>
      <c r="F1195" s="656">
        <v>60</v>
      </c>
      <c r="G1195" s="628" t="s">
        <v>150</v>
      </c>
      <c r="H1195" s="608">
        <v>1.03</v>
      </c>
      <c r="I1195" s="711">
        <f t="shared" ca="1" si="161"/>
        <v>0</v>
      </c>
      <c r="J1195" s="1013" t="s">
        <v>178</v>
      </c>
      <c r="N1195" s="865">
        <v>0</v>
      </c>
    </row>
    <row r="1196" spans="3:14" ht="15" customHeight="1">
      <c r="C1196" s="626" t="s">
        <v>325</v>
      </c>
      <c r="D1196" s="627"/>
      <c r="E1196" s="627"/>
      <c r="F1196" s="656">
        <v>70</v>
      </c>
      <c r="G1196" s="628" t="s">
        <v>150</v>
      </c>
      <c r="H1196" s="608">
        <v>1.03</v>
      </c>
      <c r="I1196" s="711">
        <f t="shared" ca="1" si="161"/>
        <v>0</v>
      </c>
      <c r="J1196" s="1013" t="s">
        <v>178</v>
      </c>
      <c r="N1196" s="865">
        <v>0</v>
      </c>
    </row>
    <row r="1197" spans="3:14" ht="15" customHeight="1">
      <c r="C1197" s="626" t="s">
        <v>325</v>
      </c>
      <c r="D1197" s="627"/>
      <c r="E1197" s="627"/>
      <c r="F1197" s="656">
        <v>80</v>
      </c>
      <c r="G1197" s="628" t="s">
        <v>150</v>
      </c>
      <c r="H1197" s="608">
        <v>1.03</v>
      </c>
      <c r="I1197" s="711">
        <f t="shared" ca="1" si="161"/>
        <v>0</v>
      </c>
      <c r="J1197" s="1013" t="s">
        <v>178</v>
      </c>
      <c r="N1197" s="865">
        <v>0</v>
      </c>
    </row>
    <row r="1198" spans="3:14" ht="15" customHeight="1">
      <c r="C1198" s="626" t="s">
        <v>325</v>
      </c>
      <c r="D1198" s="627"/>
      <c r="E1198" s="627"/>
      <c r="F1198" s="656">
        <v>90</v>
      </c>
      <c r="G1198" s="628" t="s">
        <v>150</v>
      </c>
      <c r="H1198" s="608">
        <v>1.03</v>
      </c>
      <c r="I1198" s="711">
        <f t="shared" ca="1" si="161"/>
        <v>0</v>
      </c>
      <c r="J1198" s="1013" t="s">
        <v>178</v>
      </c>
      <c r="N1198" s="865">
        <v>0</v>
      </c>
    </row>
    <row r="1199" spans="3:14" ht="15" customHeight="1">
      <c r="C1199" s="626" t="s">
        <v>325</v>
      </c>
      <c r="D1199" s="627"/>
      <c r="E1199" s="627"/>
      <c r="F1199" s="656">
        <v>100</v>
      </c>
      <c r="G1199" s="628" t="s">
        <v>150</v>
      </c>
      <c r="H1199" s="608">
        <v>1.03</v>
      </c>
      <c r="I1199" s="711">
        <f t="shared" ca="1" si="161"/>
        <v>0</v>
      </c>
      <c r="J1199" s="1013" t="s">
        <v>178</v>
      </c>
      <c r="N1199" s="865">
        <v>0</v>
      </c>
    </row>
    <row r="1200" spans="3:14" ht="15" customHeight="1">
      <c r="C1200" s="626" t="s">
        <v>325</v>
      </c>
      <c r="D1200" s="627"/>
      <c r="E1200" s="627"/>
      <c r="F1200" s="656">
        <v>110</v>
      </c>
      <c r="G1200" s="628" t="s">
        <v>150</v>
      </c>
      <c r="H1200" s="608">
        <v>1.03</v>
      </c>
      <c r="I1200" s="711">
        <f t="shared" ca="1" si="161"/>
        <v>0</v>
      </c>
      <c r="J1200" s="1013" t="s">
        <v>178</v>
      </c>
      <c r="N1200" s="865">
        <v>0</v>
      </c>
    </row>
    <row r="1201" spans="3:14" ht="15" customHeight="1">
      <c r="C1201" s="626" t="s">
        <v>325</v>
      </c>
      <c r="D1201" s="627"/>
      <c r="E1201" s="627"/>
      <c r="F1201" s="656">
        <v>120</v>
      </c>
      <c r="G1201" s="628" t="s">
        <v>150</v>
      </c>
      <c r="H1201" s="608">
        <v>1.03</v>
      </c>
      <c r="I1201" s="711">
        <f t="shared" ca="1" si="161"/>
        <v>0</v>
      </c>
      <c r="J1201" s="1013" t="s">
        <v>178</v>
      </c>
      <c r="N1201" s="865">
        <v>0</v>
      </c>
    </row>
    <row r="1202" spans="3:14" ht="15" customHeight="1">
      <c r="C1202" s="626" t="s">
        <v>325</v>
      </c>
      <c r="D1202" s="627"/>
      <c r="E1202" s="627"/>
      <c r="F1202" s="656">
        <v>130</v>
      </c>
      <c r="G1202" s="628" t="s">
        <v>150</v>
      </c>
      <c r="H1202" s="608">
        <v>1.03</v>
      </c>
      <c r="I1202" s="711">
        <f t="shared" ca="1" si="161"/>
        <v>0</v>
      </c>
      <c r="J1202" s="1013" t="s">
        <v>178</v>
      </c>
      <c r="N1202" s="865">
        <v>0</v>
      </c>
    </row>
    <row r="1203" spans="3:14" ht="15" customHeight="1">
      <c r="C1203" s="626" t="s">
        <v>325</v>
      </c>
      <c r="D1203" s="627"/>
      <c r="E1203" s="627"/>
      <c r="F1203" s="656">
        <v>140</v>
      </c>
      <c r="G1203" s="628" t="s">
        <v>150</v>
      </c>
      <c r="H1203" s="608">
        <v>1.03</v>
      </c>
      <c r="I1203" s="711">
        <f t="shared" ca="1" si="161"/>
        <v>0</v>
      </c>
      <c r="J1203" s="1013" t="s">
        <v>178</v>
      </c>
      <c r="N1203" s="865">
        <v>0</v>
      </c>
    </row>
    <row r="1204" spans="3:14" ht="15" customHeight="1">
      <c r="C1204" s="626" t="s">
        <v>325</v>
      </c>
      <c r="D1204" s="627"/>
      <c r="E1204" s="627"/>
      <c r="F1204" s="656">
        <v>150</v>
      </c>
      <c r="G1204" s="628" t="s">
        <v>150</v>
      </c>
      <c r="H1204" s="608">
        <v>1.03</v>
      </c>
      <c r="I1204" s="711">
        <f t="shared" ca="1" si="161"/>
        <v>0</v>
      </c>
      <c r="J1204" s="1013" t="s">
        <v>178</v>
      </c>
      <c r="N1204" s="865">
        <v>0</v>
      </c>
    </row>
    <row r="1205" spans="3:14" ht="15" customHeight="1">
      <c r="C1205" s="626" t="s">
        <v>325</v>
      </c>
      <c r="D1205" s="627"/>
      <c r="E1205" s="627"/>
      <c r="F1205" s="656">
        <v>160</v>
      </c>
      <c r="G1205" s="628" t="s">
        <v>150</v>
      </c>
      <c r="H1205" s="608">
        <v>1.03</v>
      </c>
      <c r="I1205" s="711">
        <f t="shared" ca="1" si="161"/>
        <v>0</v>
      </c>
      <c r="J1205" s="1013" t="s">
        <v>178</v>
      </c>
      <c r="N1205" s="865">
        <v>0</v>
      </c>
    </row>
    <row r="1206" spans="3:14" ht="15" customHeight="1">
      <c r="C1206" s="626" t="s">
        <v>325</v>
      </c>
      <c r="D1206" s="627"/>
      <c r="E1206" s="627"/>
      <c r="F1206" s="656">
        <v>170</v>
      </c>
      <c r="G1206" s="628" t="s">
        <v>150</v>
      </c>
      <c r="H1206" s="608">
        <v>1.03</v>
      </c>
      <c r="I1206" s="711">
        <f t="shared" ca="1" si="161"/>
        <v>0</v>
      </c>
      <c r="J1206" s="1013" t="s">
        <v>178</v>
      </c>
      <c r="N1206" s="865">
        <v>0</v>
      </c>
    </row>
    <row r="1207" spans="3:14" ht="15" customHeight="1">
      <c r="C1207" s="626" t="s">
        <v>325</v>
      </c>
      <c r="D1207" s="627"/>
      <c r="E1207" s="627"/>
      <c r="F1207" s="656">
        <v>180</v>
      </c>
      <c r="G1207" s="628" t="s">
        <v>150</v>
      </c>
      <c r="H1207" s="608">
        <v>1.03</v>
      </c>
      <c r="I1207" s="711">
        <f t="shared" ca="1" si="161"/>
        <v>0</v>
      </c>
      <c r="J1207" s="1013" t="s">
        <v>178</v>
      </c>
      <c r="N1207" s="865">
        <v>0</v>
      </c>
    </row>
    <row r="1208" spans="3:14" ht="15" customHeight="1">
      <c r="C1208" s="763" t="s">
        <v>991</v>
      </c>
      <c r="D1208" s="636"/>
      <c r="E1208" s="636"/>
      <c r="F1208" s="762">
        <v>50</v>
      </c>
      <c r="G1208" s="637" t="s">
        <v>150</v>
      </c>
      <c r="H1208" s="608">
        <v>1.03</v>
      </c>
      <c r="I1208" s="711">
        <f t="shared" ref="I1208:I1218" ca="1" si="162">SUMIFS($AF$79:$AF$152,$V$79:$V$152,F1208,$W$79:$W$152,$Y$34)</f>
        <v>0</v>
      </c>
      <c r="J1208" s="1013" t="s">
        <v>178</v>
      </c>
      <c r="N1208" s="865">
        <v>0</v>
      </c>
    </row>
    <row r="1209" spans="3:14" ht="15" customHeight="1">
      <c r="C1209" s="626" t="s">
        <v>991</v>
      </c>
      <c r="D1209" s="627"/>
      <c r="E1209" s="627"/>
      <c r="F1209" s="656">
        <v>60</v>
      </c>
      <c r="G1209" s="628" t="s">
        <v>150</v>
      </c>
      <c r="H1209" s="608">
        <v>1.03</v>
      </c>
      <c r="I1209" s="711">
        <f t="shared" ca="1" si="162"/>
        <v>0</v>
      </c>
      <c r="J1209" s="1013" t="s">
        <v>178</v>
      </c>
      <c r="N1209" s="865">
        <v>0</v>
      </c>
    </row>
    <row r="1210" spans="3:14" ht="15" customHeight="1">
      <c r="C1210" s="626" t="s">
        <v>991</v>
      </c>
      <c r="D1210" s="627"/>
      <c r="E1210" s="627"/>
      <c r="F1210" s="656">
        <v>70</v>
      </c>
      <c r="G1210" s="628" t="s">
        <v>150</v>
      </c>
      <c r="H1210" s="608">
        <v>1.03</v>
      </c>
      <c r="I1210" s="711">
        <f t="shared" ca="1" si="162"/>
        <v>0</v>
      </c>
      <c r="J1210" s="1013" t="s">
        <v>178</v>
      </c>
      <c r="N1210" s="865">
        <v>0</v>
      </c>
    </row>
    <row r="1211" spans="3:14" ht="15" customHeight="1">
      <c r="C1211" s="626" t="s">
        <v>991</v>
      </c>
      <c r="D1211" s="627"/>
      <c r="E1211" s="627"/>
      <c r="F1211" s="656">
        <v>80</v>
      </c>
      <c r="G1211" s="628" t="s">
        <v>150</v>
      </c>
      <c r="H1211" s="608">
        <v>1.03</v>
      </c>
      <c r="I1211" s="711">
        <f t="shared" ca="1" si="162"/>
        <v>0</v>
      </c>
      <c r="J1211" s="1013" t="s">
        <v>178</v>
      </c>
      <c r="N1211" s="865">
        <v>0</v>
      </c>
    </row>
    <row r="1212" spans="3:14" ht="15" customHeight="1">
      <c r="C1212" s="626" t="s">
        <v>991</v>
      </c>
      <c r="D1212" s="627"/>
      <c r="E1212" s="627"/>
      <c r="F1212" s="656">
        <v>90</v>
      </c>
      <c r="G1212" s="628" t="s">
        <v>150</v>
      </c>
      <c r="H1212" s="608">
        <v>1.03</v>
      </c>
      <c r="I1212" s="711">
        <f t="shared" ca="1" si="162"/>
        <v>0</v>
      </c>
      <c r="J1212" s="1013" t="s">
        <v>178</v>
      </c>
      <c r="N1212" s="865">
        <v>0</v>
      </c>
    </row>
    <row r="1213" spans="3:14" ht="15" customHeight="1">
      <c r="C1213" s="626" t="s">
        <v>991</v>
      </c>
      <c r="D1213" s="627"/>
      <c r="E1213" s="627"/>
      <c r="F1213" s="656">
        <v>100</v>
      </c>
      <c r="G1213" s="628" t="s">
        <v>150</v>
      </c>
      <c r="H1213" s="608">
        <v>1.03</v>
      </c>
      <c r="I1213" s="711">
        <f t="shared" ca="1" si="162"/>
        <v>0</v>
      </c>
      <c r="J1213" s="1013" t="s">
        <v>178</v>
      </c>
      <c r="N1213" s="865">
        <v>0</v>
      </c>
    </row>
    <row r="1214" spans="3:14" ht="15" customHeight="1">
      <c r="C1214" s="626" t="s">
        <v>991</v>
      </c>
      <c r="D1214" s="627"/>
      <c r="E1214" s="627"/>
      <c r="F1214" s="656">
        <v>110</v>
      </c>
      <c r="G1214" s="628" t="s">
        <v>150</v>
      </c>
      <c r="H1214" s="608">
        <v>1.03</v>
      </c>
      <c r="I1214" s="711">
        <f t="shared" ca="1" si="162"/>
        <v>0</v>
      </c>
      <c r="J1214" s="1013" t="s">
        <v>178</v>
      </c>
      <c r="N1214" s="865">
        <v>0</v>
      </c>
    </row>
    <row r="1215" spans="3:14" ht="15" customHeight="1">
      <c r="C1215" s="626" t="s">
        <v>991</v>
      </c>
      <c r="D1215" s="627"/>
      <c r="E1215" s="627"/>
      <c r="F1215" s="656">
        <v>120</v>
      </c>
      <c r="G1215" s="628" t="s">
        <v>150</v>
      </c>
      <c r="H1215" s="608">
        <v>1.03</v>
      </c>
      <c r="I1215" s="711">
        <f t="shared" ca="1" si="162"/>
        <v>0</v>
      </c>
      <c r="J1215" s="1013" t="s">
        <v>178</v>
      </c>
      <c r="N1215" s="865">
        <v>0</v>
      </c>
    </row>
    <row r="1216" spans="3:14" ht="15" customHeight="1">
      <c r="C1216" s="626" t="s">
        <v>991</v>
      </c>
      <c r="D1216" s="627"/>
      <c r="E1216" s="627"/>
      <c r="F1216" s="656">
        <v>130</v>
      </c>
      <c r="G1216" s="628" t="s">
        <v>150</v>
      </c>
      <c r="H1216" s="608">
        <v>1.03</v>
      </c>
      <c r="I1216" s="711">
        <f t="shared" ca="1" si="162"/>
        <v>0</v>
      </c>
      <c r="J1216" s="1013" t="s">
        <v>178</v>
      </c>
      <c r="N1216" s="865">
        <v>0</v>
      </c>
    </row>
    <row r="1217" spans="3:14" ht="15" customHeight="1">
      <c r="C1217" s="626" t="s">
        <v>991</v>
      </c>
      <c r="D1217" s="627"/>
      <c r="E1217" s="627"/>
      <c r="F1217" s="656">
        <v>140</v>
      </c>
      <c r="G1217" s="628" t="s">
        <v>150</v>
      </c>
      <c r="H1217" s="608">
        <v>1.03</v>
      </c>
      <c r="I1217" s="711">
        <f t="shared" ca="1" si="162"/>
        <v>0</v>
      </c>
      <c r="J1217" s="1013" t="s">
        <v>178</v>
      </c>
      <c r="N1217" s="865">
        <v>0</v>
      </c>
    </row>
    <row r="1218" spans="3:14" ht="15" customHeight="1">
      <c r="C1218" s="626" t="s">
        <v>991</v>
      </c>
      <c r="D1218" s="627"/>
      <c r="E1218" s="627"/>
      <c r="F1218" s="656">
        <v>150</v>
      </c>
      <c r="G1218" s="628" t="s">
        <v>150</v>
      </c>
      <c r="H1218" s="608">
        <v>1.03</v>
      </c>
      <c r="I1218" s="711">
        <f t="shared" ca="1" si="162"/>
        <v>0</v>
      </c>
      <c r="J1218" s="1013" t="s">
        <v>178</v>
      </c>
      <c r="N1218" s="865">
        <v>0</v>
      </c>
    </row>
    <row r="1219" spans="3:14" ht="15" customHeight="1">
      <c r="C1219" s="626" t="s">
        <v>991</v>
      </c>
      <c r="D1219" s="627"/>
      <c r="E1219" s="627"/>
      <c r="F1219" s="656">
        <v>160</v>
      </c>
      <c r="G1219" s="628" t="s">
        <v>150</v>
      </c>
      <c r="H1219" s="608">
        <v>1.03</v>
      </c>
      <c r="I1219" s="711">
        <f ca="1">SUMIFS($AF$79:$AF$152,$V$79:$V$152,F1219,$W$79:$W$152,$Y$34)</f>
        <v>0</v>
      </c>
      <c r="J1219" s="1013" t="s">
        <v>178</v>
      </c>
      <c r="N1219" s="865">
        <v>0</v>
      </c>
    </row>
    <row r="1220" spans="3:14" ht="15" customHeight="1">
      <c r="C1220" s="626" t="s">
        <v>991</v>
      </c>
      <c r="D1220" s="627"/>
      <c r="E1220" s="627"/>
      <c r="F1220" s="656">
        <v>170</v>
      </c>
      <c r="G1220" s="628" t="s">
        <v>150</v>
      </c>
      <c r="H1220" s="608">
        <v>1.03</v>
      </c>
      <c r="I1220" s="711">
        <f ca="1">SUMIFS($AF$79:$AF$152,$V$79:$V$152,F1220,$W$79:$W$152,$Y$34)</f>
        <v>0</v>
      </c>
      <c r="J1220" s="1013" t="s">
        <v>178</v>
      </c>
      <c r="N1220" s="865">
        <v>0</v>
      </c>
    </row>
    <row r="1221" spans="3:14" ht="15" customHeight="1">
      <c r="C1221" s="626" t="s">
        <v>991</v>
      </c>
      <c r="D1221" s="627"/>
      <c r="E1221" s="627"/>
      <c r="F1221" s="656">
        <v>180</v>
      </c>
      <c r="G1221" s="628" t="s">
        <v>150</v>
      </c>
      <c r="H1221" s="608">
        <v>1.03</v>
      </c>
      <c r="I1221" s="711">
        <f ca="1">SUMIFS($AF$79:$AF$152,$V$79:$V$152,F1221,$W$79:$W$152,$Y$34)</f>
        <v>0</v>
      </c>
      <c r="J1221" s="1013" t="s">
        <v>178</v>
      </c>
      <c r="N1221" s="865">
        <v>0</v>
      </c>
    </row>
    <row r="1222" spans="3:14" ht="15" customHeight="1">
      <c r="C1222" s="626" t="s">
        <v>991</v>
      </c>
      <c r="D1222" s="627"/>
      <c r="E1222" s="627"/>
      <c r="F1222" s="656">
        <v>190</v>
      </c>
      <c r="G1222" s="628" t="s">
        <v>150</v>
      </c>
      <c r="H1222" s="608">
        <v>1.03</v>
      </c>
      <c r="I1222" s="711">
        <f ca="1">SUMIFS($AF$79:$AF$152,$V$79:$V$152,F1222,$W$79:$W$152,$Y$34)</f>
        <v>0</v>
      </c>
      <c r="J1222" s="1013" t="s">
        <v>178</v>
      </c>
      <c r="N1222" s="865">
        <v>0</v>
      </c>
    </row>
    <row r="1223" spans="3:14" ht="15" customHeight="1">
      <c r="C1223" s="626" t="s">
        <v>991</v>
      </c>
      <c r="D1223" s="627"/>
      <c r="E1223" s="627"/>
      <c r="F1223" s="656">
        <v>200</v>
      </c>
      <c r="G1223" s="628" t="s">
        <v>150</v>
      </c>
      <c r="H1223" s="608">
        <v>1.03</v>
      </c>
      <c r="I1223" s="711">
        <f ca="1">SUMIFS($AF$79:$AF$152,$V$79:$V$152,F1223,$W$79:$W$152,$Y$34)</f>
        <v>0</v>
      </c>
      <c r="J1223" s="1013" t="s">
        <v>178</v>
      </c>
      <c r="N1223" s="865">
        <v>0</v>
      </c>
    </row>
    <row r="1224" spans="3:14" ht="15" customHeight="1">
      <c r="C1224" s="763" t="s">
        <v>996</v>
      </c>
      <c r="D1224" s="761"/>
      <c r="E1224" s="761"/>
      <c r="F1224" s="762">
        <v>50</v>
      </c>
      <c r="G1224" s="637" t="s">
        <v>150</v>
      </c>
      <c r="H1224" s="608">
        <v>1.03</v>
      </c>
      <c r="I1224" s="711">
        <f t="shared" ref="I1224:I1235" ca="1" si="163">SUMIFS($AF$79:$AF$152,$V$79:$V$152,F1224,$W$79:$W$152,$Y$32)</f>
        <v>0</v>
      </c>
      <c r="J1224" s="1013" t="s">
        <v>178</v>
      </c>
      <c r="N1224" s="865">
        <v>0</v>
      </c>
    </row>
    <row r="1225" spans="3:14" ht="15" customHeight="1">
      <c r="C1225" s="1014" t="s">
        <v>996</v>
      </c>
      <c r="D1225" s="640"/>
      <c r="E1225" s="640"/>
      <c r="F1225" s="656">
        <v>60</v>
      </c>
      <c r="G1225" s="628" t="s">
        <v>150</v>
      </c>
      <c r="H1225" s="608">
        <v>1.03</v>
      </c>
      <c r="I1225" s="711">
        <f t="shared" ca="1" si="163"/>
        <v>0</v>
      </c>
      <c r="J1225" s="1013" t="s">
        <v>178</v>
      </c>
      <c r="N1225" s="865">
        <v>0</v>
      </c>
    </row>
    <row r="1226" spans="3:14" ht="15" customHeight="1">
      <c r="C1226" s="1014" t="s">
        <v>996</v>
      </c>
      <c r="D1226" s="640"/>
      <c r="E1226" s="640"/>
      <c r="F1226" s="656">
        <v>70</v>
      </c>
      <c r="G1226" s="628" t="s">
        <v>150</v>
      </c>
      <c r="H1226" s="608">
        <v>1.03</v>
      </c>
      <c r="I1226" s="711">
        <f t="shared" ca="1" si="163"/>
        <v>0</v>
      </c>
      <c r="J1226" s="1013" t="s">
        <v>178</v>
      </c>
      <c r="N1226" s="865">
        <v>0</v>
      </c>
    </row>
    <row r="1227" spans="3:14" ht="15" customHeight="1">
      <c r="C1227" s="1014" t="s">
        <v>996</v>
      </c>
      <c r="D1227" s="640"/>
      <c r="E1227" s="640"/>
      <c r="F1227" s="656">
        <v>80</v>
      </c>
      <c r="G1227" s="628" t="s">
        <v>150</v>
      </c>
      <c r="H1227" s="608">
        <v>1.03</v>
      </c>
      <c r="I1227" s="711">
        <f t="shared" ca="1" si="163"/>
        <v>0</v>
      </c>
      <c r="J1227" s="1013" t="s">
        <v>178</v>
      </c>
      <c r="N1227" s="865">
        <v>0</v>
      </c>
    </row>
    <row r="1228" spans="3:14" ht="15" customHeight="1">
      <c r="C1228" s="1014" t="s">
        <v>996</v>
      </c>
      <c r="D1228" s="640"/>
      <c r="E1228" s="640"/>
      <c r="F1228" s="656">
        <v>90</v>
      </c>
      <c r="G1228" s="628" t="s">
        <v>150</v>
      </c>
      <c r="H1228" s="608">
        <v>1.03</v>
      </c>
      <c r="I1228" s="711">
        <f t="shared" ca="1" si="163"/>
        <v>0</v>
      </c>
      <c r="J1228" s="1013" t="s">
        <v>178</v>
      </c>
      <c r="N1228" s="865">
        <v>0</v>
      </c>
    </row>
    <row r="1229" spans="3:14" ht="15" customHeight="1">
      <c r="C1229" s="1014" t="s">
        <v>996</v>
      </c>
      <c r="D1229" s="640"/>
      <c r="E1229" s="640"/>
      <c r="F1229" s="656">
        <v>100</v>
      </c>
      <c r="G1229" s="628" t="s">
        <v>150</v>
      </c>
      <c r="H1229" s="608">
        <v>1.03</v>
      </c>
      <c r="I1229" s="711">
        <f t="shared" ca="1" si="163"/>
        <v>0</v>
      </c>
      <c r="J1229" s="1013" t="s">
        <v>178</v>
      </c>
      <c r="N1229" s="865">
        <v>0</v>
      </c>
    </row>
    <row r="1230" spans="3:14" ht="15" customHeight="1">
      <c r="C1230" s="1014" t="s">
        <v>996</v>
      </c>
      <c r="D1230" s="640"/>
      <c r="E1230" s="640"/>
      <c r="F1230" s="656">
        <v>110</v>
      </c>
      <c r="G1230" s="628" t="s">
        <v>150</v>
      </c>
      <c r="H1230" s="608">
        <v>1.03</v>
      </c>
      <c r="I1230" s="711">
        <f t="shared" ca="1" si="163"/>
        <v>0</v>
      </c>
      <c r="J1230" s="1013" t="s">
        <v>178</v>
      </c>
      <c r="N1230" s="865">
        <v>0</v>
      </c>
    </row>
    <row r="1231" spans="3:14" ht="15" customHeight="1">
      <c r="C1231" s="1014" t="s">
        <v>996</v>
      </c>
      <c r="D1231" s="640"/>
      <c r="E1231" s="640"/>
      <c r="F1231" s="656">
        <v>120</v>
      </c>
      <c r="G1231" s="628" t="s">
        <v>150</v>
      </c>
      <c r="H1231" s="608">
        <v>1.03</v>
      </c>
      <c r="I1231" s="711">
        <f t="shared" ca="1" si="163"/>
        <v>0</v>
      </c>
      <c r="J1231" s="1013" t="s">
        <v>178</v>
      </c>
      <c r="N1231" s="865">
        <v>0</v>
      </c>
    </row>
    <row r="1232" spans="3:14" ht="15" customHeight="1">
      <c r="C1232" s="1014" t="s">
        <v>996</v>
      </c>
      <c r="D1232" s="640"/>
      <c r="E1232" s="640"/>
      <c r="F1232" s="656">
        <v>130</v>
      </c>
      <c r="G1232" s="628" t="s">
        <v>150</v>
      </c>
      <c r="H1232" s="608">
        <v>1.03</v>
      </c>
      <c r="I1232" s="711">
        <f t="shared" ca="1" si="163"/>
        <v>0</v>
      </c>
      <c r="J1232" s="1013" t="s">
        <v>178</v>
      </c>
      <c r="N1232" s="865">
        <v>0</v>
      </c>
    </row>
    <row r="1233" spans="3:14" ht="15" customHeight="1">
      <c r="C1233" s="1014" t="s">
        <v>996</v>
      </c>
      <c r="D1233" s="640"/>
      <c r="E1233" s="640"/>
      <c r="F1233" s="656">
        <v>140</v>
      </c>
      <c r="G1233" s="628" t="s">
        <v>150</v>
      </c>
      <c r="H1233" s="608">
        <v>1.03</v>
      </c>
      <c r="I1233" s="711">
        <f t="shared" ca="1" si="163"/>
        <v>0</v>
      </c>
      <c r="J1233" s="1013" t="s">
        <v>178</v>
      </c>
      <c r="N1233" s="865">
        <v>0</v>
      </c>
    </row>
    <row r="1234" spans="3:14" ht="15" customHeight="1">
      <c r="C1234" s="1014" t="s">
        <v>996</v>
      </c>
      <c r="D1234" s="640"/>
      <c r="E1234" s="640"/>
      <c r="F1234" s="656">
        <v>150</v>
      </c>
      <c r="G1234" s="628" t="s">
        <v>150</v>
      </c>
      <c r="H1234" s="608">
        <v>1.03</v>
      </c>
      <c r="I1234" s="711">
        <f t="shared" ca="1" si="163"/>
        <v>0</v>
      </c>
      <c r="J1234" s="1013" t="s">
        <v>178</v>
      </c>
      <c r="N1234" s="865">
        <v>0</v>
      </c>
    </row>
    <row r="1235" spans="3:14" ht="15" customHeight="1">
      <c r="C1235" s="1014" t="s">
        <v>996</v>
      </c>
      <c r="D1235" s="640"/>
      <c r="E1235" s="640"/>
      <c r="F1235" s="656">
        <v>160</v>
      </c>
      <c r="G1235" s="628" t="s">
        <v>150</v>
      </c>
      <c r="H1235" s="608">
        <v>1.03</v>
      </c>
      <c r="I1235" s="711">
        <f t="shared" ca="1" si="163"/>
        <v>0</v>
      </c>
      <c r="J1235" s="1013" t="s">
        <v>178</v>
      </c>
      <c r="N1235" s="865">
        <v>0</v>
      </c>
    </row>
    <row r="1236" spans="3:14" ht="15" customHeight="1">
      <c r="C1236" s="1014" t="s">
        <v>996</v>
      </c>
      <c r="D1236" s="640"/>
      <c r="E1236" s="640"/>
      <c r="F1236" s="656">
        <v>170</v>
      </c>
      <c r="G1236" s="628" t="s">
        <v>150</v>
      </c>
      <c r="H1236" s="608">
        <v>1.03</v>
      </c>
      <c r="I1236" s="711">
        <f ca="1">SUMIFS($AF$79:$AF$152,$V$79:$V$152,F1236,$W$79:$W$152,$Y$32)</f>
        <v>0</v>
      </c>
      <c r="J1236" s="1013" t="s">
        <v>178</v>
      </c>
      <c r="N1236" s="865">
        <v>0</v>
      </c>
    </row>
    <row r="1237" spans="3:14" ht="15" customHeight="1">
      <c r="C1237" s="1014" t="s">
        <v>996</v>
      </c>
      <c r="D1237" s="640"/>
      <c r="E1237" s="640"/>
      <c r="F1237" s="656">
        <v>180</v>
      </c>
      <c r="G1237" s="628" t="s">
        <v>150</v>
      </c>
      <c r="H1237" s="608">
        <v>1.03</v>
      </c>
      <c r="I1237" s="711">
        <f ca="1">SUMIFS($AF$79:$AF$152,$V$79:$V$152,F1237,$W$79:$W$152,$Y$32)</f>
        <v>0</v>
      </c>
      <c r="J1237" s="1013" t="s">
        <v>178</v>
      </c>
      <c r="N1237" s="865">
        <v>0</v>
      </c>
    </row>
    <row r="1238" spans="3:14" ht="15" customHeight="1">
      <c r="C1238" s="1014" t="s">
        <v>996</v>
      </c>
      <c r="D1238" s="640"/>
      <c r="E1238" s="640"/>
      <c r="F1238" s="656">
        <v>190</v>
      </c>
      <c r="G1238" s="628" t="s">
        <v>150</v>
      </c>
      <c r="H1238" s="608">
        <v>1.03</v>
      </c>
      <c r="I1238" s="711">
        <f t="shared" ref="I1238:I1239" ca="1" si="164">SUMIFS($AF$79:$AF$152,$V$79:$V$152,F1238,$W$79:$W$152,$Y$32)</f>
        <v>0</v>
      </c>
      <c r="J1238" s="1013" t="s">
        <v>178</v>
      </c>
      <c r="N1238" s="865">
        <v>0</v>
      </c>
    </row>
    <row r="1239" spans="3:14" ht="15" customHeight="1">
      <c r="C1239" s="1014" t="s">
        <v>996</v>
      </c>
      <c r="D1239" s="640"/>
      <c r="E1239" s="640"/>
      <c r="F1239" s="656">
        <v>200</v>
      </c>
      <c r="G1239" s="628" t="s">
        <v>150</v>
      </c>
      <c r="H1239" s="608">
        <v>1.03</v>
      </c>
      <c r="I1239" s="711">
        <f t="shared" ca="1" si="164"/>
        <v>0</v>
      </c>
      <c r="J1239" s="1013" t="s">
        <v>178</v>
      </c>
      <c r="N1239" s="865">
        <v>0</v>
      </c>
    </row>
    <row r="1240" spans="3:14" ht="15" customHeight="1">
      <c r="C1240" s="763" t="s">
        <v>997</v>
      </c>
      <c r="D1240" s="640"/>
      <c r="E1240" s="640"/>
      <c r="F1240" s="656">
        <v>50</v>
      </c>
      <c r="G1240" s="628" t="s">
        <v>150</v>
      </c>
      <c r="H1240" s="608">
        <v>1.03</v>
      </c>
      <c r="I1240" s="711">
        <f t="shared" ref="I1240:I1255" ca="1" si="165">SUMIFS($AF$79:$AF$152,$V$79:$V$152,F1240,$W$79:$W$152,$Y$33)</f>
        <v>0</v>
      </c>
      <c r="J1240" s="1013" t="s">
        <v>178</v>
      </c>
      <c r="N1240" s="865">
        <v>0</v>
      </c>
    </row>
    <row r="1241" spans="3:14" ht="15" customHeight="1">
      <c r="C1241" s="1014" t="s">
        <v>997</v>
      </c>
      <c r="D1241" s="640"/>
      <c r="E1241" s="640"/>
      <c r="F1241" s="656">
        <v>60</v>
      </c>
      <c r="G1241" s="628" t="s">
        <v>150</v>
      </c>
      <c r="H1241" s="608">
        <v>1.03</v>
      </c>
      <c r="I1241" s="711">
        <f t="shared" ca="1" si="165"/>
        <v>0</v>
      </c>
      <c r="J1241" s="1013" t="s">
        <v>178</v>
      </c>
      <c r="N1241" s="865">
        <v>0</v>
      </c>
    </row>
    <row r="1242" spans="3:14" ht="15" customHeight="1">
      <c r="C1242" s="1014" t="s">
        <v>997</v>
      </c>
      <c r="D1242" s="640"/>
      <c r="E1242" s="640"/>
      <c r="F1242" s="656">
        <v>70</v>
      </c>
      <c r="G1242" s="628" t="s">
        <v>150</v>
      </c>
      <c r="H1242" s="608">
        <v>1.03</v>
      </c>
      <c r="I1242" s="711">
        <f t="shared" ca="1" si="165"/>
        <v>0</v>
      </c>
      <c r="J1242" s="1013" t="s">
        <v>178</v>
      </c>
      <c r="N1242" s="865">
        <v>0</v>
      </c>
    </row>
    <row r="1243" spans="3:14" ht="15" customHeight="1">
      <c r="C1243" s="1014" t="s">
        <v>997</v>
      </c>
      <c r="D1243" s="640"/>
      <c r="E1243" s="640"/>
      <c r="F1243" s="656">
        <v>80</v>
      </c>
      <c r="G1243" s="628" t="s">
        <v>150</v>
      </c>
      <c r="H1243" s="608">
        <v>1.03</v>
      </c>
      <c r="I1243" s="711">
        <f t="shared" ca="1" si="165"/>
        <v>0</v>
      </c>
      <c r="J1243" s="1013" t="s">
        <v>178</v>
      </c>
      <c r="N1243" s="865">
        <v>0</v>
      </c>
    </row>
    <row r="1244" spans="3:14" ht="15" customHeight="1">
      <c r="C1244" s="1014" t="s">
        <v>997</v>
      </c>
      <c r="D1244" s="640"/>
      <c r="E1244" s="640"/>
      <c r="F1244" s="656">
        <v>90</v>
      </c>
      <c r="G1244" s="628" t="s">
        <v>150</v>
      </c>
      <c r="H1244" s="608">
        <v>1.03</v>
      </c>
      <c r="I1244" s="711">
        <f t="shared" ca="1" si="165"/>
        <v>0</v>
      </c>
      <c r="J1244" s="1013" t="s">
        <v>178</v>
      </c>
      <c r="N1244" s="865">
        <v>0</v>
      </c>
    </row>
    <row r="1245" spans="3:14" ht="15" customHeight="1">
      <c r="C1245" s="1014" t="s">
        <v>997</v>
      </c>
      <c r="D1245" s="640"/>
      <c r="E1245" s="640"/>
      <c r="F1245" s="656">
        <v>100</v>
      </c>
      <c r="G1245" s="628" t="s">
        <v>150</v>
      </c>
      <c r="H1245" s="608">
        <v>1.03</v>
      </c>
      <c r="I1245" s="711">
        <f t="shared" ca="1" si="165"/>
        <v>0</v>
      </c>
      <c r="J1245" s="1013" t="s">
        <v>178</v>
      </c>
      <c r="N1245" s="865">
        <v>0</v>
      </c>
    </row>
    <row r="1246" spans="3:14" ht="15" customHeight="1">
      <c r="C1246" s="1014" t="s">
        <v>997</v>
      </c>
      <c r="D1246" s="640"/>
      <c r="E1246" s="640"/>
      <c r="F1246" s="656">
        <v>110</v>
      </c>
      <c r="G1246" s="628" t="s">
        <v>150</v>
      </c>
      <c r="H1246" s="608">
        <v>1.03</v>
      </c>
      <c r="I1246" s="711">
        <f t="shared" ca="1" si="165"/>
        <v>0</v>
      </c>
      <c r="J1246" s="1013" t="s">
        <v>178</v>
      </c>
      <c r="N1246" s="865">
        <v>0</v>
      </c>
    </row>
    <row r="1247" spans="3:14" ht="15" customHeight="1">
      <c r="C1247" s="1014" t="s">
        <v>997</v>
      </c>
      <c r="D1247" s="640"/>
      <c r="E1247" s="640"/>
      <c r="F1247" s="656">
        <v>120</v>
      </c>
      <c r="G1247" s="628" t="s">
        <v>150</v>
      </c>
      <c r="H1247" s="608">
        <v>1.03</v>
      </c>
      <c r="I1247" s="711">
        <f t="shared" ca="1" si="165"/>
        <v>0</v>
      </c>
      <c r="J1247" s="1013" t="s">
        <v>178</v>
      </c>
      <c r="N1247" s="865">
        <v>0</v>
      </c>
    </row>
    <row r="1248" spans="3:14" ht="15" customHeight="1">
      <c r="C1248" s="1014" t="s">
        <v>997</v>
      </c>
      <c r="D1248" s="640"/>
      <c r="E1248" s="640"/>
      <c r="F1248" s="656">
        <v>130</v>
      </c>
      <c r="G1248" s="628" t="s">
        <v>150</v>
      </c>
      <c r="H1248" s="608">
        <v>1.03</v>
      </c>
      <c r="I1248" s="711">
        <f t="shared" ca="1" si="165"/>
        <v>0</v>
      </c>
      <c r="J1248" s="1013" t="s">
        <v>178</v>
      </c>
      <c r="N1248" s="865">
        <v>0</v>
      </c>
    </row>
    <row r="1249" spans="3:14" ht="15" customHeight="1">
      <c r="C1249" s="1014" t="s">
        <v>997</v>
      </c>
      <c r="D1249" s="640"/>
      <c r="E1249" s="640"/>
      <c r="F1249" s="656">
        <v>140</v>
      </c>
      <c r="G1249" s="628" t="s">
        <v>150</v>
      </c>
      <c r="H1249" s="608">
        <v>1.03</v>
      </c>
      <c r="I1249" s="711">
        <f t="shared" ca="1" si="165"/>
        <v>0</v>
      </c>
      <c r="J1249" s="1013" t="s">
        <v>178</v>
      </c>
      <c r="N1249" s="865">
        <v>0</v>
      </c>
    </row>
    <row r="1250" spans="3:14" ht="15" customHeight="1">
      <c r="C1250" s="1014" t="s">
        <v>997</v>
      </c>
      <c r="D1250" s="640"/>
      <c r="E1250" s="640"/>
      <c r="F1250" s="656">
        <v>150</v>
      </c>
      <c r="G1250" s="628" t="s">
        <v>150</v>
      </c>
      <c r="H1250" s="608">
        <v>1.03</v>
      </c>
      <c r="I1250" s="711">
        <f t="shared" ca="1" si="165"/>
        <v>0</v>
      </c>
      <c r="J1250" s="1013" t="s">
        <v>178</v>
      </c>
      <c r="N1250" s="865">
        <v>0</v>
      </c>
    </row>
    <row r="1251" spans="3:14" ht="15" customHeight="1">
      <c r="C1251" s="1014" t="s">
        <v>997</v>
      </c>
      <c r="D1251" s="640"/>
      <c r="E1251" s="640"/>
      <c r="F1251" s="656">
        <v>160</v>
      </c>
      <c r="G1251" s="628" t="s">
        <v>150</v>
      </c>
      <c r="H1251" s="608">
        <v>1.03</v>
      </c>
      <c r="I1251" s="711">
        <f t="shared" ca="1" si="165"/>
        <v>0</v>
      </c>
      <c r="J1251" s="1013" t="s">
        <v>178</v>
      </c>
      <c r="N1251" s="865">
        <v>0</v>
      </c>
    </row>
    <row r="1252" spans="3:14" ht="15" customHeight="1">
      <c r="C1252" s="1014" t="s">
        <v>997</v>
      </c>
      <c r="D1252" s="640"/>
      <c r="E1252" s="640"/>
      <c r="F1252" s="656">
        <v>170</v>
      </c>
      <c r="G1252" s="628" t="s">
        <v>150</v>
      </c>
      <c r="H1252" s="608">
        <v>1.03</v>
      </c>
      <c r="I1252" s="711">
        <f t="shared" ca="1" si="165"/>
        <v>0</v>
      </c>
      <c r="J1252" s="1013" t="s">
        <v>178</v>
      </c>
      <c r="N1252" s="865">
        <v>0</v>
      </c>
    </row>
    <row r="1253" spans="3:14" ht="15" customHeight="1">
      <c r="C1253" s="1014" t="s">
        <v>997</v>
      </c>
      <c r="D1253" s="640"/>
      <c r="E1253" s="640"/>
      <c r="F1253" s="656">
        <v>180</v>
      </c>
      <c r="G1253" s="628" t="s">
        <v>150</v>
      </c>
      <c r="H1253" s="608">
        <v>1.03</v>
      </c>
      <c r="I1253" s="711">
        <f t="shared" ca="1" si="165"/>
        <v>0</v>
      </c>
      <c r="J1253" s="1013" t="s">
        <v>178</v>
      </c>
      <c r="N1253" s="865">
        <v>0</v>
      </c>
    </row>
    <row r="1254" spans="3:14" ht="15" customHeight="1">
      <c r="C1254" s="1014" t="s">
        <v>997</v>
      </c>
      <c r="D1254" s="640"/>
      <c r="E1254" s="640"/>
      <c r="F1254" s="656">
        <v>190</v>
      </c>
      <c r="G1254" s="628" t="s">
        <v>150</v>
      </c>
      <c r="H1254" s="608">
        <v>1.03</v>
      </c>
      <c r="I1254" s="711">
        <f t="shared" ca="1" si="165"/>
        <v>0</v>
      </c>
      <c r="J1254" s="1013" t="s">
        <v>178</v>
      </c>
      <c r="N1254" s="865">
        <v>0</v>
      </c>
    </row>
    <row r="1255" spans="3:14" ht="15" customHeight="1">
      <c r="C1255" s="1014" t="s">
        <v>997</v>
      </c>
      <c r="D1255" s="640"/>
      <c r="E1255" s="640"/>
      <c r="F1255" s="656">
        <v>200</v>
      </c>
      <c r="G1255" s="628" t="s">
        <v>150</v>
      </c>
      <c r="H1255" s="608">
        <v>1.03</v>
      </c>
      <c r="I1255" s="711">
        <f t="shared" ca="1" si="165"/>
        <v>0</v>
      </c>
      <c r="J1255" s="1013" t="s">
        <v>178</v>
      </c>
      <c r="N1255" s="865">
        <v>0</v>
      </c>
    </row>
    <row r="1256" spans="3:14" ht="15" customHeight="1">
      <c r="C1256" s="763" t="s">
        <v>321</v>
      </c>
      <c r="D1256" s="640"/>
      <c r="E1256" s="640"/>
      <c r="F1256" s="656">
        <v>50</v>
      </c>
      <c r="G1256" s="628" t="s">
        <v>150</v>
      </c>
      <c r="H1256" s="608">
        <v>1.03</v>
      </c>
      <c r="I1256" s="711">
        <f t="shared" ref="I1256:I1269" ca="1" si="166">SUMIFS($AF$79:$AF$152,$V$79:$V$152,F1256,$W$79:$W$152,$Y$35)</f>
        <v>0</v>
      </c>
      <c r="J1256" s="1013" t="s">
        <v>178</v>
      </c>
      <c r="N1256" s="865">
        <v>0</v>
      </c>
    </row>
    <row r="1257" spans="3:14" ht="15" customHeight="1">
      <c r="C1257" s="1014" t="s">
        <v>321</v>
      </c>
      <c r="D1257" s="640"/>
      <c r="E1257" s="640"/>
      <c r="F1257" s="656">
        <v>60</v>
      </c>
      <c r="G1257" s="628" t="s">
        <v>150</v>
      </c>
      <c r="H1257" s="608">
        <v>1.03</v>
      </c>
      <c r="I1257" s="711">
        <f t="shared" ca="1" si="166"/>
        <v>0</v>
      </c>
      <c r="J1257" s="1013" t="s">
        <v>178</v>
      </c>
      <c r="N1257" s="865">
        <v>0</v>
      </c>
    </row>
    <row r="1258" spans="3:14" ht="15" customHeight="1">
      <c r="C1258" s="1014" t="s">
        <v>321</v>
      </c>
      <c r="D1258" s="640"/>
      <c r="E1258" s="640"/>
      <c r="F1258" s="656">
        <v>70</v>
      </c>
      <c r="G1258" s="628" t="s">
        <v>150</v>
      </c>
      <c r="H1258" s="608">
        <v>1.03</v>
      </c>
      <c r="I1258" s="711">
        <f t="shared" ca="1" si="166"/>
        <v>0</v>
      </c>
      <c r="J1258" s="1013" t="s">
        <v>178</v>
      </c>
      <c r="N1258" s="865">
        <v>0</v>
      </c>
    </row>
    <row r="1259" spans="3:14" ht="15" customHeight="1">
      <c r="C1259" s="1014" t="s">
        <v>321</v>
      </c>
      <c r="D1259" s="640"/>
      <c r="E1259" s="640"/>
      <c r="F1259" s="656">
        <v>80</v>
      </c>
      <c r="G1259" s="628" t="s">
        <v>150</v>
      </c>
      <c r="H1259" s="608">
        <v>1.03</v>
      </c>
      <c r="I1259" s="711">
        <f t="shared" ca="1" si="166"/>
        <v>0</v>
      </c>
      <c r="J1259" s="1013" t="s">
        <v>178</v>
      </c>
      <c r="N1259" s="865">
        <v>0</v>
      </c>
    </row>
    <row r="1260" spans="3:14" ht="15" customHeight="1">
      <c r="C1260" s="1014" t="s">
        <v>321</v>
      </c>
      <c r="D1260" s="640"/>
      <c r="E1260" s="640"/>
      <c r="F1260" s="656">
        <v>90</v>
      </c>
      <c r="G1260" s="628" t="s">
        <v>150</v>
      </c>
      <c r="H1260" s="608">
        <v>1.03</v>
      </c>
      <c r="I1260" s="711">
        <f t="shared" ca="1" si="166"/>
        <v>0</v>
      </c>
      <c r="J1260" s="1013" t="s">
        <v>178</v>
      </c>
      <c r="N1260" s="865">
        <v>0</v>
      </c>
    </row>
    <row r="1261" spans="3:14" ht="15" customHeight="1">
      <c r="C1261" s="1014" t="s">
        <v>321</v>
      </c>
      <c r="D1261" s="640"/>
      <c r="E1261" s="640"/>
      <c r="F1261" s="656">
        <v>100</v>
      </c>
      <c r="G1261" s="628" t="s">
        <v>150</v>
      </c>
      <c r="H1261" s="608">
        <v>1.03</v>
      </c>
      <c r="I1261" s="711">
        <f t="shared" ca="1" si="166"/>
        <v>0</v>
      </c>
      <c r="J1261" s="1013" t="s">
        <v>178</v>
      </c>
      <c r="N1261" s="865">
        <v>0</v>
      </c>
    </row>
    <row r="1262" spans="3:14" ht="15" customHeight="1">
      <c r="C1262" s="1014" t="s">
        <v>321</v>
      </c>
      <c r="D1262" s="640"/>
      <c r="E1262" s="640"/>
      <c r="F1262" s="656">
        <v>110</v>
      </c>
      <c r="G1262" s="628" t="s">
        <v>150</v>
      </c>
      <c r="H1262" s="608">
        <v>1.03</v>
      </c>
      <c r="I1262" s="711">
        <f t="shared" ca="1" si="166"/>
        <v>0</v>
      </c>
      <c r="J1262" s="1013" t="s">
        <v>178</v>
      </c>
      <c r="N1262" s="865">
        <v>0</v>
      </c>
    </row>
    <row r="1263" spans="3:14" ht="15" customHeight="1">
      <c r="C1263" s="1014" t="s">
        <v>321</v>
      </c>
      <c r="D1263" s="640"/>
      <c r="E1263" s="640"/>
      <c r="F1263" s="656">
        <v>120</v>
      </c>
      <c r="G1263" s="628" t="s">
        <v>150</v>
      </c>
      <c r="H1263" s="608">
        <v>1.03</v>
      </c>
      <c r="I1263" s="711">
        <f t="shared" ca="1" si="166"/>
        <v>0</v>
      </c>
      <c r="J1263" s="1013" t="s">
        <v>178</v>
      </c>
      <c r="N1263" s="865">
        <v>0</v>
      </c>
    </row>
    <row r="1264" spans="3:14" ht="15" customHeight="1">
      <c r="C1264" s="1014" t="s">
        <v>321</v>
      </c>
      <c r="D1264" s="640"/>
      <c r="E1264" s="640"/>
      <c r="F1264" s="656">
        <v>130</v>
      </c>
      <c r="G1264" s="628" t="s">
        <v>150</v>
      </c>
      <c r="H1264" s="608">
        <v>1.03</v>
      </c>
      <c r="I1264" s="711">
        <f t="shared" ca="1" si="166"/>
        <v>0</v>
      </c>
      <c r="J1264" s="1013" t="s">
        <v>178</v>
      </c>
      <c r="N1264" s="1029">
        <v>0</v>
      </c>
    </row>
    <row r="1265" spans="3:17" ht="15" customHeight="1">
      <c r="C1265" s="1014" t="s">
        <v>321</v>
      </c>
      <c r="D1265" s="640"/>
      <c r="E1265" s="640"/>
      <c r="F1265" s="656">
        <v>140</v>
      </c>
      <c r="G1265" s="628" t="s">
        <v>150</v>
      </c>
      <c r="H1265" s="608">
        <v>1.03</v>
      </c>
      <c r="I1265" s="711">
        <f t="shared" ca="1" si="166"/>
        <v>0</v>
      </c>
      <c r="J1265" s="1013" t="s">
        <v>178</v>
      </c>
      <c r="N1265" s="1029">
        <v>0</v>
      </c>
    </row>
    <row r="1266" spans="3:17" ht="15" customHeight="1">
      <c r="C1266" s="1014" t="s">
        <v>321</v>
      </c>
      <c r="D1266" s="640"/>
      <c r="E1266" s="640"/>
      <c r="F1266" s="656">
        <v>150</v>
      </c>
      <c r="G1266" s="628" t="s">
        <v>150</v>
      </c>
      <c r="H1266" s="608">
        <v>1.03</v>
      </c>
      <c r="I1266" s="711">
        <f t="shared" ca="1" si="166"/>
        <v>0</v>
      </c>
      <c r="J1266" s="1013" t="s">
        <v>178</v>
      </c>
      <c r="N1266" s="1029">
        <v>0</v>
      </c>
    </row>
    <row r="1267" spans="3:17" ht="15" customHeight="1">
      <c r="C1267" s="1014" t="s">
        <v>321</v>
      </c>
      <c r="D1267" s="640"/>
      <c r="E1267" s="640"/>
      <c r="F1267" s="656">
        <v>160</v>
      </c>
      <c r="G1267" s="628" t="s">
        <v>150</v>
      </c>
      <c r="H1267" s="608">
        <v>1.03</v>
      </c>
      <c r="I1267" s="711">
        <f t="shared" ca="1" si="166"/>
        <v>0</v>
      </c>
      <c r="J1267" s="1013" t="s">
        <v>178</v>
      </c>
      <c r="N1267" s="1029">
        <v>0</v>
      </c>
    </row>
    <row r="1268" spans="3:17" ht="15" customHeight="1">
      <c r="C1268" s="1014" t="s">
        <v>321</v>
      </c>
      <c r="D1268" s="640"/>
      <c r="E1268" s="640"/>
      <c r="F1268" s="656">
        <v>170</v>
      </c>
      <c r="G1268" s="628" t="s">
        <v>150</v>
      </c>
      <c r="H1268" s="608">
        <v>1.03</v>
      </c>
      <c r="I1268" s="711">
        <f t="shared" ca="1" si="166"/>
        <v>0</v>
      </c>
      <c r="J1268" s="1013" t="s">
        <v>178</v>
      </c>
      <c r="N1268" s="1029">
        <v>0</v>
      </c>
    </row>
    <row r="1269" spans="3:17" ht="15" customHeight="1">
      <c r="C1269" s="1014" t="s">
        <v>321</v>
      </c>
      <c r="D1269" s="640"/>
      <c r="E1269" s="640"/>
      <c r="F1269" s="656">
        <v>180</v>
      </c>
      <c r="G1269" s="628" t="s">
        <v>150</v>
      </c>
      <c r="H1269" s="608">
        <v>1.03</v>
      </c>
      <c r="I1269" s="711">
        <f t="shared" ca="1" si="166"/>
        <v>0</v>
      </c>
      <c r="J1269" s="1013" t="s">
        <v>178</v>
      </c>
      <c r="N1269" s="1029">
        <v>0</v>
      </c>
    </row>
    <row r="1270" spans="3:17" ht="15" customHeight="1">
      <c r="C1270" s="763" t="s">
        <v>1157</v>
      </c>
      <c r="D1270" s="640"/>
      <c r="E1270" s="640"/>
      <c r="F1270" s="656">
        <v>30</v>
      </c>
      <c r="G1270" s="628" t="s">
        <v>150</v>
      </c>
      <c r="H1270" s="1037">
        <v>1.02</v>
      </c>
      <c r="I1270" s="609">
        <f ca="1">$P$1270/($F$1270/1000)</f>
        <v>0</v>
      </c>
      <c r="J1270" s="1013" t="s">
        <v>112</v>
      </c>
      <c r="N1270" s="1029">
        <v>0</v>
      </c>
      <c r="P1270" s="609">
        <f t="shared" ref="P1270:P1288" ca="1" si="167">SUMIFS($AF$79:$AF$152,$V$79:$V$152,F1270,$W$79:$W$152,$Y$36)</f>
        <v>0</v>
      </c>
      <c r="Q1270" s="1013" t="s">
        <v>178</v>
      </c>
    </row>
    <row r="1271" spans="3:17" ht="15" customHeight="1">
      <c r="C1271" s="1014" t="s">
        <v>1157</v>
      </c>
      <c r="D1271" s="640"/>
      <c r="E1271" s="640"/>
      <c r="F1271" s="656">
        <v>40</v>
      </c>
      <c r="G1271" s="628" t="s">
        <v>150</v>
      </c>
      <c r="H1271" s="1037">
        <v>1.02</v>
      </c>
      <c r="I1271" s="609">
        <f ca="1">$P$1271/($F$1271/1000)</f>
        <v>0</v>
      </c>
      <c r="J1271" s="1013" t="s">
        <v>112</v>
      </c>
      <c r="N1271" s="1029">
        <v>0</v>
      </c>
      <c r="P1271" s="609">
        <f t="shared" ca="1" si="167"/>
        <v>0</v>
      </c>
      <c r="Q1271" s="1013" t="s">
        <v>178</v>
      </c>
    </row>
    <row r="1272" spans="3:17" ht="15" customHeight="1">
      <c r="C1272" s="1014" t="s">
        <v>1157</v>
      </c>
      <c r="D1272" s="640"/>
      <c r="E1272" s="640"/>
      <c r="F1272" s="656">
        <v>45</v>
      </c>
      <c r="G1272" s="628" t="s">
        <v>150</v>
      </c>
      <c r="H1272" s="1037">
        <v>1.02</v>
      </c>
      <c r="I1272" s="609">
        <f ca="1">$P$1272/($F$1272/1000)</f>
        <v>0</v>
      </c>
      <c r="J1272" s="1013" t="s">
        <v>112</v>
      </c>
      <c r="N1272" s="1029">
        <v>0</v>
      </c>
      <c r="P1272" s="609">
        <f t="shared" ca="1" si="167"/>
        <v>0</v>
      </c>
      <c r="Q1272" s="1013" t="s">
        <v>178</v>
      </c>
    </row>
    <row r="1273" spans="3:17" ht="15" customHeight="1">
      <c r="C1273" s="1014" t="s">
        <v>1157</v>
      </c>
      <c r="D1273" s="640"/>
      <c r="E1273" s="640"/>
      <c r="F1273" s="656">
        <v>50</v>
      </c>
      <c r="G1273" s="628" t="s">
        <v>150</v>
      </c>
      <c r="H1273" s="1037">
        <v>1.02</v>
      </c>
      <c r="I1273" s="609">
        <f ca="1">$P$1273/($F$1273/1000)</f>
        <v>0</v>
      </c>
      <c r="J1273" s="1013" t="s">
        <v>112</v>
      </c>
      <c r="N1273" s="1029">
        <v>0</v>
      </c>
      <c r="P1273" s="609">
        <f t="shared" ca="1" si="167"/>
        <v>0</v>
      </c>
      <c r="Q1273" s="1013" t="s">
        <v>178</v>
      </c>
    </row>
    <row r="1274" spans="3:17" ht="15" customHeight="1">
      <c r="C1274" s="1014" t="s">
        <v>1157</v>
      </c>
      <c r="D1274" s="640"/>
      <c r="E1274" s="640"/>
      <c r="F1274" s="656">
        <v>55</v>
      </c>
      <c r="G1274" s="628" t="s">
        <v>150</v>
      </c>
      <c r="H1274" s="1037">
        <v>1.02</v>
      </c>
      <c r="I1274" s="609">
        <f ca="1">$P$1274/($F$1274/1000)</f>
        <v>0</v>
      </c>
      <c r="J1274" s="1013" t="s">
        <v>112</v>
      </c>
      <c r="N1274" s="1029">
        <v>0</v>
      </c>
      <c r="P1274" s="609">
        <f t="shared" ca="1" si="167"/>
        <v>0</v>
      </c>
      <c r="Q1274" s="1013" t="s">
        <v>178</v>
      </c>
    </row>
    <row r="1275" spans="3:17" ht="15" customHeight="1">
      <c r="C1275" s="1014" t="s">
        <v>1157</v>
      </c>
      <c r="D1275" s="640"/>
      <c r="E1275" s="640"/>
      <c r="F1275" s="656">
        <v>60</v>
      </c>
      <c r="G1275" s="628" t="s">
        <v>150</v>
      </c>
      <c r="H1275" s="1037">
        <v>1.02</v>
      </c>
      <c r="I1275" s="609">
        <f ca="1">$P$1275/($F$1275/1000)</f>
        <v>0</v>
      </c>
      <c r="J1275" s="1013" t="s">
        <v>112</v>
      </c>
      <c r="N1275" s="1029">
        <v>0</v>
      </c>
      <c r="P1275" s="609">
        <f t="shared" ca="1" si="167"/>
        <v>0</v>
      </c>
      <c r="Q1275" s="1013" t="s">
        <v>178</v>
      </c>
    </row>
    <row r="1276" spans="3:17" ht="15" customHeight="1">
      <c r="C1276" s="1014" t="s">
        <v>1157</v>
      </c>
      <c r="D1276" s="640"/>
      <c r="E1276" s="640"/>
      <c r="F1276" s="656">
        <v>65</v>
      </c>
      <c r="G1276" s="628" t="s">
        <v>150</v>
      </c>
      <c r="H1276" s="1037">
        <v>1.02</v>
      </c>
      <c r="I1276" s="609">
        <f ca="1">$P$1276/($F$1276/1000)</f>
        <v>0</v>
      </c>
      <c r="J1276" s="1013" t="s">
        <v>112</v>
      </c>
      <c r="N1276" s="1029">
        <v>0</v>
      </c>
      <c r="P1276" s="609">
        <f t="shared" ca="1" si="167"/>
        <v>0</v>
      </c>
      <c r="Q1276" s="1013" t="s">
        <v>178</v>
      </c>
    </row>
    <row r="1277" spans="3:17" ht="15" customHeight="1">
      <c r="C1277" s="1014" t="s">
        <v>1157</v>
      </c>
      <c r="D1277" s="640"/>
      <c r="E1277" s="640"/>
      <c r="F1277" s="656">
        <v>70</v>
      </c>
      <c r="G1277" s="628" t="s">
        <v>150</v>
      </c>
      <c r="H1277" s="1037">
        <v>1.02</v>
      </c>
      <c r="I1277" s="609">
        <f ca="1">$P$1277/($F$1277/1000)</f>
        <v>0</v>
      </c>
      <c r="J1277" s="1013" t="s">
        <v>112</v>
      </c>
      <c r="N1277" s="1029">
        <v>0</v>
      </c>
      <c r="P1277" s="609">
        <f t="shared" ca="1" si="167"/>
        <v>0</v>
      </c>
      <c r="Q1277" s="1013" t="s">
        <v>178</v>
      </c>
    </row>
    <row r="1278" spans="3:17" ht="15" customHeight="1">
      <c r="C1278" s="1014" t="s">
        <v>1157</v>
      </c>
      <c r="D1278" s="640"/>
      <c r="E1278" s="640"/>
      <c r="F1278" s="656">
        <v>75</v>
      </c>
      <c r="G1278" s="628" t="s">
        <v>150</v>
      </c>
      <c r="H1278" s="1037">
        <v>1.02</v>
      </c>
      <c r="I1278" s="609">
        <f ca="1">$P$1278/($F$1278/1000)</f>
        <v>0</v>
      </c>
      <c r="J1278" s="1013" t="s">
        <v>112</v>
      </c>
      <c r="N1278" s="1029">
        <v>0</v>
      </c>
      <c r="P1278" s="609">
        <f t="shared" ca="1" si="167"/>
        <v>0</v>
      </c>
      <c r="Q1278" s="1013" t="s">
        <v>178</v>
      </c>
    </row>
    <row r="1279" spans="3:17" ht="15" customHeight="1">
      <c r="C1279" s="1014" t="s">
        <v>1157</v>
      </c>
      <c r="D1279" s="640"/>
      <c r="E1279" s="640"/>
      <c r="F1279" s="656">
        <v>80</v>
      </c>
      <c r="G1279" s="628" t="s">
        <v>150</v>
      </c>
      <c r="H1279" s="1037">
        <v>1.02</v>
      </c>
      <c r="I1279" s="609">
        <f ca="1">$P$1279/($F$1279/1000)</f>
        <v>0</v>
      </c>
      <c r="J1279" s="1013" t="s">
        <v>112</v>
      </c>
      <c r="N1279" s="1029">
        <v>0</v>
      </c>
      <c r="P1279" s="609">
        <f t="shared" ca="1" si="167"/>
        <v>0</v>
      </c>
      <c r="Q1279" s="1013" t="s">
        <v>178</v>
      </c>
    </row>
    <row r="1280" spans="3:17" ht="15" customHeight="1">
      <c r="C1280" s="1014" t="s">
        <v>1157</v>
      </c>
      <c r="D1280" s="640"/>
      <c r="E1280" s="640"/>
      <c r="F1280" s="656">
        <v>85</v>
      </c>
      <c r="G1280" s="628" t="s">
        <v>150</v>
      </c>
      <c r="H1280" s="1037">
        <v>1.02</v>
      </c>
      <c r="I1280" s="609">
        <f ca="1">$P$1280/($F$1280/1000)</f>
        <v>0</v>
      </c>
      <c r="J1280" s="1013" t="s">
        <v>112</v>
      </c>
      <c r="N1280" s="1029">
        <v>0</v>
      </c>
      <c r="P1280" s="609">
        <f t="shared" ca="1" si="167"/>
        <v>0</v>
      </c>
      <c r="Q1280" s="1013" t="s">
        <v>178</v>
      </c>
    </row>
    <row r="1281" spans="3:17" ht="15" customHeight="1">
      <c r="C1281" s="1014" t="s">
        <v>1157</v>
      </c>
      <c r="D1281" s="640"/>
      <c r="E1281" s="640"/>
      <c r="F1281" s="656">
        <v>90</v>
      </c>
      <c r="G1281" s="628" t="s">
        <v>150</v>
      </c>
      <c r="H1281" s="1037">
        <v>1.02</v>
      </c>
      <c r="I1281" s="609">
        <f ca="1">$P$1281/($F$1281/1000)</f>
        <v>0</v>
      </c>
      <c r="J1281" s="1013" t="s">
        <v>112</v>
      </c>
      <c r="N1281" s="1029">
        <v>0</v>
      </c>
      <c r="P1281" s="609">
        <f t="shared" ca="1" si="167"/>
        <v>0</v>
      </c>
      <c r="Q1281" s="1013" t="s">
        <v>178</v>
      </c>
    </row>
    <row r="1282" spans="3:17" ht="15" customHeight="1">
      <c r="C1282" s="1014" t="s">
        <v>1157</v>
      </c>
      <c r="D1282" s="640"/>
      <c r="E1282" s="640"/>
      <c r="F1282" s="656">
        <v>95</v>
      </c>
      <c r="G1282" s="628" t="s">
        <v>150</v>
      </c>
      <c r="H1282" s="1037">
        <v>1.02</v>
      </c>
      <c r="I1282" s="609">
        <f ca="1">$P$1282/($F$1282/1000)</f>
        <v>0</v>
      </c>
      <c r="J1282" s="1013" t="s">
        <v>112</v>
      </c>
      <c r="N1282" s="1029">
        <v>0</v>
      </c>
      <c r="P1282" s="609">
        <f t="shared" ca="1" si="167"/>
        <v>0</v>
      </c>
      <c r="Q1282" s="1013" t="s">
        <v>178</v>
      </c>
    </row>
    <row r="1283" spans="3:17" ht="15" customHeight="1">
      <c r="C1283" s="1014" t="s">
        <v>1157</v>
      </c>
      <c r="D1283" s="640"/>
      <c r="E1283" s="640"/>
      <c r="F1283" s="656">
        <v>100</v>
      </c>
      <c r="G1283" s="628" t="s">
        <v>150</v>
      </c>
      <c r="H1283" s="1037">
        <v>1.02</v>
      </c>
      <c r="I1283" s="609">
        <f ca="1">$P$1283/($F$1283/1000)</f>
        <v>0</v>
      </c>
      <c r="J1283" s="1013" t="s">
        <v>112</v>
      </c>
      <c r="N1283" s="1029">
        <v>0</v>
      </c>
      <c r="P1283" s="609">
        <f t="shared" ca="1" si="167"/>
        <v>0</v>
      </c>
      <c r="Q1283" s="1013" t="s">
        <v>178</v>
      </c>
    </row>
    <row r="1284" spans="3:17" ht="15" customHeight="1">
      <c r="C1284" s="1014" t="s">
        <v>1157</v>
      </c>
      <c r="D1284" s="640"/>
      <c r="E1284" s="640"/>
      <c r="F1284" s="656">
        <v>110</v>
      </c>
      <c r="G1284" s="628" t="s">
        <v>150</v>
      </c>
      <c r="H1284" s="1037">
        <v>1.02</v>
      </c>
      <c r="I1284" s="609">
        <f ca="1">$P$1284/($F$1284/1000)</f>
        <v>0</v>
      </c>
      <c r="J1284" s="1013" t="s">
        <v>112</v>
      </c>
      <c r="N1284" s="1029">
        <v>0</v>
      </c>
      <c r="P1284" s="609">
        <f t="shared" ca="1" si="167"/>
        <v>0</v>
      </c>
      <c r="Q1284" s="1013" t="s">
        <v>178</v>
      </c>
    </row>
    <row r="1285" spans="3:17" ht="15" customHeight="1">
      <c r="C1285" s="1014" t="s">
        <v>1157</v>
      </c>
      <c r="D1285" s="640"/>
      <c r="E1285" s="640"/>
      <c r="F1285" s="656">
        <v>120</v>
      </c>
      <c r="G1285" s="628" t="s">
        <v>150</v>
      </c>
      <c r="H1285" s="1037">
        <v>1.02</v>
      </c>
      <c r="I1285" s="609">
        <f ca="1">$P$1285/($F$1285/1000)</f>
        <v>0</v>
      </c>
      <c r="J1285" s="1013" t="s">
        <v>112</v>
      </c>
      <c r="N1285" s="1029">
        <v>0</v>
      </c>
      <c r="P1285" s="609">
        <f t="shared" ca="1" si="167"/>
        <v>0</v>
      </c>
      <c r="Q1285" s="1013" t="s">
        <v>178</v>
      </c>
    </row>
    <row r="1286" spans="3:17" ht="15" customHeight="1">
      <c r="C1286" s="1014" t="s">
        <v>1157</v>
      </c>
      <c r="D1286" s="640"/>
      <c r="E1286" s="640"/>
      <c r="F1286" s="656">
        <v>130</v>
      </c>
      <c r="G1286" s="628" t="s">
        <v>150</v>
      </c>
      <c r="H1286" s="1037">
        <v>1.02</v>
      </c>
      <c r="I1286" s="609">
        <f ca="1">$P$1286/($F$1286/1000)</f>
        <v>0</v>
      </c>
      <c r="J1286" s="1013" t="s">
        <v>112</v>
      </c>
      <c r="N1286" s="1029">
        <v>0</v>
      </c>
      <c r="P1286" s="609">
        <f t="shared" ca="1" si="167"/>
        <v>0</v>
      </c>
      <c r="Q1286" s="1013" t="s">
        <v>178</v>
      </c>
    </row>
    <row r="1287" spans="3:17" ht="15" customHeight="1">
      <c r="C1287" s="1014" t="s">
        <v>1157</v>
      </c>
      <c r="D1287" s="640"/>
      <c r="E1287" s="640"/>
      <c r="F1287" s="656">
        <v>140</v>
      </c>
      <c r="G1287" s="628" t="s">
        <v>150</v>
      </c>
      <c r="H1287" s="1037">
        <v>1.02</v>
      </c>
      <c r="I1287" s="609">
        <f ca="1">$P$1287/($F$1287/1000)</f>
        <v>0</v>
      </c>
      <c r="J1287" s="1013" t="s">
        <v>112</v>
      </c>
      <c r="N1287" s="1029">
        <v>0</v>
      </c>
      <c r="P1287" s="609">
        <f t="shared" ca="1" si="167"/>
        <v>0</v>
      </c>
      <c r="Q1287" s="1013" t="s">
        <v>178</v>
      </c>
    </row>
    <row r="1288" spans="3:17" ht="15" customHeight="1">
      <c r="C1288" s="1014" t="s">
        <v>1157</v>
      </c>
      <c r="D1288" s="640"/>
      <c r="E1288" s="640"/>
      <c r="F1288" s="656">
        <v>150</v>
      </c>
      <c r="G1288" s="628" t="s">
        <v>150</v>
      </c>
      <c r="H1288" s="1037">
        <v>1.02</v>
      </c>
      <c r="I1288" s="609">
        <f ca="1">$P$1288/($F$1288/1000)</f>
        <v>0</v>
      </c>
      <c r="J1288" s="1013" t="s">
        <v>112</v>
      </c>
      <c r="N1288" s="1029">
        <v>0</v>
      </c>
      <c r="P1288" s="609">
        <f t="shared" ca="1" si="167"/>
        <v>0</v>
      </c>
      <c r="Q1288" s="1013" t="s">
        <v>178</v>
      </c>
    </row>
    <row r="1289" spans="3:17" ht="15" customHeight="1">
      <c r="C1289" s="763" t="s">
        <v>1158</v>
      </c>
      <c r="D1289" s="640"/>
      <c r="E1289" s="640"/>
      <c r="F1289" s="656">
        <v>30</v>
      </c>
      <c r="G1289" s="628" t="s">
        <v>150</v>
      </c>
      <c r="H1289" s="1037">
        <v>1.02</v>
      </c>
      <c r="I1289" s="609">
        <f ca="1">$P$1289/($F$1289/1000)</f>
        <v>0</v>
      </c>
      <c r="J1289" s="1013" t="s">
        <v>112</v>
      </c>
      <c r="N1289" s="1029">
        <v>0</v>
      </c>
      <c r="P1289" s="609">
        <f t="shared" ref="P1289:P1307" ca="1" si="168">SUMIFS($AF$79:$AF$152,$V$79:$V$152,F1289,$W$79:$W$152,$Y$37)</f>
        <v>0</v>
      </c>
      <c r="Q1289" s="1013" t="s">
        <v>178</v>
      </c>
    </row>
    <row r="1290" spans="3:17" ht="15" customHeight="1">
      <c r="C1290" s="1014" t="s">
        <v>1158</v>
      </c>
      <c r="D1290" s="640"/>
      <c r="E1290" s="640"/>
      <c r="F1290" s="656">
        <v>40</v>
      </c>
      <c r="G1290" s="628" t="s">
        <v>150</v>
      </c>
      <c r="H1290" s="1037">
        <v>1.02</v>
      </c>
      <c r="I1290" s="609">
        <f ca="1">$P$1290/($F$1290/1000)</f>
        <v>0</v>
      </c>
      <c r="J1290" s="1013" t="s">
        <v>112</v>
      </c>
      <c r="N1290" s="1029">
        <v>0</v>
      </c>
      <c r="P1290" s="609">
        <f t="shared" ca="1" si="168"/>
        <v>0</v>
      </c>
      <c r="Q1290" s="1013" t="s">
        <v>178</v>
      </c>
    </row>
    <row r="1291" spans="3:17" ht="15" customHeight="1">
      <c r="C1291" s="1014" t="s">
        <v>1158</v>
      </c>
      <c r="D1291" s="640"/>
      <c r="E1291" s="640"/>
      <c r="F1291" s="656">
        <v>45</v>
      </c>
      <c r="G1291" s="628" t="s">
        <v>150</v>
      </c>
      <c r="H1291" s="1037">
        <v>1.02</v>
      </c>
      <c r="I1291" s="609">
        <f ca="1">$P$1291/($F$1291/1000)</f>
        <v>0</v>
      </c>
      <c r="J1291" s="1013" t="s">
        <v>112</v>
      </c>
      <c r="N1291" s="1029">
        <v>0</v>
      </c>
      <c r="P1291" s="609">
        <f t="shared" ca="1" si="168"/>
        <v>0</v>
      </c>
      <c r="Q1291" s="1013" t="s">
        <v>178</v>
      </c>
    </row>
    <row r="1292" spans="3:17" ht="15" customHeight="1">
      <c r="C1292" s="1014" t="s">
        <v>1158</v>
      </c>
      <c r="D1292" s="640"/>
      <c r="E1292" s="640"/>
      <c r="F1292" s="656">
        <v>50</v>
      </c>
      <c r="G1292" s="628" t="s">
        <v>150</v>
      </c>
      <c r="H1292" s="1037">
        <v>1.02</v>
      </c>
      <c r="I1292" s="609">
        <f ca="1">$P$1292/($F$1292/1000)</f>
        <v>0</v>
      </c>
      <c r="J1292" s="1013" t="s">
        <v>112</v>
      </c>
      <c r="N1292" s="1029">
        <v>0</v>
      </c>
      <c r="P1292" s="609">
        <f t="shared" ca="1" si="168"/>
        <v>0</v>
      </c>
      <c r="Q1292" s="1013" t="s">
        <v>178</v>
      </c>
    </row>
    <row r="1293" spans="3:17" ht="15" customHeight="1">
      <c r="C1293" s="1014" t="s">
        <v>1158</v>
      </c>
      <c r="D1293" s="640"/>
      <c r="E1293" s="640"/>
      <c r="F1293" s="656">
        <v>55</v>
      </c>
      <c r="G1293" s="628" t="s">
        <v>150</v>
      </c>
      <c r="H1293" s="1037">
        <v>1.02</v>
      </c>
      <c r="I1293" s="609">
        <f ca="1">$P$1293/($F$1293/1000)</f>
        <v>0</v>
      </c>
      <c r="J1293" s="1013" t="s">
        <v>112</v>
      </c>
      <c r="N1293" s="1029">
        <v>0</v>
      </c>
      <c r="P1293" s="609">
        <f t="shared" ca="1" si="168"/>
        <v>0</v>
      </c>
      <c r="Q1293" s="1013" t="s">
        <v>178</v>
      </c>
    </row>
    <row r="1294" spans="3:17" ht="15" customHeight="1">
      <c r="C1294" s="1014" t="s">
        <v>1158</v>
      </c>
      <c r="D1294" s="640"/>
      <c r="E1294" s="640"/>
      <c r="F1294" s="656">
        <v>60</v>
      </c>
      <c r="G1294" s="628" t="s">
        <v>150</v>
      </c>
      <c r="H1294" s="1037">
        <v>1.02</v>
      </c>
      <c r="I1294" s="609">
        <f ca="1">$P$1294/($F$1294/1000)</f>
        <v>0</v>
      </c>
      <c r="J1294" s="1013" t="s">
        <v>112</v>
      </c>
      <c r="N1294" s="1029">
        <v>0</v>
      </c>
      <c r="P1294" s="609">
        <f t="shared" ca="1" si="168"/>
        <v>0</v>
      </c>
      <c r="Q1294" s="1013" t="s">
        <v>178</v>
      </c>
    </row>
    <row r="1295" spans="3:17" ht="15" customHeight="1">
      <c r="C1295" s="1014" t="s">
        <v>1158</v>
      </c>
      <c r="D1295" s="640"/>
      <c r="E1295" s="640"/>
      <c r="F1295" s="656">
        <v>65</v>
      </c>
      <c r="G1295" s="628" t="s">
        <v>150</v>
      </c>
      <c r="H1295" s="1037">
        <v>1.02</v>
      </c>
      <c r="I1295" s="609">
        <f ca="1">$P$1295/($F$1295/1000)</f>
        <v>0</v>
      </c>
      <c r="J1295" s="1013" t="s">
        <v>112</v>
      </c>
      <c r="N1295" s="1029">
        <v>0</v>
      </c>
      <c r="P1295" s="609">
        <f t="shared" ca="1" si="168"/>
        <v>0</v>
      </c>
      <c r="Q1295" s="1013" t="s">
        <v>178</v>
      </c>
    </row>
    <row r="1296" spans="3:17" ht="15" customHeight="1">
      <c r="C1296" s="1014" t="s">
        <v>1158</v>
      </c>
      <c r="D1296" s="640"/>
      <c r="E1296" s="640"/>
      <c r="F1296" s="656">
        <v>70</v>
      </c>
      <c r="G1296" s="628" t="s">
        <v>150</v>
      </c>
      <c r="H1296" s="1037">
        <v>1.02</v>
      </c>
      <c r="I1296" s="609">
        <f ca="1">$P$1296/($F$1296/1000)</f>
        <v>0</v>
      </c>
      <c r="J1296" s="1013" t="s">
        <v>112</v>
      </c>
      <c r="N1296" s="1029">
        <v>0</v>
      </c>
      <c r="P1296" s="609">
        <f t="shared" ca="1" si="168"/>
        <v>0</v>
      </c>
      <c r="Q1296" s="1013" t="s">
        <v>178</v>
      </c>
    </row>
    <row r="1297" spans="3:17" ht="15" customHeight="1">
      <c r="C1297" s="1014" t="s">
        <v>1158</v>
      </c>
      <c r="D1297" s="640"/>
      <c r="E1297" s="640"/>
      <c r="F1297" s="656">
        <v>75</v>
      </c>
      <c r="G1297" s="628" t="s">
        <v>150</v>
      </c>
      <c r="H1297" s="1037">
        <v>1.02</v>
      </c>
      <c r="I1297" s="609">
        <f ca="1">$P$1297/($F$1297/1000)</f>
        <v>0</v>
      </c>
      <c r="J1297" s="1013" t="s">
        <v>112</v>
      </c>
      <c r="N1297" s="1029">
        <v>0</v>
      </c>
      <c r="P1297" s="609">
        <f t="shared" ca="1" si="168"/>
        <v>0</v>
      </c>
      <c r="Q1297" s="1013" t="s">
        <v>178</v>
      </c>
    </row>
    <row r="1298" spans="3:17" ht="15" customHeight="1">
      <c r="C1298" s="1014" t="s">
        <v>1158</v>
      </c>
      <c r="D1298" s="640"/>
      <c r="E1298" s="640"/>
      <c r="F1298" s="656">
        <v>80</v>
      </c>
      <c r="G1298" s="628" t="s">
        <v>150</v>
      </c>
      <c r="H1298" s="1037">
        <v>1.02</v>
      </c>
      <c r="I1298" s="609">
        <f ca="1">$P$1298/($F$1298/1000)</f>
        <v>0</v>
      </c>
      <c r="J1298" s="1013" t="s">
        <v>112</v>
      </c>
      <c r="N1298" s="1029">
        <v>0</v>
      </c>
      <c r="P1298" s="609">
        <f t="shared" ca="1" si="168"/>
        <v>0</v>
      </c>
      <c r="Q1298" s="1013" t="s">
        <v>178</v>
      </c>
    </row>
    <row r="1299" spans="3:17" ht="15" customHeight="1">
      <c r="C1299" s="1014" t="s">
        <v>1158</v>
      </c>
      <c r="D1299" s="640"/>
      <c r="E1299" s="640"/>
      <c r="F1299" s="656">
        <v>85</v>
      </c>
      <c r="G1299" s="628" t="s">
        <v>150</v>
      </c>
      <c r="H1299" s="1037">
        <v>1.02</v>
      </c>
      <c r="I1299" s="609">
        <f ca="1">$P$1299/($F$1299/1000)</f>
        <v>0</v>
      </c>
      <c r="J1299" s="1013" t="s">
        <v>112</v>
      </c>
      <c r="N1299" s="1029">
        <v>0</v>
      </c>
      <c r="P1299" s="609">
        <f t="shared" ca="1" si="168"/>
        <v>0</v>
      </c>
      <c r="Q1299" s="1013" t="s">
        <v>178</v>
      </c>
    </row>
    <row r="1300" spans="3:17" ht="15" customHeight="1">
      <c r="C1300" s="1014" t="s">
        <v>1158</v>
      </c>
      <c r="D1300" s="640"/>
      <c r="E1300" s="640"/>
      <c r="F1300" s="656">
        <v>90</v>
      </c>
      <c r="G1300" s="628" t="s">
        <v>150</v>
      </c>
      <c r="H1300" s="1037">
        <v>1.02</v>
      </c>
      <c r="I1300" s="609">
        <f ca="1">$P$1300/($F$1300/1000)</f>
        <v>0</v>
      </c>
      <c r="J1300" s="1013" t="s">
        <v>112</v>
      </c>
      <c r="N1300" s="1029">
        <v>0</v>
      </c>
      <c r="P1300" s="609">
        <f t="shared" ca="1" si="168"/>
        <v>0</v>
      </c>
      <c r="Q1300" s="1013" t="s">
        <v>178</v>
      </c>
    </row>
    <row r="1301" spans="3:17" ht="15" customHeight="1">
      <c r="C1301" s="1014" t="s">
        <v>1158</v>
      </c>
      <c r="D1301" s="640"/>
      <c r="E1301" s="640"/>
      <c r="F1301" s="656">
        <v>95</v>
      </c>
      <c r="G1301" s="628" t="s">
        <v>150</v>
      </c>
      <c r="H1301" s="1037">
        <v>1.02</v>
      </c>
      <c r="I1301" s="609">
        <f ca="1">$P$1301/($F$1301/1000)</f>
        <v>0</v>
      </c>
      <c r="J1301" s="1013" t="s">
        <v>112</v>
      </c>
      <c r="N1301" s="1029">
        <v>0</v>
      </c>
      <c r="P1301" s="609">
        <f t="shared" ca="1" si="168"/>
        <v>0</v>
      </c>
      <c r="Q1301" s="1013" t="s">
        <v>178</v>
      </c>
    </row>
    <row r="1302" spans="3:17" ht="15" customHeight="1">
      <c r="C1302" s="1014" t="s">
        <v>1158</v>
      </c>
      <c r="D1302" s="640"/>
      <c r="E1302" s="640"/>
      <c r="F1302" s="656">
        <v>100</v>
      </c>
      <c r="G1302" s="628" t="s">
        <v>150</v>
      </c>
      <c r="H1302" s="1037">
        <v>1.02</v>
      </c>
      <c r="I1302" s="609">
        <f ca="1">$P$1302/($F$1302/1000)</f>
        <v>0</v>
      </c>
      <c r="J1302" s="1013" t="s">
        <v>112</v>
      </c>
      <c r="N1302" s="1029">
        <v>0</v>
      </c>
      <c r="P1302" s="609">
        <f ca="1">SUMIFS($AF$79:$AF$152,$V$79:$V$152,F1302,$W$79:$W$152,$Y$37)</f>
        <v>0</v>
      </c>
      <c r="Q1302" s="1013" t="s">
        <v>178</v>
      </c>
    </row>
    <row r="1303" spans="3:17" ht="15" customHeight="1">
      <c r="C1303" s="1014" t="s">
        <v>1158</v>
      </c>
      <c r="D1303" s="640"/>
      <c r="E1303" s="640"/>
      <c r="F1303" s="656">
        <v>110</v>
      </c>
      <c r="G1303" s="628" t="s">
        <v>150</v>
      </c>
      <c r="H1303" s="1037">
        <v>1.02</v>
      </c>
      <c r="I1303" s="609">
        <f ca="1">$P$1303/($F$1303/1000)</f>
        <v>0</v>
      </c>
      <c r="J1303" s="1013" t="s">
        <v>112</v>
      </c>
      <c r="N1303" s="1029">
        <v>0</v>
      </c>
      <c r="P1303" s="609">
        <f t="shared" ca="1" si="168"/>
        <v>0</v>
      </c>
      <c r="Q1303" s="1013" t="s">
        <v>178</v>
      </c>
    </row>
    <row r="1304" spans="3:17" ht="15" customHeight="1">
      <c r="C1304" s="1014" t="s">
        <v>1158</v>
      </c>
      <c r="D1304" s="640"/>
      <c r="E1304" s="640"/>
      <c r="F1304" s="656">
        <v>120</v>
      </c>
      <c r="G1304" s="628" t="s">
        <v>150</v>
      </c>
      <c r="H1304" s="1037">
        <v>1.02</v>
      </c>
      <c r="I1304" s="609">
        <f ca="1">$P$1304/($F$1304/1000)</f>
        <v>0</v>
      </c>
      <c r="J1304" s="1013" t="s">
        <v>112</v>
      </c>
      <c r="N1304" s="1029">
        <v>0</v>
      </c>
      <c r="P1304" s="609">
        <f t="shared" ca="1" si="168"/>
        <v>0</v>
      </c>
      <c r="Q1304" s="1013" t="s">
        <v>178</v>
      </c>
    </row>
    <row r="1305" spans="3:17" ht="15" customHeight="1">
      <c r="C1305" s="1014" t="s">
        <v>1158</v>
      </c>
      <c r="D1305" s="640"/>
      <c r="E1305" s="640"/>
      <c r="F1305" s="656">
        <v>130</v>
      </c>
      <c r="G1305" s="628" t="s">
        <v>150</v>
      </c>
      <c r="H1305" s="1037">
        <v>1.02</v>
      </c>
      <c r="I1305" s="609">
        <f ca="1">$P$1305/($F$1305/1000)</f>
        <v>0</v>
      </c>
      <c r="J1305" s="1013" t="s">
        <v>112</v>
      </c>
      <c r="N1305" s="1029">
        <v>0</v>
      </c>
      <c r="P1305" s="609">
        <f t="shared" ca="1" si="168"/>
        <v>0</v>
      </c>
      <c r="Q1305" s="1013" t="s">
        <v>178</v>
      </c>
    </row>
    <row r="1306" spans="3:17" ht="15" customHeight="1">
      <c r="C1306" s="1014" t="s">
        <v>1158</v>
      </c>
      <c r="D1306" s="640"/>
      <c r="E1306" s="640"/>
      <c r="F1306" s="656">
        <v>140</v>
      </c>
      <c r="G1306" s="628" t="s">
        <v>150</v>
      </c>
      <c r="H1306" s="1037">
        <v>1.02</v>
      </c>
      <c r="I1306" s="609">
        <f ca="1">$P$1306/($F$1306/1000)</f>
        <v>0</v>
      </c>
      <c r="J1306" s="1013" t="s">
        <v>112</v>
      </c>
      <c r="N1306" s="1029">
        <v>0</v>
      </c>
      <c r="P1306" s="609">
        <f t="shared" ca="1" si="168"/>
        <v>0</v>
      </c>
      <c r="Q1306" s="1013" t="s">
        <v>178</v>
      </c>
    </row>
    <row r="1307" spans="3:17" ht="15" customHeight="1">
      <c r="C1307" s="1014" t="s">
        <v>1158</v>
      </c>
      <c r="D1307" s="640"/>
      <c r="E1307" s="640"/>
      <c r="F1307" s="656">
        <v>150</v>
      </c>
      <c r="G1307" s="628" t="s">
        <v>150</v>
      </c>
      <c r="H1307" s="1037">
        <v>1.02</v>
      </c>
      <c r="I1307" s="609">
        <f ca="1">$P$1307/($F$1307/1000)</f>
        <v>0</v>
      </c>
      <c r="J1307" s="1013" t="s">
        <v>112</v>
      </c>
      <c r="N1307" s="1029">
        <v>0</v>
      </c>
      <c r="P1307" s="609">
        <f t="shared" ca="1" si="168"/>
        <v>0</v>
      </c>
      <c r="Q1307" s="1013" t="s">
        <v>178</v>
      </c>
    </row>
    <row r="1308" spans="3:17" ht="15" customHeight="1">
      <c r="C1308" s="763" t="s">
        <v>1156</v>
      </c>
      <c r="D1308" s="640"/>
      <c r="E1308" s="640"/>
      <c r="F1308" s="656">
        <v>30</v>
      </c>
      <c r="G1308" s="628" t="s">
        <v>150</v>
      </c>
      <c r="H1308" s="1037">
        <v>1.02</v>
      </c>
      <c r="I1308" s="609">
        <f ca="1">$P$1308/($F$1308/1000)</f>
        <v>0</v>
      </c>
      <c r="J1308" s="1013" t="s">
        <v>112</v>
      </c>
      <c r="N1308" s="1029">
        <v>0</v>
      </c>
      <c r="P1308" s="609">
        <f t="shared" ref="P1308:P1315" ca="1" si="169">SUMIFS($AF$79:$AF$152,$V$79:$V$152,F1308,$W$79:$W$152,$Y$38)</f>
        <v>0</v>
      </c>
      <c r="Q1308" s="1013" t="s">
        <v>178</v>
      </c>
    </row>
    <row r="1309" spans="3:17" ht="15" customHeight="1">
      <c r="C1309" s="1014" t="s">
        <v>1156</v>
      </c>
      <c r="D1309" s="640"/>
      <c r="E1309" s="640"/>
      <c r="F1309" s="656">
        <v>40</v>
      </c>
      <c r="G1309" s="628" t="s">
        <v>150</v>
      </c>
      <c r="H1309" s="1037">
        <v>1.02</v>
      </c>
      <c r="I1309" s="609">
        <f ca="1">$P$1309/($F$1309/1000)</f>
        <v>0</v>
      </c>
      <c r="J1309" s="1013" t="s">
        <v>112</v>
      </c>
      <c r="N1309" s="1029">
        <v>0</v>
      </c>
      <c r="P1309" s="609">
        <f t="shared" ca="1" si="169"/>
        <v>0</v>
      </c>
      <c r="Q1309" s="1013" t="s">
        <v>178</v>
      </c>
    </row>
    <row r="1310" spans="3:17" ht="15" customHeight="1">
      <c r="C1310" s="1014" t="s">
        <v>1156</v>
      </c>
      <c r="D1310" s="640"/>
      <c r="E1310" s="640"/>
      <c r="F1310" s="656">
        <v>50</v>
      </c>
      <c r="G1310" s="628" t="s">
        <v>150</v>
      </c>
      <c r="H1310" s="1037">
        <v>1.02</v>
      </c>
      <c r="I1310" s="609">
        <f ca="1">$P$1310/($F$1310/1000)</f>
        <v>0</v>
      </c>
      <c r="J1310" s="1013" t="s">
        <v>112</v>
      </c>
      <c r="N1310" s="1029">
        <v>0</v>
      </c>
      <c r="P1310" s="609">
        <f t="shared" ca="1" si="169"/>
        <v>0</v>
      </c>
      <c r="Q1310" s="1013" t="s">
        <v>178</v>
      </c>
    </row>
    <row r="1311" spans="3:17" ht="15" customHeight="1">
      <c r="C1311" s="1014" t="s">
        <v>1156</v>
      </c>
      <c r="D1311" s="640"/>
      <c r="E1311" s="640"/>
      <c r="F1311" s="656">
        <v>60</v>
      </c>
      <c r="G1311" s="628" t="s">
        <v>150</v>
      </c>
      <c r="H1311" s="1037">
        <v>1.02</v>
      </c>
      <c r="I1311" s="609">
        <f ca="1">$P$1311/($F$1311/1000)</f>
        <v>0</v>
      </c>
      <c r="J1311" s="1013" t="s">
        <v>112</v>
      </c>
      <c r="N1311" s="1029">
        <v>0</v>
      </c>
      <c r="P1311" s="609">
        <f t="shared" ca="1" si="169"/>
        <v>0</v>
      </c>
      <c r="Q1311" s="1013" t="s">
        <v>178</v>
      </c>
    </row>
    <row r="1312" spans="3:17" ht="15" customHeight="1">
      <c r="C1312" s="1014" t="s">
        <v>1156</v>
      </c>
      <c r="D1312" s="640"/>
      <c r="E1312" s="640"/>
      <c r="F1312" s="656">
        <v>70</v>
      </c>
      <c r="G1312" s="628" t="s">
        <v>150</v>
      </c>
      <c r="H1312" s="1037">
        <v>1.02</v>
      </c>
      <c r="I1312" s="609">
        <f ca="1">$P$1312/($F$1312/1000)</f>
        <v>0</v>
      </c>
      <c r="J1312" s="1013" t="s">
        <v>112</v>
      </c>
      <c r="N1312" s="1029">
        <v>0</v>
      </c>
      <c r="P1312" s="609">
        <f t="shared" ca="1" si="169"/>
        <v>0</v>
      </c>
      <c r="Q1312" s="1013" t="s">
        <v>178</v>
      </c>
    </row>
    <row r="1313" spans="3:17" ht="15" customHeight="1">
      <c r="C1313" s="1014" t="s">
        <v>1156</v>
      </c>
      <c r="D1313" s="640"/>
      <c r="E1313" s="640"/>
      <c r="F1313" s="656">
        <v>80</v>
      </c>
      <c r="G1313" s="628" t="s">
        <v>150</v>
      </c>
      <c r="H1313" s="1037">
        <v>1.02</v>
      </c>
      <c r="I1313" s="609">
        <f ca="1">$P$1313/($F$1313/1000)</f>
        <v>0</v>
      </c>
      <c r="J1313" s="1013" t="s">
        <v>112</v>
      </c>
      <c r="N1313" s="1029">
        <v>0</v>
      </c>
      <c r="P1313" s="609">
        <f t="shared" ca="1" si="169"/>
        <v>0</v>
      </c>
      <c r="Q1313" s="1013" t="s">
        <v>178</v>
      </c>
    </row>
    <row r="1314" spans="3:17" ht="15" customHeight="1">
      <c r="C1314" s="1014" t="s">
        <v>1156</v>
      </c>
      <c r="D1314" s="640"/>
      <c r="E1314" s="640"/>
      <c r="F1314" s="656">
        <v>90</v>
      </c>
      <c r="G1314" s="628" t="s">
        <v>150</v>
      </c>
      <c r="H1314" s="1037">
        <v>1.02</v>
      </c>
      <c r="I1314" s="609">
        <f ca="1">$P$1314/($F$1314/1000)</f>
        <v>0</v>
      </c>
      <c r="J1314" s="1013" t="s">
        <v>112</v>
      </c>
      <c r="N1314" s="1029">
        <v>0</v>
      </c>
      <c r="P1314" s="609">
        <f t="shared" ca="1" si="169"/>
        <v>0</v>
      </c>
      <c r="Q1314" s="1013" t="s">
        <v>178</v>
      </c>
    </row>
    <row r="1315" spans="3:17" ht="15" customHeight="1">
      <c r="C1315" s="1014" t="s">
        <v>1156</v>
      </c>
      <c r="D1315" s="640"/>
      <c r="E1315" s="640"/>
      <c r="F1315" s="656">
        <v>100</v>
      </c>
      <c r="G1315" s="628" t="s">
        <v>150</v>
      </c>
      <c r="H1315" s="1037">
        <v>1.02</v>
      </c>
      <c r="I1315" s="609">
        <f ca="1">$P$1315/($F$1315/1000)</f>
        <v>0</v>
      </c>
      <c r="J1315" s="1013" t="s">
        <v>112</v>
      </c>
      <c r="N1315" s="1029">
        <v>0</v>
      </c>
      <c r="P1315" s="609">
        <f t="shared" ca="1" si="169"/>
        <v>0</v>
      </c>
      <c r="Q1315" s="1013" t="s">
        <v>178</v>
      </c>
    </row>
    <row r="1316" spans="3:17" ht="15" customHeight="1">
      <c r="C1316" s="1014" t="s">
        <v>792</v>
      </c>
      <c r="D1316" s="640"/>
      <c r="E1316" s="640"/>
      <c r="F1316" s="656">
        <v>60</v>
      </c>
      <c r="G1316" s="628" t="s">
        <v>150</v>
      </c>
      <c r="H1316" s="1037">
        <v>1.02</v>
      </c>
      <c r="I1316" s="609">
        <f ca="1">$P$1316/($F$1316/1000)</f>
        <v>0</v>
      </c>
      <c r="J1316" s="1013" t="s">
        <v>112</v>
      </c>
      <c r="N1316" s="1029">
        <v>0</v>
      </c>
      <c r="P1316" s="609">
        <f ca="1">SUMIFS($AF$79:$AF$152,$V$79:$V$152,F1316,$W$79:$W$152,$Y$39)</f>
        <v>0</v>
      </c>
      <c r="Q1316" s="1013" t="s">
        <v>178</v>
      </c>
    </row>
    <row r="1317" spans="3:17" ht="15" customHeight="1">
      <c r="C1317" s="1014" t="s">
        <v>792</v>
      </c>
      <c r="D1317" s="640"/>
      <c r="E1317" s="640"/>
      <c r="F1317" s="656">
        <v>110</v>
      </c>
      <c r="G1317" s="628" t="s">
        <v>150</v>
      </c>
      <c r="H1317" s="1037">
        <v>1.02</v>
      </c>
      <c r="I1317" s="609">
        <f ca="1">$P$1317/($F$1317/1000)</f>
        <v>0</v>
      </c>
      <c r="J1317" s="1013" t="s">
        <v>112</v>
      </c>
      <c r="N1317" s="1029">
        <v>0</v>
      </c>
      <c r="P1317" s="609">
        <f ca="1">SUMIFS($AF$79:$AF$152,$V$79:$V$152,F1317,$W$79:$W$152,$Y$39)</f>
        <v>0</v>
      </c>
      <c r="Q1317" s="1013" t="s">
        <v>178</v>
      </c>
    </row>
    <row r="1318" spans="3:17" ht="15" customHeight="1">
      <c r="C1318" s="1014" t="s">
        <v>1090</v>
      </c>
      <c r="D1318" s="640"/>
      <c r="E1318" s="640"/>
      <c r="F1318" s="656"/>
      <c r="G1318" s="628" t="str">
        <f t="shared" ref="G1318" si="170">" "</f>
        <v xml:space="preserve"> </v>
      </c>
      <c r="H1318" s="1037"/>
      <c r="I1318" s="611">
        <f ca="1">SUM($I$1316,$I$1317)*7*1.03</f>
        <v>0</v>
      </c>
      <c r="J1318" s="1013" t="s">
        <v>151</v>
      </c>
      <c r="N1318" s="1029">
        <v>0</v>
      </c>
    </row>
    <row r="1319" spans="3:17" ht="15" customHeight="1">
      <c r="C1319" s="1014" t="s">
        <v>911</v>
      </c>
      <c r="D1319" s="640"/>
      <c r="E1319" s="640"/>
      <c r="F1319" s="656"/>
      <c r="G1319" s="628"/>
      <c r="H1319" s="1037"/>
      <c r="I1319" s="611">
        <f ca="1">SUM($I$1316,$I$1317)*0.1</f>
        <v>0</v>
      </c>
      <c r="J1319" s="1013" t="s">
        <v>151</v>
      </c>
      <c r="N1319" s="1029">
        <v>0</v>
      </c>
      <c r="Q1319" s="106" t="s">
        <v>1127</v>
      </c>
    </row>
    <row r="1320" spans="3:17" ht="15" customHeight="1">
      <c r="C1320" s="1014" t="s">
        <v>464</v>
      </c>
      <c r="D1320" s="640"/>
      <c r="E1320" s="640"/>
      <c r="F1320" s="656">
        <v>100</v>
      </c>
      <c r="G1320" s="628" t="s">
        <v>150</v>
      </c>
      <c r="H1320" s="1037"/>
      <c r="I1320" s="611">
        <f>SUMIFS($AF$81:$AF$152,$Q$81:$Q$152,$Z$18,$W$81:$W$152,$Y$39,$V$81:$V$152,$F$1316)/($F$1316/1000)*7*1.03</f>
        <v>0</v>
      </c>
      <c r="J1320" s="1013" t="s">
        <v>151</v>
      </c>
      <c r="N1320" s="1029">
        <v>0</v>
      </c>
      <c r="Q1320" s="106" t="s">
        <v>912</v>
      </c>
    </row>
    <row r="1321" spans="3:17" ht="15" customHeight="1">
      <c r="C1321" s="1014" t="s">
        <v>531</v>
      </c>
      <c r="D1321" s="640"/>
      <c r="E1321" s="640"/>
      <c r="F1321" s="656">
        <v>100</v>
      </c>
      <c r="G1321" s="628" t="s">
        <v>150</v>
      </c>
      <c r="H1321" s="1037"/>
      <c r="I1321" s="611">
        <f>SUMIFS($AF$81:$AF$152,$Q$81:$Q$152,$Z$17,$W$81:$W$152,$Y$39,$V$81:$V$152,$F$1316)/($F$1316/1000)*7*1.03</f>
        <v>0</v>
      </c>
      <c r="J1321" s="1013" t="s">
        <v>151</v>
      </c>
      <c r="N1321" s="1029">
        <v>0</v>
      </c>
      <c r="Q1321" s="106"/>
    </row>
    <row r="1322" spans="3:17" ht="15" customHeight="1">
      <c r="C1322" s="1014" t="s">
        <v>531</v>
      </c>
      <c r="D1322" s="640"/>
      <c r="E1322" s="640"/>
      <c r="F1322" s="656">
        <v>160</v>
      </c>
      <c r="G1322" s="628" t="s">
        <v>150</v>
      </c>
      <c r="H1322" s="1037" t="str">
        <f t="shared" ref="H1322" si="171">" "</f>
        <v xml:space="preserve"> </v>
      </c>
      <c r="I1322" s="611">
        <f ca="1">IF($I$1317&gt;0,$I$1317*7*1.03,0)</f>
        <v>0</v>
      </c>
      <c r="J1322" s="1013" t="s">
        <v>190</v>
      </c>
      <c r="N1322" s="1029">
        <v>0</v>
      </c>
    </row>
    <row r="1323" spans="3:17" ht="15" customHeight="1">
      <c r="C1323" s="626" t="s">
        <v>189</v>
      </c>
      <c r="D1323" s="627"/>
      <c r="E1323" s="627"/>
      <c r="F1323" s="627"/>
      <c r="G1323" s="628" t="str">
        <f t="shared" ref="G1323" si="172">" "</f>
        <v xml:space="preserve"> </v>
      </c>
      <c r="H1323" s="608"/>
      <c r="I1323" s="611">
        <f>SUMIFS($AF$81:$AF$152,$Q$81:$Q$152,$Z$18,$W$81:$W$152,$Y$39,$V$81:$V$152,$F$1316)/($F$1316/1000)*7*1.03+SUMIFS($AF$81:$AF$152,$Q$81:$Q$152,$Z$18,$W$81:$W$152,$Y$39,$V$81:$V$152,$F$1317)/($F$1317/1000)*7*1.03+SUMIFS($AF$81:$AF$152,$Q$81:$Q$152,$Z$20,$W$81:$W$152,$Y$39,$V$81:$V$152,$F$1316)/($F$1316/1000)*7*1.03+SUMIFS($AF$81:$AF$152,$Q$81:$Q$152,$Z$20,$W$81:$W$152,$Y$39,$V$81:$V$152,$F$1317)/($F$1317/1000)*7*1.03</f>
        <v>0</v>
      </c>
      <c r="J1323" s="1013" t="s">
        <v>151</v>
      </c>
      <c r="N1323" s="1029">
        <v>0</v>
      </c>
    </row>
    <row r="1324" spans="3:17" ht="15" customHeight="1">
      <c r="C1324" s="763" t="s">
        <v>453</v>
      </c>
      <c r="D1324" s="640"/>
      <c r="E1324" s="640"/>
      <c r="F1324" s="627">
        <v>20</v>
      </c>
      <c r="G1324" s="628" t="s">
        <v>150</v>
      </c>
      <c r="H1324" s="608">
        <v>1.03</v>
      </c>
      <c r="I1324" s="711">
        <f ca="1">SUMIFS($AF$79:$AF$152,$V$79:$V$152,F1324,$W$79:$W$152,$Y$40)</f>
        <v>0</v>
      </c>
      <c r="J1324" s="1013" t="s">
        <v>178</v>
      </c>
      <c r="N1324" s="1029">
        <v>0</v>
      </c>
    </row>
    <row r="1325" spans="3:17" ht="15" customHeight="1">
      <c r="C1325" s="626" t="s">
        <v>453</v>
      </c>
      <c r="D1325" s="640"/>
      <c r="E1325" s="640"/>
      <c r="F1325" s="627">
        <v>30</v>
      </c>
      <c r="G1325" s="628" t="s">
        <v>150</v>
      </c>
      <c r="H1325" s="608">
        <v>1.03</v>
      </c>
      <c r="I1325" s="711">
        <f t="shared" ref="I1325:I1328" ca="1" si="173">SUMIFS($AF$79:$AF$152,$V$79:$V$152,F1325,$W$79:$W$152,$Y$40)</f>
        <v>0</v>
      </c>
      <c r="J1325" s="1013" t="s">
        <v>178</v>
      </c>
      <c r="N1325" s="1029">
        <v>0</v>
      </c>
    </row>
    <row r="1326" spans="3:17" ht="15" customHeight="1">
      <c r="C1326" s="626" t="s">
        <v>453</v>
      </c>
      <c r="D1326" s="640"/>
      <c r="E1326" s="640"/>
      <c r="F1326" s="627">
        <v>40</v>
      </c>
      <c r="G1326" s="628" t="s">
        <v>150</v>
      </c>
      <c r="H1326" s="608">
        <v>1.03</v>
      </c>
      <c r="I1326" s="711">
        <f t="shared" ca="1" si="173"/>
        <v>0</v>
      </c>
      <c r="J1326" s="1013" t="s">
        <v>178</v>
      </c>
      <c r="N1326" s="1029">
        <v>0</v>
      </c>
    </row>
    <row r="1327" spans="3:17" ht="15" customHeight="1">
      <c r="C1327" s="626" t="s">
        <v>453</v>
      </c>
      <c r="D1327" s="640"/>
      <c r="E1327" s="640"/>
      <c r="F1327" s="627">
        <v>50</v>
      </c>
      <c r="G1327" s="628" t="s">
        <v>150</v>
      </c>
      <c r="H1327" s="608">
        <v>1.03</v>
      </c>
      <c r="I1327" s="711">
        <f t="shared" ca="1" si="173"/>
        <v>0</v>
      </c>
      <c r="J1327" s="1013" t="s">
        <v>178</v>
      </c>
      <c r="N1327" s="1029">
        <v>0</v>
      </c>
    </row>
    <row r="1328" spans="3:17" ht="15" customHeight="1">
      <c r="C1328" s="626" t="s">
        <v>453</v>
      </c>
      <c r="D1328" s="640"/>
      <c r="E1328" s="640"/>
      <c r="F1328" s="627">
        <v>100</v>
      </c>
      <c r="G1328" s="628" t="s">
        <v>150</v>
      </c>
      <c r="H1328" s="608">
        <v>1.03</v>
      </c>
      <c r="I1328" s="711">
        <f t="shared" ca="1" si="173"/>
        <v>0</v>
      </c>
      <c r="J1328" s="1013" t="s">
        <v>178</v>
      </c>
      <c r="N1328" s="1029">
        <v>0</v>
      </c>
    </row>
    <row r="1329" spans="3:14" ht="15" customHeight="1">
      <c r="C1329" s="763" t="s">
        <v>452</v>
      </c>
      <c r="D1329" s="640"/>
      <c r="E1329" s="640"/>
      <c r="F1329" s="656">
        <v>40</v>
      </c>
      <c r="G1329" s="628" t="s">
        <v>150</v>
      </c>
      <c r="H1329" s="608">
        <v>1.03</v>
      </c>
      <c r="I1329" s="711">
        <f ca="1">SUMIFS($AF$79:$AF$152,$V$79:$V$152,F1329,$W$79:$W$152,$Y$41)</f>
        <v>0</v>
      </c>
      <c r="J1329" s="1013" t="s">
        <v>178</v>
      </c>
      <c r="N1329" s="1029">
        <v>0</v>
      </c>
    </row>
    <row r="1330" spans="3:14" ht="15" customHeight="1">
      <c r="C1330" s="626" t="s">
        <v>452</v>
      </c>
      <c r="D1330" s="640"/>
      <c r="E1330" s="640"/>
      <c r="F1330" s="627">
        <v>50</v>
      </c>
      <c r="G1330" s="628" t="s">
        <v>150</v>
      </c>
      <c r="H1330" s="608">
        <v>1.03</v>
      </c>
      <c r="I1330" s="711">
        <f t="shared" ref="I1330:I1333" ca="1" si="174">SUMIFS($AF$79:$AF$152,$V$79:$V$152,F1330,$W$79:$W$152,$Y$41)</f>
        <v>0</v>
      </c>
      <c r="J1330" s="1013" t="s">
        <v>178</v>
      </c>
      <c r="N1330" s="1029">
        <v>0</v>
      </c>
    </row>
    <row r="1331" spans="3:14" ht="15" customHeight="1">
      <c r="C1331" s="626" t="s">
        <v>452</v>
      </c>
      <c r="D1331" s="640"/>
      <c r="E1331" s="640"/>
      <c r="F1331" s="627">
        <v>60</v>
      </c>
      <c r="G1331" s="628" t="s">
        <v>150</v>
      </c>
      <c r="H1331" s="608">
        <v>1.03</v>
      </c>
      <c r="I1331" s="711">
        <f t="shared" ca="1" si="174"/>
        <v>0</v>
      </c>
      <c r="J1331" s="1013" t="s">
        <v>178</v>
      </c>
      <c r="N1331" s="1029">
        <v>0</v>
      </c>
    </row>
    <row r="1332" spans="3:14" ht="15" customHeight="1">
      <c r="C1332" s="626" t="s">
        <v>452</v>
      </c>
      <c r="D1332" s="640"/>
      <c r="E1332" s="640"/>
      <c r="F1332" s="627">
        <v>80</v>
      </c>
      <c r="G1332" s="628" t="s">
        <v>150</v>
      </c>
      <c r="H1332" s="608">
        <v>1.03</v>
      </c>
      <c r="I1332" s="711">
        <f t="shared" ca="1" si="174"/>
        <v>0</v>
      </c>
      <c r="J1332" s="1013" t="s">
        <v>178</v>
      </c>
      <c r="N1332" s="1029">
        <v>0</v>
      </c>
    </row>
    <row r="1333" spans="3:14" ht="15" customHeight="1">
      <c r="C1333" s="626" t="s">
        <v>452</v>
      </c>
      <c r="D1333" s="640"/>
      <c r="E1333" s="640"/>
      <c r="F1333" s="627">
        <v>100</v>
      </c>
      <c r="G1333" s="628" t="s">
        <v>150</v>
      </c>
      <c r="H1333" s="608">
        <v>1.03</v>
      </c>
      <c r="I1333" s="711">
        <f t="shared" ca="1" si="174"/>
        <v>0</v>
      </c>
      <c r="J1333" s="1013" t="s">
        <v>178</v>
      </c>
      <c r="N1333" s="1029">
        <v>0</v>
      </c>
    </row>
  </sheetData>
  <autoFilter ref="I1148:I1323"/>
  <dataConsolidate topLabels="1">
    <dataRefs count="3">
      <dataRef ref="P232:Q265" sheet="ТИП" r:id="rId1"/>
      <dataRef ref="S232:T265" sheet="ТИП" r:id="rId2"/>
      <dataRef ref="V232:W265" sheet="ТИП" r:id="rId3"/>
    </dataRefs>
  </dataConsolidate>
  <mergeCells count="594">
    <mergeCell ref="A1:L1"/>
    <mergeCell ref="J2:K2"/>
    <mergeCell ref="J3:K3"/>
    <mergeCell ref="J4:K4"/>
    <mergeCell ref="B5:E7"/>
    <mergeCell ref="F5:J7"/>
    <mergeCell ref="K5:L7"/>
    <mergeCell ref="AB12:AB13"/>
    <mergeCell ref="AC12:AD13"/>
    <mergeCell ref="V6:V7"/>
    <mergeCell ref="W6:W7"/>
    <mergeCell ref="B8:B10"/>
    <mergeCell ref="C8:G10"/>
    <mergeCell ref="H8:H10"/>
    <mergeCell ref="I8:I10"/>
    <mergeCell ref="J8:J10"/>
    <mergeCell ref="K8:K10"/>
    <mergeCell ref="L8:L10"/>
    <mergeCell ref="N8:N9"/>
    <mergeCell ref="P6:P7"/>
    <mergeCell ref="Q6:Q7"/>
    <mergeCell ref="R6:R7"/>
    <mergeCell ref="S6:S7"/>
    <mergeCell ref="T6:T7"/>
    <mergeCell ref="U6:U7"/>
    <mergeCell ref="W14:W15"/>
    <mergeCell ref="S16:T17"/>
    <mergeCell ref="U16:U17"/>
    <mergeCell ref="V16:V17"/>
    <mergeCell ref="W16:W17"/>
    <mergeCell ref="C11:G11"/>
    <mergeCell ref="T11:U11"/>
    <mergeCell ref="S12:T13"/>
    <mergeCell ref="U12:U13"/>
    <mergeCell ref="C63:G63"/>
    <mergeCell ref="C64:G64"/>
    <mergeCell ref="C65:G65"/>
    <mergeCell ref="C66:G66"/>
    <mergeCell ref="C67:G67"/>
    <mergeCell ref="C68:G68"/>
    <mergeCell ref="S14:T15"/>
    <mergeCell ref="U14:U15"/>
    <mergeCell ref="V14:V15"/>
    <mergeCell ref="C69:G69"/>
    <mergeCell ref="A71:L71"/>
    <mergeCell ref="P72:V72"/>
    <mergeCell ref="J73:K73"/>
    <mergeCell ref="P73:P74"/>
    <mergeCell ref="Q73:R73"/>
    <mergeCell ref="S73:S74"/>
    <mergeCell ref="T73:T74"/>
    <mergeCell ref="U73:U74"/>
    <mergeCell ref="V73:V74"/>
    <mergeCell ref="AK93:AL93"/>
    <mergeCell ref="Y73:Y74"/>
    <mergeCell ref="Z73:Z74"/>
    <mergeCell ref="AA73:AA74"/>
    <mergeCell ref="AB73:AB74"/>
    <mergeCell ref="B75:F77"/>
    <mergeCell ref="G75:J77"/>
    <mergeCell ref="K75:L77"/>
    <mergeCell ref="O76:O78"/>
    <mergeCell ref="B78:B80"/>
    <mergeCell ref="C78:H80"/>
    <mergeCell ref="Y79:AE79"/>
    <mergeCell ref="R113:S113"/>
    <mergeCell ref="AF79:AF80"/>
    <mergeCell ref="AG79:AH79"/>
    <mergeCell ref="AI79:AJ79"/>
    <mergeCell ref="AK79:AL79"/>
    <mergeCell ref="C81:H81"/>
    <mergeCell ref="I78:I80"/>
    <mergeCell ref="J78:J80"/>
    <mergeCell ref="K78:K80"/>
    <mergeCell ref="L78:L80"/>
    <mergeCell ref="O79:O101"/>
    <mergeCell ref="P79:T79"/>
    <mergeCell ref="P86:T86"/>
    <mergeCell ref="Y86:AE86"/>
    <mergeCell ref="AF86:AF87"/>
    <mergeCell ref="AG86:AH86"/>
    <mergeCell ref="AI86:AJ86"/>
    <mergeCell ref="AK86:AL86"/>
    <mergeCell ref="P93:P101"/>
    <mergeCell ref="Q93:T93"/>
    <mergeCell ref="Y93:AE93"/>
    <mergeCell ref="AF93:AF94"/>
    <mergeCell ref="AG93:AH93"/>
    <mergeCell ref="AI93:AJ93"/>
    <mergeCell ref="P110:Q110"/>
    <mergeCell ref="R110:S110"/>
    <mergeCell ref="P111:Q111"/>
    <mergeCell ref="R111:S111"/>
    <mergeCell ref="P112:Q112"/>
    <mergeCell ref="R112:S112"/>
    <mergeCell ref="Q99:S99"/>
    <mergeCell ref="Y99:AC99"/>
    <mergeCell ref="P103:U103"/>
    <mergeCell ref="P108:Q108"/>
    <mergeCell ref="R108:S108"/>
    <mergeCell ref="V108:V109"/>
    <mergeCell ref="P109:Q109"/>
    <mergeCell ref="R109:S109"/>
    <mergeCell ref="G130:J132"/>
    <mergeCell ref="K130:L132"/>
    <mergeCell ref="P130:T130"/>
    <mergeCell ref="Y130:AE130"/>
    <mergeCell ref="O131:O145"/>
    <mergeCell ref="P131:P132"/>
    <mergeCell ref="Q131:Q132"/>
    <mergeCell ref="R131:R132"/>
    <mergeCell ref="B118:L119"/>
    <mergeCell ref="C120:L122"/>
    <mergeCell ref="C123:L125"/>
    <mergeCell ref="C126:L128"/>
    <mergeCell ref="A129:L129"/>
    <mergeCell ref="F142:H142"/>
    <mergeCell ref="J142:K142"/>
    <mergeCell ref="F143:H143"/>
    <mergeCell ref="J143:K143"/>
    <mergeCell ref="F144:H144"/>
    <mergeCell ref="J144:K144"/>
    <mergeCell ref="F139:H139"/>
    <mergeCell ref="J139:K139"/>
    <mergeCell ref="P139:P140"/>
    <mergeCell ref="Q139:Q140"/>
    <mergeCell ref="R139:R140"/>
    <mergeCell ref="AI131:AJ131"/>
    <mergeCell ref="AK131:AL131"/>
    <mergeCell ref="AC131:AC132"/>
    <mergeCell ref="AD131:AD132"/>
    <mergeCell ref="AE131:AE132"/>
    <mergeCell ref="AF131:AF132"/>
    <mergeCell ref="AG131:AH131"/>
    <mergeCell ref="S131:S132"/>
    <mergeCell ref="B133:B135"/>
    <mergeCell ref="C133:C135"/>
    <mergeCell ref="D133:D135"/>
    <mergeCell ref="E133:E135"/>
    <mergeCell ref="F133:H135"/>
    <mergeCell ref="I133:I135"/>
    <mergeCell ref="J133:K135"/>
    <mergeCell ref="L133:L135"/>
    <mergeCell ref="AB131:AB132"/>
    <mergeCell ref="T131:T132"/>
    <mergeCell ref="U131:U132"/>
    <mergeCell ref="V131:V132"/>
    <mergeCell ref="W131:W132"/>
    <mergeCell ref="Y131:Z131"/>
    <mergeCell ref="AA131:AA132"/>
    <mergeCell ref="B130:F132"/>
    <mergeCell ref="AG133:AH137"/>
    <mergeCell ref="AI133:AJ137"/>
    <mergeCell ref="AK133:AL137"/>
    <mergeCell ref="F136:H136"/>
    <mergeCell ref="J136:K136"/>
    <mergeCell ref="F137:H137"/>
    <mergeCell ref="J137:K137"/>
    <mergeCell ref="F138:H138"/>
    <mergeCell ref="J138:K138"/>
    <mergeCell ref="P138:T138"/>
    <mergeCell ref="Y138:AE138"/>
    <mergeCell ref="S139:S140"/>
    <mergeCell ref="AI139:AJ139"/>
    <mergeCell ref="AK139:AL139"/>
    <mergeCell ref="F140:H140"/>
    <mergeCell ref="J140:K140"/>
    <mergeCell ref="F141:H141"/>
    <mergeCell ref="J141:K141"/>
    <mergeCell ref="AA141:AD145"/>
    <mergeCell ref="AG141:AH145"/>
    <mergeCell ref="AI141:AJ145"/>
    <mergeCell ref="AK141:AL145"/>
    <mergeCell ref="AB139:AB140"/>
    <mergeCell ref="AC139:AC140"/>
    <mergeCell ref="AD139:AD140"/>
    <mergeCell ref="AE139:AE140"/>
    <mergeCell ref="AF139:AF140"/>
    <mergeCell ref="AG139:AH139"/>
    <mergeCell ref="T139:T140"/>
    <mergeCell ref="U139:U140"/>
    <mergeCell ref="V139:V140"/>
    <mergeCell ref="W139:W140"/>
    <mergeCell ref="Y139:Z139"/>
    <mergeCell ref="AA139:AA140"/>
    <mergeCell ref="F145:H145"/>
    <mergeCell ref="J145:K145"/>
    <mergeCell ref="Y146:AE146"/>
    <mergeCell ref="F147:H147"/>
    <mergeCell ref="J147:K147"/>
    <mergeCell ref="P147:P148"/>
    <mergeCell ref="Q147:Q148"/>
    <mergeCell ref="R147:R148"/>
    <mergeCell ref="S147:S148"/>
    <mergeCell ref="T147:T148"/>
    <mergeCell ref="U147:U148"/>
    <mergeCell ref="V147:V148"/>
    <mergeCell ref="AE147:AE148"/>
    <mergeCell ref="F146:H146"/>
    <mergeCell ref="J146:K146"/>
    <mergeCell ref="O146:O152"/>
    <mergeCell ref="Q146:T146"/>
    <mergeCell ref="F149:H149"/>
    <mergeCell ref="J149:K149"/>
    <mergeCell ref="AF147:AF148"/>
    <mergeCell ref="AG147:AH147"/>
    <mergeCell ref="AI147:AJ147"/>
    <mergeCell ref="AK147:AL147"/>
    <mergeCell ref="F148:H148"/>
    <mergeCell ref="J148:K148"/>
    <mergeCell ref="W147:W148"/>
    <mergeCell ref="Y147:Z147"/>
    <mergeCell ref="AA147:AA148"/>
    <mergeCell ref="AB147:AB148"/>
    <mergeCell ref="AC147:AC148"/>
    <mergeCell ref="AD147:AD148"/>
    <mergeCell ref="AG149:AH152"/>
    <mergeCell ref="AI149:AJ152"/>
    <mergeCell ref="AK149:AL152"/>
    <mergeCell ref="F150:H150"/>
    <mergeCell ref="J150:K150"/>
    <mergeCell ref="F151:H151"/>
    <mergeCell ref="J151:K151"/>
    <mergeCell ref="F152:H152"/>
    <mergeCell ref="J152:K152"/>
    <mergeCell ref="F153:H153"/>
    <mergeCell ref="J153:K153"/>
    <mergeCell ref="Q153:Q156"/>
    <mergeCell ref="R153:T153"/>
    <mergeCell ref="Y153:Z153"/>
    <mergeCell ref="F154:H154"/>
    <mergeCell ref="J154:K154"/>
    <mergeCell ref="R154:R155"/>
    <mergeCell ref="S154:S155"/>
    <mergeCell ref="T154:T155"/>
    <mergeCell ref="F158:H158"/>
    <mergeCell ref="J158:K158"/>
    <mergeCell ref="F159:H159"/>
    <mergeCell ref="J159:K159"/>
    <mergeCell ref="F160:H160"/>
    <mergeCell ref="J160:K160"/>
    <mergeCell ref="Y154:Z154"/>
    <mergeCell ref="F155:H155"/>
    <mergeCell ref="J155:K155"/>
    <mergeCell ref="F156:H156"/>
    <mergeCell ref="J156:K156"/>
    <mergeCell ref="F157:H157"/>
    <mergeCell ref="J157:K157"/>
    <mergeCell ref="F164:H164"/>
    <mergeCell ref="J164:K164"/>
    <mergeCell ref="F165:H165"/>
    <mergeCell ref="J165:K165"/>
    <mergeCell ref="P165:Q165"/>
    <mergeCell ref="R165:S165"/>
    <mergeCell ref="P160:U160"/>
    <mergeCell ref="F161:H161"/>
    <mergeCell ref="J161:K161"/>
    <mergeCell ref="F162:H162"/>
    <mergeCell ref="J162:K162"/>
    <mergeCell ref="F163:H163"/>
    <mergeCell ref="J163:K163"/>
    <mergeCell ref="F168:H168"/>
    <mergeCell ref="J168:K168"/>
    <mergeCell ref="F169:H169"/>
    <mergeCell ref="J169:K169"/>
    <mergeCell ref="F170:H170"/>
    <mergeCell ref="J170:K170"/>
    <mergeCell ref="V165:V166"/>
    <mergeCell ref="F166:H166"/>
    <mergeCell ref="J166:K166"/>
    <mergeCell ref="P166:Q166"/>
    <mergeCell ref="R166:S166"/>
    <mergeCell ref="F167:H167"/>
    <mergeCell ref="J167:K167"/>
    <mergeCell ref="P167:Q167"/>
    <mergeCell ref="R167:S167"/>
    <mergeCell ref="F173:H173"/>
    <mergeCell ref="J173:K173"/>
    <mergeCell ref="S173:U173"/>
    <mergeCell ref="F174:H174"/>
    <mergeCell ref="J174:K174"/>
    <mergeCell ref="S174:U174"/>
    <mergeCell ref="P170:P171"/>
    <mergeCell ref="R170:S170"/>
    <mergeCell ref="F171:H171"/>
    <mergeCell ref="J171:K171"/>
    <mergeCell ref="S171:U171"/>
    <mergeCell ref="F172:H172"/>
    <mergeCell ref="J172:K172"/>
    <mergeCell ref="S172:U172"/>
    <mergeCell ref="F177:H177"/>
    <mergeCell ref="J177:K177"/>
    <mergeCell ref="F178:H178"/>
    <mergeCell ref="J178:K178"/>
    <mergeCell ref="F179:H179"/>
    <mergeCell ref="J179:K179"/>
    <mergeCell ref="F175:H175"/>
    <mergeCell ref="J175:K175"/>
    <mergeCell ref="S175:U175"/>
    <mergeCell ref="F176:H176"/>
    <mergeCell ref="J176:K176"/>
    <mergeCell ref="S176:U176"/>
    <mergeCell ref="F183:H183"/>
    <mergeCell ref="J183:K183"/>
    <mergeCell ref="F184:H184"/>
    <mergeCell ref="J184:K184"/>
    <mergeCell ref="F185:H185"/>
    <mergeCell ref="J185:K185"/>
    <mergeCell ref="F180:H180"/>
    <mergeCell ref="J180:K180"/>
    <mergeCell ref="F181:H181"/>
    <mergeCell ref="J181:K181"/>
    <mergeCell ref="F182:H182"/>
    <mergeCell ref="J182:K182"/>
    <mergeCell ref="F189:H189"/>
    <mergeCell ref="J189:K189"/>
    <mergeCell ref="F190:H190"/>
    <mergeCell ref="J190:K190"/>
    <mergeCell ref="F191:H191"/>
    <mergeCell ref="J191:K191"/>
    <mergeCell ref="F186:H186"/>
    <mergeCell ref="J186:K186"/>
    <mergeCell ref="F187:H187"/>
    <mergeCell ref="J187:K187"/>
    <mergeCell ref="F188:H188"/>
    <mergeCell ref="J188:K188"/>
    <mergeCell ref="F195:H195"/>
    <mergeCell ref="J195:K195"/>
    <mergeCell ref="F196:H196"/>
    <mergeCell ref="J196:K196"/>
    <mergeCell ref="F197:H197"/>
    <mergeCell ref="J197:K197"/>
    <mergeCell ref="F192:H192"/>
    <mergeCell ref="J192:K192"/>
    <mergeCell ref="F193:H193"/>
    <mergeCell ref="J193:K193"/>
    <mergeCell ref="F194:H194"/>
    <mergeCell ref="J194:K194"/>
    <mergeCell ref="F201:H201"/>
    <mergeCell ref="J201:K201"/>
    <mergeCell ref="F202:H202"/>
    <mergeCell ref="J202:K202"/>
    <mergeCell ref="F203:H203"/>
    <mergeCell ref="J203:K203"/>
    <mergeCell ref="F198:H198"/>
    <mergeCell ref="J198:K198"/>
    <mergeCell ref="F199:H199"/>
    <mergeCell ref="J199:K199"/>
    <mergeCell ref="F200:H200"/>
    <mergeCell ref="J200:K200"/>
    <mergeCell ref="F207:H207"/>
    <mergeCell ref="J207:K207"/>
    <mergeCell ref="F208:H208"/>
    <mergeCell ref="J208:K208"/>
    <mergeCell ref="F209:H209"/>
    <mergeCell ref="J209:K209"/>
    <mergeCell ref="F204:H204"/>
    <mergeCell ref="J204:K204"/>
    <mergeCell ref="F205:H205"/>
    <mergeCell ref="J205:K205"/>
    <mergeCell ref="F206:H206"/>
    <mergeCell ref="J206:K206"/>
    <mergeCell ref="F213:H213"/>
    <mergeCell ref="J213:K213"/>
    <mergeCell ref="F214:H214"/>
    <mergeCell ref="J214:K214"/>
    <mergeCell ref="F215:H215"/>
    <mergeCell ref="J215:K215"/>
    <mergeCell ref="F210:H210"/>
    <mergeCell ref="J210:K210"/>
    <mergeCell ref="F211:H211"/>
    <mergeCell ref="J211:K211"/>
    <mergeCell ref="F212:H212"/>
    <mergeCell ref="J212:K212"/>
    <mergeCell ref="F216:H216"/>
    <mergeCell ref="J216:K216"/>
    <mergeCell ref="B218:F220"/>
    <mergeCell ref="G218:J220"/>
    <mergeCell ref="K218:L220"/>
    <mergeCell ref="B221:B223"/>
    <mergeCell ref="C221:C223"/>
    <mergeCell ref="D221:D223"/>
    <mergeCell ref="E221:E223"/>
    <mergeCell ref="F221:H223"/>
    <mergeCell ref="F229:H229"/>
    <mergeCell ref="F230:H230"/>
    <mergeCell ref="F231:H231"/>
    <mergeCell ref="Y231:Z231"/>
    <mergeCell ref="AA231:AB231"/>
    <mergeCell ref="AC231:AD231"/>
    <mergeCell ref="I221:I223"/>
    <mergeCell ref="F224:H224"/>
    <mergeCell ref="F225:H225"/>
    <mergeCell ref="F226:H226"/>
    <mergeCell ref="F227:H227"/>
    <mergeCell ref="F228:H228"/>
    <mergeCell ref="F238:H238"/>
    <mergeCell ref="F239:H239"/>
    <mergeCell ref="F240:H240"/>
    <mergeCell ref="F241:H241"/>
    <mergeCell ref="F242:H242"/>
    <mergeCell ref="F243:H243"/>
    <mergeCell ref="W232:W233"/>
    <mergeCell ref="F233:H233"/>
    <mergeCell ref="F234:H234"/>
    <mergeCell ref="F235:H235"/>
    <mergeCell ref="F236:H236"/>
    <mergeCell ref="F237:H237"/>
    <mergeCell ref="F232:H232"/>
    <mergeCell ref="P232:P233"/>
    <mergeCell ref="Q232:Q233"/>
    <mergeCell ref="S232:S233"/>
    <mergeCell ref="T232:T233"/>
    <mergeCell ref="V232:V233"/>
    <mergeCell ref="F250:H250"/>
    <mergeCell ref="F251:H251"/>
    <mergeCell ref="F252:H252"/>
    <mergeCell ref="F253:H253"/>
    <mergeCell ref="F254:H254"/>
    <mergeCell ref="F255:H255"/>
    <mergeCell ref="F244:H244"/>
    <mergeCell ref="F245:H245"/>
    <mergeCell ref="F246:H246"/>
    <mergeCell ref="F247:H247"/>
    <mergeCell ref="F248:H248"/>
    <mergeCell ref="F249:H249"/>
    <mergeCell ref="F262:H262"/>
    <mergeCell ref="F263:H263"/>
    <mergeCell ref="F264:H264"/>
    <mergeCell ref="F265:H265"/>
    <mergeCell ref="F266:H266"/>
    <mergeCell ref="F267:H267"/>
    <mergeCell ref="F256:H256"/>
    <mergeCell ref="F257:H257"/>
    <mergeCell ref="F258:H258"/>
    <mergeCell ref="F259:H259"/>
    <mergeCell ref="F260:H260"/>
    <mergeCell ref="F261:H261"/>
    <mergeCell ref="F274:H274"/>
    <mergeCell ref="F275:H275"/>
    <mergeCell ref="F276:H276"/>
    <mergeCell ref="F277:H277"/>
    <mergeCell ref="F278:H278"/>
    <mergeCell ref="F279:H279"/>
    <mergeCell ref="F268:H268"/>
    <mergeCell ref="F269:H269"/>
    <mergeCell ref="F270:H270"/>
    <mergeCell ref="F271:H271"/>
    <mergeCell ref="F272:H272"/>
    <mergeCell ref="F273:H273"/>
    <mergeCell ref="F286:H286"/>
    <mergeCell ref="F287:H287"/>
    <mergeCell ref="F288:H288"/>
    <mergeCell ref="F289:H289"/>
    <mergeCell ref="F290:H290"/>
    <mergeCell ref="F291:H291"/>
    <mergeCell ref="F280:H280"/>
    <mergeCell ref="F281:H281"/>
    <mergeCell ref="F282:H282"/>
    <mergeCell ref="F283:H283"/>
    <mergeCell ref="F284:H284"/>
    <mergeCell ref="F285:H285"/>
    <mergeCell ref="AN300:AS300"/>
    <mergeCell ref="AD301:AF301"/>
    <mergeCell ref="AG301:AI301"/>
    <mergeCell ref="AJ301:AL301"/>
    <mergeCell ref="AN301:AP301"/>
    <mergeCell ref="AQ301:AS301"/>
    <mergeCell ref="F292:H292"/>
    <mergeCell ref="F293:H293"/>
    <mergeCell ref="F294:H294"/>
    <mergeCell ref="F295:H295"/>
    <mergeCell ref="A300:L300"/>
    <mergeCell ref="AD300:AL300"/>
    <mergeCell ref="B305:B307"/>
    <mergeCell ref="C305:G307"/>
    <mergeCell ref="H305:H307"/>
    <mergeCell ref="I305:I307"/>
    <mergeCell ref="J305:J307"/>
    <mergeCell ref="K305:K307"/>
    <mergeCell ref="L305:L307"/>
    <mergeCell ref="B302:F304"/>
    <mergeCell ref="G302:J304"/>
    <mergeCell ref="K302:L304"/>
    <mergeCell ref="C324:K324"/>
    <mergeCell ref="C339:K339"/>
    <mergeCell ref="C354:K354"/>
    <mergeCell ref="C369:K369"/>
    <mergeCell ref="AD378:AL378"/>
    <mergeCell ref="AD379:AF379"/>
    <mergeCell ref="AG379:AI379"/>
    <mergeCell ref="AJ379:AL379"/>
    <mergeCell ref="AS303:AS305"/>
    <mergeCell ref="AO303:AO323"/>
    <mergeCell ref="AP303:AP305"/>
    <mergeCell ref="AR303:AR323"/>
    <mergeCell ref="C308:G308"/>
    <mergeCell ref="C309:K309"/>
    <mergeCell ref="C474:K474"/>
    <mergeCell ref="C489:K489"/>
    <mergeCell ref="C504:K504"/>
    <mergeCell ref="C519:K519"/>
    <mergeCell ref="C534:K534"/>
    <mergeCell ref="C549:K549"/>
    <mergeCell ref="C384:K384"/>
    <mergeCell ref="C399:K399"/>
    <mergeCell ref="C414:K414"/>
    <mergeCell ref="C429:K429"/>
    <mergeCell ref="C444:K444"/>
    <mergeCell ref="C459:K459"/>
    <mergeCell ref="C654:K654"/>
    <mergeCell ref="C669:K669"/>
    <mergeCell ref="C684:K684"/>
    <mergeCell ref="C699:K699"/>
    <mergeCell ref="C714:K714"/>
    <mergeCell ref="C729:K729"/>
    <mergeCell ref="C564:K564"/>
    <mergeCell ref="C579:K579"/>
    <mergeCell ref="C594:K594"/>
    <mergeCell ref="C609:K609"/>
    <mergeCell ref="C624:K624"/>
    <mergeCell ref="C639:K639"/>
    <mergeCell ref="R825:T826"/>
    <mergeCell ref="U825:U826"/>
    <mergeCell ref="P827:Q827"/>
    <mergeCell ref="R827:T827"/>
    <mergeCell ref="P828:Q828"/>
    <mergeCell ref="R828:T828"/>
    <mergeCell ref="C744:K744"/>
    <mergeCell ref="C759:K759"/>
    <mergeCell ref="C774:K774"/>
    <mergeCell ref="L804:L806"/>
    <mergeCell ref="L824:L826"/>
    <mergeCell ref="P825:Q826"/>
    <mergeCell ref="P832:Q832"/>
    <mergeCell ref="R832:T832"/>
    <mergeCell ref="P833:Q833"/>
    <mergeCell ref="R833:T833"/>
    <mergeCell ref="P834:Q834"/>
    <mergeCell ref="R834:T834"/>
    <mergeCell ref="P829:Q829"/>
    <mergeCell ref="R829:T829"/>
    <mergeCell ref="P830:Q830"/>
    <mergeCell ref="R830:T830"/>
    <mergeCell ref="P831:Q831"/>
    <mergeCell ref="R831:T831"/>
    <mergeCell ref="P839:Q839"/>
    <mergeCell ref="R839:T839"/>
    <mergeCell ref="P840:Q840"/>
    <mergeCell ref="R840:T840"/>
    <mergeCell ref="P841:Q841"/>
    <mergeCell ref="R841:T841"/>
    <mergeCell ref="P835:Q835"/>
    <mergeCell ref="R835:T835"/>
    <mergeCell ref="P836:Q836"/>
    <mergeCell ref="P837:Q837"/>
    <mergeCell ref="R837:T837"/>
    <mergeCell ref="P838:Q838"/>
    <mergeCell ref="R838:T838"/>
    <mergeCell ref="P845:Q845"/>
    <mergeCell ref="R845:T845"/>
    <mergeCell ref="P846:Q846"/>
    <mergeCell ref="R846:T846"/>
    <mergeCell ref="P847:Q847"/>
    <mergeCell ref="R847:T847"/>
    <mergeCell ref="P842:Q842"/>
    <mergeCell ref="R842:T842"/>
    <mergeCell ref="P843:Q843"/>
    <mergeCell ref="R843:T843"/>
    <mergeCell ref="P844:Q844"/>
    <mergeCell ref="R844:T844"/>
    <mergeCell ref="P851:Q851"/>
    <mergeCell ref="R851:T851"/>
    <mergeCell ref="P852:Q852"/>
    <mergeCell ref="R852:T852"/>
    <mergeCell ref="P853:Q853"/>
    <mergeCell ref="R853:T853"/>
    <mergeCell ref="P848:Q848"/>
    <mergeCell ref="R848:T848"/>
    <mergeCell ref="P849:Q849"/>
    <mergeCell ref="R849:T849"/>
    <mergeCell ref="P850:Q850"/>
    <mergeCell ref="R850:T850"/>
    <mergeCell ref="K1013:L1014"/>
    <mergeCell ref="L1021:L1023"/>
    <mergeCell ref="L1025:L1027"/>
    <mergeCell ref="L1077:L1079"/>
    <mergeCell ref="L1145:L1147"/>
    <mergeCell ref="L856:L858"/>
    <mergeCell ref="L908:L910"/>
    <mergeCell ref="L912:L914"/>
    <mergeCell ref="L965:L967"/>
    <mergeCell ref="K984:L985"/>
    <mergeCell ref="K986:L988"/>
  </mergeCells>
  <conditionalFormatting sqref="I12 I22 I15 I34:I35">
    <cfRule type="cellIs" dxfId="597" priority="66" operator="equal">
      <formula>"  "</formula>
    </cfRule>
  </conditionalFormatting>
  <conditionalFormatting sqref="Y73:Y74 P73:V75 Z73:AB73 Y75:AB75">
    <cfRule type="expression" dxfId="596" priority="65">
      <formula>IF($V$3=$Y$2,0,1)</formula>
    </cfRule>
  </conditionalFormatting>
  <conditionalFormatting sqref="Y73:Y74 P73:V74 Q139:T140 S154:T155 P131:T131 P139 R154 P147 S147:T148 Q147:Q148">
    <cfRule type="expression" dxfId="595" priority="64">
      <formula>IF($V$3=$Y$3,1,0)</formula>
    </cfRule>
  </conditionalFormatting>
  <conditionalFormatting sqref="Y73:Y74 P73:V74 Q100:S100 Q94:T94 P87:T87 P80:T80 Z73:AB73">
    <cfRule type="expression" dxfId="594" priority="63">
      <formula>IF($V$3=$Y$4,1,0)</formula>
    </cfRule>
  </conditionalFormatting>
  <conditionalFormatting sqref="Z73">
    <cfRule type="expression" dxfId="593" priority="62">
      <formula>IF($V$3=$Y$3,1,0)</formula>
    </cfRule>
  </conditionalFormatting>
  <conditionalFormatting sqref="Y75:Z75">
    <cfRule type="expression" dxfId="592" priority="61">
      <formula>IF($V$3=$Y$3,1,0)</formula>
    </cfRule>
  </conditionalFormatting>
  <conditionalFormatting sqref="P75:V75 P83:T83 P85:T85 P90:T90 P92:T92 Q97:T97 P104:U104 P81:T81 P88:T88 Q95:T95 Q101:S101 P106:U106 Y75:AB75">
    <cfRule type="expression" dxfId="591" priority="60">
      <formula>IF($V$3=$Y$4,1,0)</formula>
    </cfRule>
  </conditionalFormatting>
  <conditionalFormatting sqref="AA73">
    <cfRule type="expression" dxfId="590" priority="59">
      <formula>IF($V$3=$Y$3,1,0)</formula>
    </cfRule>
  </conditionalFormatting>
  <conditionalFormatting sqref="AA75">
    <cfRule type="expression" dxfId="589" priority="58">
      <formula>IF($V$3=$Y$3,1,0)</formula>
    </cfRule>
  </conditionalFormatting>
  <conditionalFormatting sqref="F828:F832 F837:F838 F840">
    <cfRule type="cellIs" dxfId="588" priority="57" operator="equal">
      <formula>0</formula>
    </cfRule>
  </conditionalFormatting>
  <conditionalFormatting sqref="I20">
    <cfRule type="cellIs" dxfId="587" priority="56" operator="equal">
      <formula>"  "</formula>
    </cfRule>
  </conditionalFormatting>
  <conditionalFormatting sqref="I48">
    <cfRule type="cellIs" dxfId="586" priority="55" operator="equal">
      <formula>"  "</formula>
    </cfRule>
  </conditionalFormatting>
  <conditionalFormatting sqref="F845">
    <cfRule type="cellIs" dxfId="585" priority="54" operator="equal">
      <formula>0</formula>
    </cfRule>
  </conditionalFormatting>
  <conditionalFormatting sqref="F844">
    <cfRule type="cellIs" dxfId="584" priority="53" operator="equal">
      <formula>0</formula>
    </cfRule>
  </conditionalFormatting>
  <conditionalFormatting sqref="F846">
    <cfRule type="cellIs" dxfId="583" priority="52" operator="equal">
      <formula>0</formula>
    </cfRule>
  </conditionalFormatting>
  <conditionalFormatting sqref="F847:F853">
    <cfRule type="cellIs" dxfId="582" priority="51" operator="equal">
      <formula>0</formula>
    </cfRule>
  </conditionalFormatting>
  <conditionalFormatting sqref="I49:I58">
    <cfRule type="cellIs" dxfId="581" priority="50" operator="equal">
      <formula>"  "</formula>
    </cfRule>
  </conditionalFormatting>
  <conditionalFormatting sqref="U80:W80">
    <cfRule type="expression" dxfId="580" priority="67">
      <formula>IF($AE$5=1,1,0)</formula>
    </cfRule>
  </conditionalFormatting>
  <conditionalFormatting sqref="U81:W81 U83:W83 U85:W85">
    <cfRule type="expression" dxfId="579" priority="68">
      <formula>IF($AE$5=1,1,0)</formula>
    </cfRule>
  </conditionalFormatting>
  <conditionalFormatting sqref="U82:W82 U84:W84">
    <cfRule type="expression" dxfId="578" priority="69">
      <formula>IF($AE$5=1,1,0)</formula>
    </cfRule>
  </conditionalFormatting>
  <conditionalFormatting sqref="U87:W87">
    <cfRule type="expression" dxfId="577" priority="70">
      <formula>IF($AE$6=1,1,0)</formula>
    </cfRule>
  </conditionalFormatting>
  <conditionalFormatting sqref="U88:W88 U90:W90 U92:W92">
    <cfRule type="expression" dxfId="576" priority="71">
      <formula>IF($AE$6=1,1,0)</formula>
    </cfRule>
  </conditionalFormatting>
  <conditionalFormatting sqref="U89:W89 W91">
    <cfRule type="expression" dxfId="575" priority="72">
      <formula>IF($AE$6=1,1,0)</formula>
    </cfRule>
  </conditionalFormatting>
  <conditionalFormatting sqref="U94:W94">
    <cfRule type="expression" dxfId="574" priority="73">
      <formula>IF($AE$7=1,1,0)</formula>
    </cfRule>
  </conditionalFormatting>
  <conditionalFormatting sqref="U95:W95 U97:W97">
    <cfRule type="expression" dxfId="573" priority="74">
      <formula>IF($AE$7=1,1,0)</formula>
    </cfRule>
  </conditionalFormatting>
  <conditionalFormatting sqref="U96:W96 U98:W98">
    <cfRule type="expression" dxfId="572" priority="75">
      <formula>IF($AE$7=1,1,0)</formula>
    </cfRule>
  </conditionalFormatting>
  <conditionalFormatting sqref="U131:W132">
    <cfRule type="expression" dxfId="571" priority="76">
      <formula>IF($AF$5=1,1,0)</formula>
    </cfRule>
  </conditionalFormatting>
  <conditionalFormatting sqref="U133:W133 U135:W135 U137:W137">
    <cfRule type="expression" dxfId="570" priority="77">
      <formula>IF($AF$5=1,1,0)</formula>
    </cfRule>
  </conditionalFormatting>
  <conditionalFormatting sqref="U134:W134 U136:W136">
    <cfRule type="expression" dxfId="569" priority="78">
      <formula>IF($AF$5=1,1,0)</formula>
    </cfRule>
  </conditionalFormatting>
  <conditionalFormatting sqref="U139:W140">
    <cfRule type="expression" dxfId="568" priority="79">
      <formula>IF($AF$6=1,1,0)</formula>
    </cfRule>
  </conditionalFormatting>
  <conditionalFormatting sqref="U141:W141 U143:W143 U145:W145">
    <cfRule type="expression" dxfId="567" priority="80">
      <formula>IF($AF$6=1,1,0)</formula>
    </cfRule>
  </conditionalFormatting>
  <conditionalFormatting sqref="U142:W142 U144:W144">
    <cfRule type="expression" dxfId="566" priority="81">
      <formula>IF($AF$6=1,1,0)</formula>
    </cfRule>
  </conditionalFormatting>
  <conditionalFormatting sqref="U147:W148">
    <cfRule type="expression" dxfId="565" priority="82">
      <formula>IF($AF$7=1,1,0)</formula>
    </cfRule>
  </conditionalFormatting>
  <conditionalFormatting sqref="U149:W149 U151:W151">
    <cfRule type="expression" dxfId="564" priority="83">
      <formula>IF($AF$7=1,1,0)</formula>
    </cfRule>
  </conditionalFormatting>
  <conditionalFormatting sqref="U150:W150 U152:W152">
    <cfRule type="expression" dxfId="563" priority="84">
      <formula>IF($AF$7=1,1,0)</formula>
    </cfRule>
  </conditionalFormatting>
  <conditionalFormatting sqref="I986:I988">
    <cfRule type="cellIs" dxfId="562" priority="48" operator="equal">
      <formula>0</formula>
    </cfRule>
  </conditionalFormatting>
  <conditionalFormatting sqref="I984:I985">
    <cfRule type="cellIs" dxfId="561" priority="49" operator="equal">
      <formula>0</formula>
    </cfRule>
  </conditionalFormatting>
  <conditionalFormatting sqref="W14:W15">
    <cfRule type="expression" dxfId="560" priority="47">
      <formula>IF($W$16=" ",0,1)</formula>
    </cfRule>
  </conditionalFormatting>
  <conditionalFormatting sqref="I842">
    <cfRule type="cellIs" dxfId="559" priority="46" operator="equal">
      <formula>0</formula>
    </cfRule>
  </conditionalFormatting>
  <conditionalFormatting sqref="AB73">
    <cfRule type="expression" dxfId="558" priority="45">
      <formula>IF($V$3=$Y$3,1,0)</formula>
    </cfRule>
  </conditionalFormatting>
  <conditionalFormatting sqref="AB75">
    <cfRule type="expression" dxfId="557" priority="44">
      <formula>IF($V$3=$Y$3,1,0)</formula>
    </cfRule>
  </conditionalFormatting>
  <conditionalFormatting sqref="G1008">
    <cfRule type="cellIs" dxfId="556" priority="43" operator="equal">
      <formula>0</formula>
    </cfRule>
  </conditionalFormatting>
  <conditionalFormatting sqref="I62">
    <cfRule type="cellIs" dxfId="555" priority="42" operator="equal">
      <formula>"  "</formula>
    </cfRule>
  </conditionalFormatting>
  <conditionalFormatting sqref="I1018:I1021">
    <cfRule type="cellIs" dxfId="554" priority="41" operator="equal">
      <formula>0</formula>
    </cfRule>
  </conditionalFormatting>
  <conditionalFormatting sqref="F827">
    <cfRule type="cellIs" dxfId="553" priority="40" operator="equal">
      <formula>0</formula>
    </cfRule>
  </conditionalFormatting>
  <conditionalFormatting sqref="F921">
    <cfRule type="cellIs" dxfId="552" priority="39" operator="equal">
      <formula>0</formula>
    </cfRule>
  </conditionalFormatting>
  <conditionalFormatting sqref="F1038">
    <cfRule type="cellIs" dxfId="551" priority="38" operator="equal">
      <formula>0</formula>
    </cfRule>
  </conditionalFormatting>
  <conditionalFormatting sqref="R3">
    <cfRule type="expression" dxfId="550" priority="85">
      <formula>SUM($F$16:$F$21)=0</formula>
    </cfRule>
    <cfRule type="expression" dxfId="549" priority="86">
      <formula>SUM($F$16:$F$21)&lt;&gt;$R$3</formula>
    </cfRule>
  </conditionalFormatting>
  <conditionalFormatting sqref="F917">
    <cfRule type="cellIs" dxfId="548" priority="37" operator="equal">
      <formula>0</formula>
    </cfRule>
  </conditionalFormatting>
  <conditionalFormatting sqref="U91:V91">
    <cfRule type="expression" dxfId="547" priority="36">
      <formula>IF($AE$6=1,1,0)</formula>
    </cfRule>
  </conditionalFormatting>
  <conditionalFormatting sqref="F843">
    <cfRule type="cellIs" dxfId="546" priority="35" operator="equal">
      <formula>0</formula>
    </cfRule>
  </conditionalFormatting>
  <conditionalFormatting sqref="P4">
    <cfRule type="expression" dxfId="545" priority="33">
      <formula>IF(AA4&lt;3%,1,0)</formula>
    </cfRule>
    <cfRule type="expression" dxfId="544" priority="34">
      <formula>IF(AA4&gt;3%,1,0)</formula>
    </cfRule>
  </conditionalFormatting>
  <conditionalFormatting sqref="F841">
    <cfRule type="cellIs" dxfId="543" priority="32" operator="equal">
      <formula>0</formula>
    </cfRule>
  </conditionalFormatting>
  <conditionalFormatting sqref="S6:S10 P8:Q10 P6:R7">
    <cfRule type="expression" dxfId="542" priority="87">
      <formula>IF($T$3=$Y$13,0,1)</formula>
    </cfRule>
  </conditionalFormatting>
  <conditionalFormatting sqref="Q99:S101 Q93:T98 P103:U106 P79:T92">
    <cfRule type="expression" dxfId="541" priority="88">
      <formula>IF($V$3=$Y$4,1,0)</formula>
    </cfRule>
  </conditionalFormatting>
  <conditionalFormatting sqref="P160:S163 T160:U161 P130:T145 Q146:T146 R153:T156 S147:T152 P147:Q152">
    <cfRule type="expression" dxfId="540" priority="89">
      <formula>IF($V$3=$Y$3,1,0)</formula>
    </cfRule>
  </conditionalFormatting>
  <conditionalFormatting sqref="P6:P10 Q6:S7">
    <cfRule type="expression" dxfId="539" priority="90">
      <formula>IF(OR($T$3=$Y$14,$T$3=$Y$15),1,0)</formula>
    </cfRule>
  </conditionalFormatting>
  <conditionalFormatting sqref="S14:W17">
    <cfRule type="expression" dxfId="538" priority="91">
      <formula>IF(AND($T$3&lt;&gt;$Y$13,$V$4=$Y$12),1,0)</formula>
    </cfRule>
  </conditionalFormatting>
  <conditionalFormatting sqref="P161:S161 P75:V75 P143:T143 P145:T145 P135:T135 P137:T137 P163:S163 P133:T133 P141:T141 R156:T156 S151:T151 P151:Q151 S149:T149 P149:Q149">
    <cfRule type="expression" dxfId="537" priority="93">
      <formula>IF($V$3=$Y$3,1,0)</formula>
    </cfRule>
  </conditionalFormatting>
  <conditionalFormatting sqref="P77:V77">
    <cfRule type="expression" dxfId="536" priority="94">
      <formula>IF($S$77=0%,1,0)</formula>
    </cfRule>
    <cfRule type="expression" dxfId="535" priority="95">
      <formula>IF(AND(OR($S$77&lt;105%,$S$77&gt;130%),$T$3&lt;&gt;$Y$13),1,0)</formula>
    </cfRule>
  </conditionalFormatting>
  <conditionalFormatting sqref="U5:V5">
    <cfRule type="expression" dxfId="534" priority="96">
      <formula>IF($V$5=$AA$22,0,1)</formula>
    </cfRule>
    <cfRule type="expression" dxfId="533" priority="97">
      <formula>IF(AND($T$3=$Y$13,$V$4=$Y$12),1,0)</formula>
    </cfRule>
  </conditionalFormatting>
  <conditionalFormatting sqref="P108:U113">
    <cfRule type="expression" dxfId="532" priority="98">
      <formula>IF(OR($V$3=$Y$2,$V$3=$Y$3),1,0)</formula>
    </cfRule>
  </conditionalFormatting>
  <conditionalFormatting sqref="P165:U166">
    <cfRule type="expression" dxfId="531" priority="99">
      <formula>IF(OR($V$3=$Y$2,$V$3=$Y$4),1,0)</formula>
    </cfRule>
  </conditionalFormatting>
  <conditionalFormatting sqref="R226">
    <cfRule type="expression" dxfId="530" priority="31">
      <formula>IF($P$228="Средний расход",1,0)</formula>
    </cfRule>
  </conditionalFormatting>
  <conditionalFormatting sqref="S12:U13">
    <cfRule type="expression" dxfId="529" priority="100">
      <formula>IF($V$4=$AA$11,1,0)</formula>
    </cfRule>
    <cfRule type="expression" dxfId="528" priority="101">
      <formula>IF(OR($V$4=$Y$11,$V$4=$A$10),0,1)</formula>
    </cfRule>
    <cfRule type="expression" dxfId="527" priority="102">
      <formula>IF(OR($V$4=$Y$11,$V$4=$A$10),0,1)</formula>
    </cfRule>
  </conditionalFormatting>
  <conditionalFormatting sqref="S14:U17">
    <cfRule type="expression" dxfId="526" priority="103">
      <formula>IF(AND($T$3&lt;&gt;$Y$13,OR($V$4=$Y$12,$V$4=$AA$7)),1,0)</formula>
    </cfRule>
  </conditionalFormatting>
  <conditionalFormatting sqref="V14:W17">
    <cfRule type="expression" dxfId="525" priority="104">
      <formula>IF(AND($T$3&lt;&gt;$Y$13,OR($V$4=$AA$7,$V$4=$Y$12)),1,0)</formula>
    </cfRule>
  </conditionalFormatting>
  <conditionalFormatting sqref="P228:W294">
    <cfRule type="expression" dxfId="524" priority="105">
      <formula>IF(AND($T$3=$AA$5,$T$4=$AA$5),1,0)</formula>
    </cfRule>
  </conditionalFormatting>
  <conditionalFormatting sqref="P228:T230 P240:Q294 S240:T294 V240:W294">
    <cfRule type="expression" dxfId="523" priority="106">
      <formula>IF(AND($T$3=$AA$5,$T$4&lt;&gt;$AA$5),1,0)</formula>
    </cfRule>
  </conditionalFormatting>
  <conditionalFormatting sqref="P232:Q237 S232:T237 V232:W237 P226:R226">
    <cfRule type="expression" dxfId="522" priority="107">
      <formula>IF(AND($T$3&lt;&gt;$AA$5,$T$4&lt;&gt;$AA$5),1,0)</formula>
    </cfRule>
  </conditionalFormatting>
  <conditionalFormatting sqref="P12:Q60 S19:T52">
    <cfRule type="expression" dxfId="521" priority="92">
      <formula>IF(AND(OR($V$4=$AA$10,$V$4=$AA$11),$AA$3=$AA$5),1,0)</formula>
    </cfRule>
  </conditionalFormatting>
  <conditionalFormatting sqref="X4">
    <cfRule type="expression" dxfId="520" priority="108">
      <formula>IF($V$4=$AA$10,0,1)</formula>
    </cfRule>
  </conditionalFormatting>
  <conditionalFormatting sqref="W5">
    <cfRule type="expression" dxfId="519" priority="109">
      <formula>IF(OR($V$4=$AA$10,$V$4=$AA$11),0,1)</formula>
    </cfRule>
  </conditionalFormatting>
  <conditionalFormatting sqref="U2:W2">
    <cfRule type="expression" dxfId="518" priority="30">
      <formula>IF($R$4=$Y$6,1,0)</formula>
    </cfRule>
  </conditionalFormatting>
  <conditionalFormatting sqref="F835">
    <cfRule type="cellIs" dxfId="517" priority="29" operator="equal">
      <formula>0</formula>
    </cfRule>
  </conditionalFormatting>
  <conditionalFormatting sqref="P170:V176">
    <cfRule type="expression" dxfId="516" priority="20">
      <formula>IF($V$2=$AA$19,1,0)</formula>
    </cfRule>
  </conditionalFormatting>
  <conditionalFormatting sqref="F1041">
    <cfRule type="cellIs" dxfId="515" priority="27" operator="equal">
      <formula>0</formula>
    </cfRule>
  </conditionalFormatting>
  <conditionalFormatting sqref="R173">
    <cfRule type="expression" dxfId="514" priority="28">
      <formula>IF($R$173&gt;0,0,1)</formula>
    </cfRule>
  </conditionalFormatting>
  <conditionalFormatting sqref="R172">
    <cfRule type="expression" dxfId="513" priority="26">
      <formula>IF($R$172&gt;0,0,1)</formula>
    </cfRule>
  </conditionalFormatting>
  <conditionalFormatting sqref="R176">
    <cfRule type="expression" dxfId="512" priority="25">
      <formula>IF($R$176&gt;0,0,1)</formula>
    </cfRule>
  </conditionalFormatting>
  <conditionalFormatting sqref="L4">
    <cfRule type="expression" dxfId="511" priority="22">
      <formula>IF($L$4&lt;&gt;0,1,0)</formula>
    </cfRule>
    <cfRule type="expression" dxfId="510" priority="23">
      <formula>IF($J$4=$AJ$15,1,0)</formula>
    </cfRule>
  </conditionalFormatting>
  <conditionalFormatting sqref="P6:P10 Q6:S6">
    <cfRule type="expression" dxfId="509" priority="110">
      <formula>IF(OR($T$3=$Y$16,$T$3=$Y$17),1,0)</formula>
    </cfRule>
  </conditionalFormatting>
  <conditionalFormatting sqref="R175">
    <cfRule type="expression" dxfId="508" priority="24">
      <formula>IF($R$175&gt;0,0,1)</formula>
    </cfRule>
  </conditionalFormatting>
  <conditionalFormatting sqref="R174">
    <cfRule type="expression" dxfId="507" priority="21">
      <formula>IF($R$174&gt;0,0,1)</formula>
    </cfRule>
  </conditionalFormatting>
  <conditionalFormatting sqref="V11 T11">
    <cfRule type="expression" dxfId="506" priority="18">
      <formula>IF($T$2=$Z$12,1,0)</formula>
    </cfRule>
    <cfRule type="expression" dxfId="505" priority="19">
      <formula>IF($T$2=$Z$11,1,0)</formula>
    </cfRule>
  </conditionalFormatting>
  <conditionalFormatting sqref="F854">
    <cfRule type="cellIs" dxfId="504" priority="17" operator="equal">
      <formula>0</formula>
    </cfRule>
  </conditionalFormatting>
  <conditionalFormatting sqref="T6:U10 W6:W10">
    <cfRule type="expression" dxfId="503" priority="111">
      <formula>IF($T$4=$Y$19,0,1)</formula>
    </cfRule>
  </conditionalFormatting>
  <conditionalFormatting sqref="P12:Q13 S19:T20">
    <cfRule type="expression" dxfId="502" priority="112">
      <formula>IF(AND($V$4&lt;&gt;$Y$11,OR($T$4&lt;&gt;$Y$19,$T$3&lt;&gt;$Y$13)),1,0)</formula>
    </cfRule>
  </conditionalFormatting>
  <conditionalFormatting sqref="P78:V78">
    <cfRule type="expression" dxfId="501" priority="113">
      <formula>IF(AND($S$78&gt;35%,$T$4&lt;&gt;$Y$19),1,0)</formula>
    </cfRule>
  </conditionalFormatting>
  <conditionalFormatting sqref="S21:T52 P14:Q60">
    <cfRule type="expression" dxfId="500" priority="114">
      <formula>IF(AND($V$4&lt;&gt;$Y$11,OR($T$4&lt;&gt;$Y$19,$T$3&lt;&gt;$Y$13)),1,0)</formula>
    </cfRule>
  </conditionalFormatting>
  <conditionalFormatting sqref="V19:W23">
    <cfRule type="expression" dxfId="499" priority="115">
      <formula>IF(OR($T$3&lt;&gt;$Y$19,$T$4&lt;&gt;$Y$19),0,1)</formula>
    </cfRule>
  </conditionalFormatting>
  <conditionalFormatting sqref="V19:W20">
    <cfRule type="expression" dxfId="498" priority="116">
      <formula>IF(OR($T$3&lt;&gt;$Y$19,$T$4&lt;&gt;$Y$19),1,0)</formula>
    </cfRule>
  </conditionalFormatting>
  <conditionalFormatting sqref="V21:W23">
    <cfRule type="expression" dxfId="497" priority="117">
      <formula>IF(OR($T$3&lt;&gt;$Y$19,$T$4&lt;&gt;$Y$19),1,0)</formula>
    </cfRule>
  </conditionalFormatting>
  <conditionalFormatting sqref="S3:T4">
    <cfRule type="expression" dxfId="496" priority="118">
      <formula>IF(OR(AND($S$78&gt;35%,$T$4&lt;&gt;$Y$19),AND($S$77&gt;130%,$T$3&lt;&gt;$Y$13)),1,0)</formula>
    </cfRule>
  </conditionalFormatting>
  <conditionalFormatting sqref="S21:S52 P14:P60">
    <cfRule type="expression" dxfId="495" priority="119">
      <formula>IF(AND($T$5=$AA$12,$V$4&lt;&gt;$Y$11,$P$15&gt;0,OR($T$4&lt;&gt;$Y$19,$T$3&lt;&gt;$Y$13),$P$14&lt;$R$3),1,0)</formula>
    </cfRule>
  </conditionalFormatting>
  <conditionalFormatting sqref="P6 P8:P10 Q6:S7">
    <cfRule type="expression" dxfId="494" priority="120">
      <formula>IF($T$3=$Y$18,1,0)</formula>
    </cfRule>
  </conditionalFormatting>
  <conditionalFormatting sqref="S2:T2">
    <cfRule type="expression" dxfId="493" priority="121">
      <formula>IF(AND($T$3=$Y$13,$T$4&lt;&gt;$Y$19),0,1)</formula>
    </cfRule>
  </conditionalFormatting>
  <conditionalFormatting sqref="U6:U7 W6:W7 T6:T10">
    <cfRule type="expression" dxfId="492" priority="122">
      <formula>IF(OR($T$4=$Y$20,$T$4=$Y$21,$T$4=$Y$22),1,0)</formula>
    </cfRule>
  </conditionalFormatting>
  <conditionalFormatting sqref="T6:T10 U6:U7 W6:W7">
    <cfRule type="expression" dxfId="491" priority="123">
      <formula>IF(OR($T$4=$Y$23,$T$4=$Y$24),1,0)</formula>
    </cfRule>
  </conditionalFormatting>
  <conditionalFormatting sqref="T6:T10 U6:U7 W6:W7">
    <cfRule type="expression" dxfId="490" priority="124">
      <formula>IF(OR($T$4=$Y$25,$T$4=$Y$26),1,0)</formula>
    </cfRule>
  </conditionalFormatting>
  <conditionalFormatting sqref="T6:U9 W6:W9">
    <cfRule type="expression" dxfId="489" priority="125">
      <formula>IF($T$4=$Y$27,1,0)</formula>
    </cfRule>
  </conditionalFormatting>
  <conditionalFormatting sqref="T10:U10 W10">
    <cfRule type="expression" dxfId="488" priority="126">
      <formula>IF($T$4=$Y$27,1,0)</formula>
    </cfRule>
  </conditionalFormatting>
  <conditionalFormatting sqref="T6:T9 U6:U7 W6:W7">
    <cfRule type="expression" dxfId="487" priority="127">
      <formula>IF($T$4=$Y$27,1,0)</formula>
    </cfRule>
  </conditionalFormatting>
  <conditionalFormatting sqref="F839">
    <cfRule type="cellIs" dxfId="486" priority="16" operator="equal">
      <formula>0</formula>
    </cfRule>
  </conditionalFormatting>
  <conditionalFormatting sqref="V6:V10">
    <cfRule type="expression" dxfId="485" priority="9">
      <formula>IF($T$4=$Y$19,0,1)</formula>
    </cfRule>
  </conditionalFormatting>
  <conditionalFormatting sqref="V6:V7">
    <cfRule type="expression" dxfId="484" priority="10">
      <formula>IF(OR($T$4=$Y$20,$T$4=$Y$21,$T$4=$Y$22),1,0)</formula>
    </cfRule>
  </conditionalFormatting>
  <conditionalFormatting sqref="V6:V7">
    <cfRule type="expression" dxfId="483" priority="11">
      <formula>IF(OR($T$4=$Y$23,$T$4=$Y$24),1,0)</formula>
    </cfRule>
  </conditionalFormatting>
  <conditionalFormatting sqref="V6:V7">
    <cfRule type="expression" dxfId="482" priority="12">
      <formula>IF(OR($T$4=$Y$25,$T$4=$Y$26),1,0)</formula>
    </cfRule>
  </conditionalFormatting>
  <conditionalFormatting sqref="V6:V9">
    <cfRule type="expression" dxfId="481" priority="13">
      <formula>IF($T$4=$Y$27,1,0)</formula>
    </cfRule>
  </conditionalFormatting>
  <conditionalFormatting sqref="V10">
    <cfRule type="expression" dxfId="480" priority="14">
      <formula>IF($T$4=$Y$27,1,0)</formula>
    </cfRule>
  </conditionalFormatting>
  <conditionalFormatting sqref="V6:V7">
    <cfRule type="expression" dxfId="479" priority="15">
      <formula>IF($T$4=$Y$27,1,0)</formula>
    </cfRule>
  </conditionalFormatting>
  <conditionalFormatting sqref="R8:R10">
    <cfRule type="expression" dxfId="478" priority="8">
      <formula>IF($T$3=$Y$13,0,1)</formula>
    </cfRule>
  </conditionalFormatting>
  <conditionalFormatting sqref="R149:R152">
    <cfRule type="expression" dxfId="477" priority="6">
      <formula>IF($V$3=$Y$3,1,0)</formula>
    </cfRule>
  </conditionalFormatting>
  <conditionalFormatting sqref="R151 R149">
    <cfRule type="expression" dxfId="476" priority="7">
      <formula>IF($V$3=$Y$3,1,0)</formula>
    </cfRule>
  </conditionalFormatting>
  <conditionalFormatting sqref="R147:R148">
    <cfRule type="expression" dxfId="475" priority="4">
      <formula>IF($V$3=$Y$3,1,0)</formula>
    </cfRule>
  </conditionalFormatting>
  <conditionalFormatting sqref="R147:R148">
    <cfRule type="expression" dxfId="474" priority="5">
      <formula>IF($V$3=$Y$3,1,0)</formula>
    </cfRule>
  </conditionalFormatting>
  <conditionalFormatting sqref="F1039">
    <cfRule type="cellIs" dxfId="473" priority="3" operator="equal">
      <formula>0</formula>
    </cfRule>
  </conditionalFormatting>
  <conditionalFormatting sqref="P167:U167">
    <cfRule type="expression" dxfId="472" priority="2">
      <formula>IF(OR($V$3=$Y$2,$V$3=$Y$4),1,0)</formula>
    </cfRule>
  </conditionalFormatting>
  <conditionalFormatting sqref="F918">
    <cfRule type="cellIs" dxfId="471" priority="1" operator="equal">
      <formula>0</formula>
    </cfRule>
  </conditionalFormatting>
  <dataValidations count="23">
    <dataValidation type="list" allowBlank="1" showInputMessage="1" showErrorMessage="1" sqref="W81:W85 W88:W92 W95:W98 W133:W137 W141:W145 W149:W152">
      <formula1>$Y$28:$Y$41</formula1>
    </dataValidation>
    <dataValidation type="list" allowBlank="1" showInputMessage="1" showErrorMessage="1" sqref="R166:S166">
      <formula1>$Z$32:$Z$34</formula1>
    </dataValidation>
    <dataValidation type="list" allowBlank="1" showInputMessage="1" showErrorMessage="1" sqref="R165:S165">
      <formula1>$Z$27:$Z$31</formula1>
    </dataValidation>
    <dataValidation type="whole" errorStyle="warning" operator="equal" allowBlank="1" showInputMessage="1" showErrorMessage="1" errorTitle="Мембрана" error="Не забудь проверить коэффициент расхода мембраны_x000a_" sqref="U12:U13">
      <formula1>4</formula1>
    </dataValidation>
    <dataValidation type="list" allowBlank="1" showInputMessage="1" showErrorMessage="1" sqref="R108:S108">
      <formula1>$Z$21:$Z$26</formula1>
    </dataValidation>
    <dataValidation type="list" allowBlank="1" showInputMessage="1" showErrorMessage="1" sqref="T2">
      <formula1>$Z$11:$Z$12</formula1>
    </dataValidation>
    <dataValidation type="list" allowBlank="1" showInputMessage="1" showErrorMessage="1" sqref="V5">
      <formula1>$AA$22:$AD$22</formula1>
    </dataValidation>
    <dataValidation type="list" allowBlank="1" showInputMessage="1" showErrorMessage="1" sqref="R5">
      <formula1>$Z$6:$Z$10</formula1>
    </dataValidation>
    <dataValidation type="list" allowBlank="1" showInputMessage="1" showErrorMessage="1" sqref="V3">
      <formula1>$Y$2:$Y$4</formula1>
    </dataValidation>
    <dataValidation type="list" allowBlank="1" showInputMessage="1" showErrorMessage="1" sqref="R4">
      <formula1>$Y$6:$Y$10</formula1>
    </dataValidation>
    <dataValidation type="list" allowBlank="1" showInputMessage="1" showErrorMessage="1" sqref="R111">
      <formula1>$AA$17:$AA$18</formula1>
    </dataValidation>
    <dataValidation type="list" allowBlank="1" showInputMessage="1" showErrorMessage="1" sqref="R110">
      <formula1>$AA$14:$AA$16</formula1>
    </dataValidation>
    <dataValidation type="list" allowBlank="1" showInputMessage="1" showErrorMessage="1" sqref="T5">
      <formula1>$AA$12:$AA$13</formula1>
    </dataValidation>
    <dataValidation type="list" allowBlank="1" showInputMessage="1" showErrorMessage="1" sqref="P224">
      <formula1>$AA$221:$AJ$221</formula1>
    </dataValidation>
    <dataValidation type="list" allowBlank="1" showInputMessage="1" showErrorMessage="1" sqref="AA2:AA3">
      <formula1>$AA$5:$AA$6</formula1>
    </dataValidation>
    <dataValidation type="list" allowBlank="1" showInputMessage="1" showErrorMessage="1" sqref="V4">
      <formula1>$AA$5:$AA$11</formula1>
    </dataValidation>
    <dataValidation type="list" allowBlank="1" showInputMessage="1" showErrorMessage="1" sqref="V2">
      <formula1>$AA$19:$AA$21</formula1>
    </dataValidation>
    <dataValidation type="list" allowBlank="1" showInputMessage="1" showErrorMessage="1" sqref="R95:R98 Q149:Q152 Q141:Q145 Q133:Q137 Q88:Q92 Q81:Q85">
      <formula1>$Z$14:$Z$20</formula1>
    </dataValidation>
    <dataValidation type="list" allowBlank="1" showInputMessage="1" showErrorMessage="1" sqref="R101">
      <formula1>$Z$14:$Z$16</formula1>
    </dataValidation>
    <dataValidation type="list" allowBlank="1" showInputMessage="1" showErrorMessage="1" sqref="T3">
      <formula1>$Y$13:$Y$18</formula1>
    </dataValidation>
    <dataValidation type="list" allowBlank="1" showInputMessage="1" showErrorMessage="1" sqref="T4">
      <formula1>$Y$19:$Y$27</formula1>
    </dataValidation>
    <dataValidation type="list" allowBlank="1" showInputMessage="1" showErrorMessage="1" sqref="J4:K4">
      <formula1>$AJ$4:$AJ$18</formula1>
    </dataValidation>
    <dataValidation type="list" allowBlank="1" showInputMessage="1" showErrorMessage="1" sqref="R167:S167">
      <formula1>$Z$35:$Z$37</formula1>
    </dataValidation>
  </dataValidations>
  <hyperlinks>
    <hyperlink ref="C126:K128" r:id="rId4" display="http://nav.tn.ru/upload/files/album/album_klin_PIR.pdf"/>
    <hyperlink ref="C123:K125" r:id="rId5" display="http://nav.tn.ru/upload/files/album/album_klin_KV.pdf"/>
    <hyperlink ref="C120:K122" r:id="rId6" display="http://nav.tn.ru/upload/files/album/album_KLIN_XPS.pdf"/>
    <hyperlink ref="C123:L125" r:id="rId7" display="https://nav.tn.ru/upload/files/prc/Albom_KI_XPS.pdf"/>
    <hyperlink ref="C120:L122" r:id="rId8" display="https://nav.tn.ru/upload/files/prc/Albom_KI_КВ.pdf"/>
    <hyperlink ref="C126:L128" r:id="rId9" display="https://nav.tn.ru/upload/files/prc/Albom_KI_PIR.pdf"/>
  </hyperlinks>
  <printOptions horizontalCentered="1"/>
  <pageMargins left="0.51181102362204722" right="0.31496062992125984" top="0.39370078740157483" bottom="0.39370078740157483" header="0.39370078740157483" footer="0.39370078740157483"/>
  <pageSetup paperSize="9" scale="80" orientation="portrait" r:id="rId10"/>
  <rowBreaks count="9" manualBreakCount="9">
    <brk id="70" max="16383" man="1"/>
    <brk id="128" max="16383" man="1"/>
    <brk id="299" max="16383" man="1"/>
    <brk id="802" max="16383" man="1"/>
    <brk id="855" max="16383" man="1"/>
    <brk id="907" max="16383" man="1"/>
    <brk id="964" max="16383" man="1"/>
    <brk id="1020" max="16383" man="1"/>
    <brk id="1076" max="16383" man="1"/>
  </rowBreaks>
  <drawing r:id="rId11"/>
  <legacyDrawing r:id="rId12"/>
  <tableParts count="1">
    <tablePart r:id="rId1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Y 9 S U y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A m P U l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j 1 J T K I p H u A 4 A A A A R A A A A E w A c A E Z v c m 1 1 b G F z L 1 N l Y 3 R p b 2 4 x L m 0 g o h g A K K A U A A A A A A A A A A A A A A A A A A A A A A A A A A A A K 0 5 N L s n M z 1 M I h t C G 1 g B Q S w E C L Q A U A A I A C A A J j 1 J T L a d 3 9 K g A A A D 4 A A A A E g A A A A A A A A A A A A A A A A A A A A A A Q 2 9 u Z m l n L 1 B h Y 2 t h Z 2 U u e G 1 s U E s B A i 0 A F A A C A A g A C Y 9 S U w / K 6 a u k A A A A 6 Q A A A B M A A A A A A A A A A A A A A A A A 9 A A A A F t D b 2 5 0 Z W 5 0 X 1 R 5 c G V z X S 5 4 b W x Q S w E C L Q A U A A I A C A A J j 1 J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7 c N N b M H B d U K J 6 r 2 g n c 8 l f w A A A A A C A A A A A A A D Z g A A w A A A A B A A A A B j d y 6 6 B S m t q J l c k w k 2 D N S 4 A A A A A A S A A A C g A A A A E A A A A E W C Y H 2 a F A O l R t 2 a E + o z X F J Q A A A A g E J E A Q 2 Z U z u 3 / o Q j L i 8 9 L L n z C 5 9 K b d x X 0 b 5 R l W v 4 n z s Z i d Y 4 t L k p O + 6 4 w 8 d Q n x M 0 L R H 3 P C 0 m R i 8 I B g v d Y S 4 I C a L Z i i q Y 7 n n n s 9 W X 8 M F G 8 s c U A A A A / + e K d i i k D l b Q f M r s r K q x z m n 6 r D g = < / D a t a M a s h u p > 
</file>

<file path=customXml/itemProps1.xml><?xml version="1.0" encoding="utf-8"?>
<ds:datastoreItem xmlns:ds="http://schemas.openxmlformats.org/officeDocument/2006/customXml" ds:itemID="{4580A16C-3013-477F-81CB-35A9F2CD01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182</vt:i4>
      </vt:variant>
    </vt:vector>
  </HeadingPairs>
  <TitlesOfParts>
    <vt:vector size="199" baseType="lpstr">
      <vt:lpstr>ТИТУЛ</vt:lpstr>
      <vt:lpstr>ОБЩИЕ_ДАННЫЕ</vt:lpstr>
      <vt:lpstr>ТИП1</vt:lpstr>
      <vt:lpstr>ТИП2</vt:lpstr>
      <vt:lpstr>ТИП3</vt:lpstr>
      <vt:lpstr>ТИП4</vt:lpstr>
      <vt:lpstr>ТИП5</vt:lpstr>
      <vt:lpstr>ТИП6</vt:lpstr>
      <vt:lpstr>ТИП7</vt:lpstr>
      <vt:lpstr>ТИП8</vt:lpstr>
      <vt:lpstr>ТИП9</vt:lpstr>
      <vt:lpstr>ТИП10</vt:lpstr>
      <vt:lpstr>ОБЩАЯ СПЕЦИФИКАЦИЯ</vt:lpstr>
      <vt:lpstr>СВОДНАЯ СПЕЦИФИКАЦИЯ</vt:lpstr>
      <vt:lpstr>ПРИМЕЧАНИЯ</vt:lpstr>
      <vt:lpstr>Выгрузка</vt:lpstr>
      <vt:lpstr>Деление по СБЕ</vt:lpstr>
      <vt:lpstr>ТИП1!АНКЕР</vt:lpstr>
      <vt:lpstr>ТИП10!АНКЕР</vt:lpstr>
      <vt:lpstr>ТИП2!АНКЕР</vt:lpstr>
      <vt:lpstr>ТИП3!АНКЕР</vt:lpstr>
      <vt:lpstr>ТИП4!АНКЕР</vt:lpstr>
      <vt:lpstr>ТИП5!АНКЕР</vt:lpstr>
      <vt:lpstr>ТИП6!АНКЕР</vt:lpstr>
      <vt:lpstr>ТИП7!АНКЕР</vt:lpstr>
      <vt:lpstr>ТИП8!АНКЕР</vt:lpstr>
      <vt:lpstr>ТИП9!АНКЕР</vt:lpstr>
      <vt:lpstr>ТИП1!БРМ_ВЕРХ</vt:lpstr>
      <vt:lpstr>ТИП10!БРМ_ВЕРХ</vt:lpstr>
      <vt:lpstr>ТИП2!БРМ_ВЕРХ</vt:lpstr>
      <vt:lpstr>ТИП3!БРМ_ВЕРХ</vt:lpstr>
      <vt:lpstr>ТИП4!БРМ_ВЕРХ</vt:lpstr>
      <vt:lpstr>ТИП5!БРМ_ВЕРХ</vt:lpstr>
      <vt:lpstr>ТИП6!БРМ_ВЕРХ</vt:lpstr>
      <vt:lpstr>ТИП7!БРМ_ВЕРХ</vt:lpstr>
      <vt:lpstr>ТИП8!БРМ_ВЕРХ</vt:lpstr>
      <vt:lpstr>ТИП9!БРМ_ВЕРХ</vt:lpstr>
      <vt:lpstr>ТИП1!БРМ_НИЗ</vt:lpstr>
      <vt:lpstr>ТИП10!БРМ_НИЗ</vt:lpstr>
      <vt:lpstr>ТИП2!БРМ_НИЗ</vt:lpstr>
      <vt:lpstr>ТИП3!БРМ_НИЗ</vt:lpstr>
      <vt:lpstr>ТИП4!БРМ_НИЗ</vt:lpstr>
      <vt:lpstr>ТИП5!БРМ_НИЗ</vt:lpstr>
      <vt:lpstr>ТИП6!БРМ_НИЗ</vt:lpstr>
      <vt:lpstr>ТИП7!БРМ_НИЗ</vt:lpstr>
      <vt:lpstr>ТИП8!БРМ_НИЗ</vt:lpstr>
      <vt:lpstr>ТИП9!БРМ_НИЗ</vt:lpstr>
      <vt:lpstr>ТИП1!ГнП</vt:lpstr>
      <vt:lpstr>ТИП10!ГнП</vt:lpstr>
      <vt:lpstr>ТИП2!ГнП</vt:lpstr>
      <vt:lpstr>ТИП3!ГнП</vt:lpstr>
      <vt:lpstr>ТИП4!ГнП</vt:lpstr>
      <vt:lpstr>ТИП5!ГнП</vt:lpstr>
      <vt:lpstr>ТИП6!ГнП</vt:lpstr>
      <vt:lpstr>ТИП7!ГнП</vt:lpstr>
      <vt:lpstr>ТИП8!ГнП</vt:lpstr>
      <vt:lpstr>ТИП9!ГнП</vt:lpstr>
      <vt:lpstr>ТИП1!ГОФРЫ</vt:lpstr>
      <vt:lpstr>ТИП10!ГОФРЫ</vt:lpstr>
      <vt:lpstr>ТИП2!ГОФРЫ</vt:lpstr>
      <vt:lpstr>ТИП3!ГОФРЫ</vt:lpstr>
      <vt:lpstr>ТИП4!ГОФРЫ</vt:lpstr>
      <vt:lpstr>ТИП5!ГОФРЫ</vt:lpstr>
      <vt:lpstr>ТИП6!ГОФРЫ</vt:lpstr>
      <vt:lpstr>ТИП7!ГОФРЫ</vt:lpstr>
      <vt:lpstr>ТИП8!ГОФРЫ</vt:lpstr>
      <vt:lpstr>ТИП9!ГОФРЫ</vt:lpstr>
      <vt:lpstr>номер_объекта</vt:lpstr>
      <vt:lpstr>'ОБЩАЯ СПЕЦИФИКАЦИЯ'!Область_печати</vt:lpstr>
      <vt:lpstr>ОБЩИЕ_ДАННЫЕ!Область_печати</vt:lpstr>
      <vt:lpstr>ПРИМЕЧАНИЯ!Область_печати</vt:lpstr>
      <vt:lpstr>ТИП1!Область_печати</vt:lpstr>
      <vt:lpstr>ТИП10!Область_печати</vt:lpstr>
      <vt:lpstr>ТИП2!Область_печати</vt:lpstr>
      <vt:lpstr>ТИП3!Область_печати</vt:lpstr>
      <vt:lpstr>ТИП4!Область_печати</vt:lpstr>
      <vt:lpstr>ТИП5!Область_печати</vt:lpstr>
      <vt:lpstr>ТИП6!Область_печати</vt:lpstr>
      <vt:lpstr>ТИП7!Область_печати</vt:lpstr>
      <vt:lpstr>ТИП8!Область_печати</vt:lpstr>
      <vt:lpstr>ТИП9!Область_печати</vt:lpstr>
      <vt:lpstr>ТИТУЛ!Область_печати</vt:lpstr>
      <vt:lpstr>объект</vt:lpstr>
      <vt:lpstr>'ОБЩАЯ СПЕЦИФИКАЦИЯ'!П1</vt:lpstr>
      <vt:lpstr>'ОБЩАЯ СПЕЦИФИКАЦИЯ'!П2</vt:lpstr>
      <vt:lpstr>'ОБЩАЯ СПЕЦИФИКАЦИЯ'!П4</vt:lpstr>
      <vt:lpstr>'ОБЩАЯ СПЕЦИФИКАЦИЯ'!П5</vt:lpstr>
      <vt:lpstr>'ОБЩАЯ СПЕЦИФИКАЦИЯ'!П6</vt:lpstr>
      <vt:lpstr>ТИП1!парапетВ</vt:lpstr>
      <vt:lpstr>ТИП10!парапетВ</vt:lpstr>
      <vt:lpstr>ТИП2!парапетВ</vt:lpstr>
      <vt:lpstr>ТИП3!парапетВ</vt:lpstr>
      <vt:lpstr>ТИП4!парапетВ</vt:lpstr>
      <vt:lpstr>ТИП5!парапетВ</vt:lpstr>
      <vt:lpstr>ТИП6!парапетВ</vt:lpstr>
      <vt:lpstr>ТИП7!парапетВ</vt:lpstr>
      <vt:lpstr>ТИП8!парапетВ</vt:lpstr>
      <vt:lpstr>ТИП9!парапетВ</vt:lpstr>
      <vt:lpstr>ТИП1!парапетН</vt:lpstr>
      <vt:lpstr>ТИП10!парапетН</vt:lpstr>
      <vt:lpstr>ТИП2!парапетН</vt:lpstr>
      <vt:lpstr>ТИП3!парапетН</vt:lpstr>
      <vt:lpstr>ТИП4!парапетН</vt:lpstr>
      <vt:lpstr>ТИП5!парапетН</vt:lpstr>
      <vt:lpstr>ТИП6!парапетН</vt:lpstr>
      <vt:lpstr>ТИП7!парапетН</vt:lpstr>
      <vt:lpstr>ТИП8!парапетН</vt:lpstr>
      <vt:lpstr>ТИП9!парапетН</vt:lpstr>
      <vt:lpstr>ТИП1!ПВХ_мембрана</vt:lpstr>
      <vt:lpstr>ТИП10!ПВХ_мембрана</vt:lpstr>
      <vt:lpstr>ТИП2!ПВХ_мембрана</vt:lpstr>
      <vt:lpstr>ТИП3!ПВХ_мембрана</vt:lpstr>
      <vt:lpstr>ТИП4!ПВХ_мембрана</vt:lpstr>
      <vt:lpstr>ТИП5!ПВХ_мембрана</vt:lpstr>
      <vt:lpstr>ТИП6!ПВХ_мембрана</vt:lpstr>
      <vt:lpstr>ТИП7!ПВХ_мембрана</vt:lpstr>
      <vt:lpstr>ТИП8!ПВХ_мембрана</vt:lpstr>
      <vt:lpstr>ТИП9!ПВХ_мембрана</vt:lpstr>
      <vt:lpstr>ТИП1!ПКР</vt:lpstr>
      <vt:lpstr>ТИП10!ПКР</vt:lpstr>
      <vt:lpstr>ТИП2!ПКР</vt:lpstr>
      <vt:lpstr>ТИП3!ПКР</vt:lpstr>
      <vt:lpstr>ТИП4!ПКР</vt:lpstr>
      <vt:lpstr>ТИП5!ПКР</vt:lpstr>
      <vt:lpstr>ТИП6!ПКР</vt:lpstr>
      <vt:lpstr>ТИП7!ПКР</vt:lpstr>
      <vt:lpstr>ТИП8!ПКР</vt:lpstr>
      <vt:lpstr>ТИП9!ПКР</vt:lpstr>
      <vt:lpstr>ТИП1!ПЛ</vt:lpstr>
      <vt:lpstr>ТИП10!ПЛ</vt:lpstr>
      <vt:lpstr>ТИП2!ПЛ</vt:lpstr>
      <vt:lpstr>ТИП3!ПЛ</vt:lpstr>
      <vt:lpstr>ТИП4!ПЛ</vt:lpstr>
      <vt:lpstr>ТИП5!ПЛ</vt:lpstr>
      <vt:lpstr>ТИП6!ПЛ</vt:lpstr>
      <vt:lpstr>ТИП7!ПЛ</vt:lpstr>
      <vt:lpstr>ТИП8!ПЛ</vt:lpstr>
      <vt:lpstr>ТИП9!ПЛ</vt:lpstr>
      <vt:lpstr>ТИП1!ППР</vt:lpstr>
      <vt:lpstr>ТИП10!ППР</vt:lpstr>
      <vt:lpstr>ТИП2!ППР</vt:lpstr>
      <vt:lpstr>ТИП3!ППР</vt:lpstr>
      <vt:lpstr>ТИП4!ППР</vt:lpstr>
      <vt:lpstr>ТИП5!ППР</vt:lpstr>
      <vt:lpstr>ТИП6!ППР</vt:lpstr>
      <vt:lpstr>ТИП7!ППР</vt:lpstr>
      <vt:lpstr>ТИП8!ППР</vt:lpstr>
      <vt:lpstr>ТИП9!ППР</vt:lpstr>
      <vt:lpstr>ТИП1!ПР</vt:lpstr>
      <vt:lpstr>ТИП10!ПР</vt:lpstr>
      <vt:lpstr>ТИП2!ПР</vt:lpstr>
      <vt:lpstr>ТИП3!ПР</vt:lpstr>
      <vt:lpstr>ТИП4!ПР</vt:lpstr>
      <vt:lpstr>ТИП5!ПР</vt:lpstr>
      <vt:lpstr>ТИП6!ПР</vt:lpstr>
      <vt:lpstr>ТИП7!ПР</vt:lpstr>
      <vt:lpstr>ТИП8!ПР</vt:lpstr>
      <vt:lpstr>ТИП9!ПР</vt:lpstr>
      <vt:lpstr>ТИП1!ПРАЙМЕР</vt:lpstr>
      <vt:lpstr>ТИП10!ПРАЙМЕР</vt:lpstr>
      <vt:lpstr>ТИП2!ПРАЙМЕР</vt:lpstr>
      <vt:lpstr>ТИП3!ПРАЙМЕР</vt:lpstr>
      <vt:lpstr>ТИП4!ПРАЙМЕР</vt:lpstr>
      <vt:lpstr>ТИП5!ПРАЙМЕР</vt:lpstr>
      <vt:lpstr>ТИП6!ПРАЙМЕР</vt:lpstr>
      <vt:lpstr>ТИП7!ПРАЙМЕР</vt:lpstr>
      <vt:lpstr>ТИП8!ПРАЙМЕР</vt:lpstr>
      <vt:lpstr>ТИП9!ПРАЙМЕР</vt:lpstr>
      <vt:lpstr>Регион</vt:lpstr>
      <vt:lpstr>ТИП1!СМРЗ.БЕТ</vt:lpstr>
      <vt:lpstr>ТИП10!СМРЗ.БЕТ</vt:lpstr>
      <vt:lpstr>ТИП2!СМРЗ.БЕТ</vt:lpstr>
      <vt:lpstr>ТИП3!СМРЗ.БЕТ</vt:lpstr>
      <vt:lpstr>ТИП4!СМРЗ.БЕТ</vt:lpstr>
      <vt:lpstr>ТИП5!СМРЗ.БЕТ</vt:lpstr>
      <vt:lpstr>ТИП6!СМРЗ.БЕТ</vt:lpstr>
      <vt:lpstr>ТИП7!СМРЗ.БЕТ</vt:lpstr>
      <vt:lpstr>ТИП8!СМРЗ.БЕТ</vt:lpstr>
      <vt:lpstr>ТИП9!СМРЗ.БЕТ</vt:lpstr>
      <vt:lpstr>ТИП1!СМРЗ.МЕТ</vt:lpstr>
      <vt:lpstr>ТИП10!СМРЗ.МЕТ</vt:lpstr>
      <vt:lpstr>ТИП2!СМРЗ.МЕТ</vt:lpstr>
      <vt:lpstr>ТИП3!СМРЗ.МЕТ</vt:lpstr>
      <vt:lpstr>ТИП4!СМРЗ.МЕТ</vt:lpstr>
      <vt:lpstr>ТИП5!СМРЗ.МЕТ</vt:lpstr>
      <vt:lpstr>ТИП6!СМРЗ.МЕТ</vt:lpstr>
      <vt:lpstr>ТИП7!СМРЗ.МЕТ</vt:lpstr>
      <vt:lpstr>ТИП8!СМРЗ.МЕТ</vt:lpstr>
      <vt:lpstr>ТИП9!СМРЗ.МЕТ</vt:lpstr>
      <vt:lpstr>ТИП1!ТЭ</vt:lpstr>
      <vt:lpstr>ТИП10!ТЭ</vt:lpstr>
      <vt:lpstr>ТИП2!ТЭ</vt:lpstr>
      <vt:lpstr>ТИП3!ТЭ</vt:lpstr>
      <vt:lpstr>ТИП4!ТЭ</vt:lpstr>
      <vt:lpstr>ТИП5!ТЭ</vt:lpstr>
      <vt:lpstr>ТИП6!ТЭ</vt:lpstr>
      <vt:lpstr>ТИП7!ТЭ</vt:lpstr>
      <vt:lpstr>ТИП8!ТЭ</vt:lpstr>
      <vt:lpstr>ТИП9!ТЭ</vt:lpstr>
    </vt:vector>
  </TitlesOfParts>
  <Company>Функциональность ограничена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tolstov@tn.ru</dc:creator>
  <cp:lastModifiedBy>shelestov</cp:lastModifiedBy>
  <cp:lastPrinted>2020-01-20T12:24:11Z</cp:lastPrinted>
  <dcterms:created xsi:type="dcterms:W3CDTF">2011-06-02T08:28:17Z</dcterms:created>
  <dcterms:modified xsi:type="dcterms:W3CDTF">2021-12-13T13:58:12Z</dcterms:modified>
</cp:coreProperties>
</file>